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C:\Users\Martin\code\models\"/>
    </mc:Choice>
  </mc:AlternateContent>
  <xr:revisionPtr revIDLastSave="0" documentId="8_{BB191D92-7BBE-4BBE-9738-DF2D9C2BAF30}" xr6:coauthVersionLast="47" xr6:coauthVersionMax="47" xr10:uidLastSave="{00000000-0000-0000-0000-000000000000}"/>
  <bookViews>
    <workbookView xWindow="5895" yWindow="60" windowWidth="22980" windowHeight="14460" tabRatio="566" firstSheet="1" activeTab="7" xr2:uid="{00000000-000D-0000-FFFF-FFFF00000000}"/>
  </bookViews>
  <sheets>
    <sheet name="IP" sheetId="80" r:id="rId1"/>
    <sheet name="Pipeline" sheetId="77" r:id="rId2"/>
    <sheet name="Markets" sheetId="66" r:id="rId3"/>
    <sheet name="Management" sheetId="67" r:id="rId4"/>
    <sheet name="Pricing" sheetId="74" r:id="rId5"/>
    <sheet name="IMS" sheetId="78" r:id="rId6"/>
    <sheet name="Old Drugs" sheetId="70" r:id="rId7"/>
    <sheet name="Main" sheetId="3" r:id="rId8"/>
    <sheet name="Model" sheetId="71" r:id="rId9"/>
    <sheet name="Remicade" sheetId="9" r:id="rId10"/>
    <sheet name="Procrit" sheetId="5" r:id="rId11"/>
    <sheet name="Invega" sheetId="19" r:id="rId12"/>
    <sheet name="Consta" sheetId="20" r:id="rId13"/>
    <sheet name="Aciphex" sheetId="11" r:id="rId14"/>
    <sheet name="Levaquin" sheetId="12" r:id="rId15"/>
    <sheet name="Velcade" sheetId="15" r:id="rId16"/>
    <sheet name="Duragesic" sheetId="13" r:id="rId17"/>
    <sheet name="Topamax" sheetId="10" r:id="rId18"/>
    <sheet name="Risperdal" sheetId="6" r:id="rId19"/>
    <sheet name="telaprevir" sheetId="75" r:id="rId20"/>
    <sheet name="Concerta" sheetId="14" r:id="rId21"/>
    <sheet name="Ultram" sheetId="17" r:id="rId22"/>
    <sheet name="Natrecor" sheetId="18" r:id="rId23"/>
    <sheet name="Intelence" sheetId="33" r:id="rId24"/>
    <sheet name="Prezista" sheetId="28" r:id="rId25"/>
    <sheet name="Contraceptives" sheetId="24" r:id="rId26"/>
    <sheet name="Simponi" sheetId="29" r:id="rId27"/>
    <sheet name="Xarelto" sheetId="35" r:id="rId28"/>
    <sheet name="Stelara" sheetId="25" r:id="rId29"/>
    <sheet name="Tapentadol" sheetId="64" r:id="rId30"/>
    <sheet name="riplivirine" sheetId="65" r:id="rId31"/>
    <sheet name="Sustenna" sheetId="34" r:id="rId32"/>
    <sheet name="Doripenem" sheetId="27" r:id="rId33"/>
    <sheet name="canagliflozin" sheetId="73" r:id="rId34"/>
    <sheet name="abiraterone" sheetId="72" r:id="rId35"/>
    <sheet name="Comfyde" sheetId="26" r:id="rId36"/>
    <sheet name="Consumer" sheetId="68" r:id="rId37"/>
    <sheet name="Consumer Model" sheetId="22" r:id="rId38"/>
    <sheet name="MD&amp;D" sheetId="40" r:id="rId39"/>
    <sheet name="Diagnostics" sheetId="36" r:id="rId40"/>
    <sheet name="DePuy" sheetId="69" r:id="rId41"/>
    <sheet name="DePuy Model" sheetId="43" r:id="rId42"/>
    <sheet name="LifeScan" sheetId="37" r:id="rId43"/>
    <sheet name="Vision" sheetId="38" r:id="rId44"/>
    <sheet name="Cordis" sheetId="42" r:id="rId45"/>
    <sheet name="EndoSurgery" sheetId="44" r:id="rId46"/>
    <sheet name="Ethicon" sheetId="45" r:id="rId47"/>
    <sheet name="Acquisitions" sheetId="46" r:id="rId48"/>
  </sheets>
  <externalReferences>
    <externalReference r:id="rId49"/>
    <externalReference r:id="rId50"/>
    <externalReference r:id="rId51"/>
    <externalReference r:id="rId52"/>
    <externalReference r:id="rId53"/>
    <externalReference r:id="rId5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7">'Consumer Model'!$B$1:$BI$21</definedName>
    <definedName name="_xlnm.Print_Area" localSheetId="41">'DePuy Model'!$B$1:$AS$20</definedName>
    <definedName name="_xlnm.Print_Area" localSheetId="38">'MD&amp;D'!$B$1:$AI$36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M54" i="71" l="1"/>
  <c r="EM52" i="71"/>
  <c r="EM49" i="71"/>
  <c r="EM48" i="71"/>
  <c r="EM45" i="71"/>
  <c r="EM44" i="71"/>
  <c r="EM43" i="71"/>
  <c r="EM42" i="71"/>
  <c r="EM41" i="71"/>
  <c r="EM40"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S6" i="3"/>
  <c r="S5" i="3"/>
  <c r="CX161" i="71"/>
  <c r="CX169" i="71"/>
  <c r="CX159" i="71"/>
  <c r="CX140" i="71"/>
  <c r="CX148" i="71"/>
  <c r="CX141" i="71"/>
  <c r="CX146" i="71"/>
  <c r="CZ140" i="71"/>
  <c r="DA140" i="71" s="1"/>
  <c r="DB140" i="71" s="1"/>
  <c r="DC140" i="71" s="1"/>
  <c r="DD140" i="71" s="1"/>
  <c r="DE140" i="71" s="1"/>
  <c r="DF140" i="71" s="1"/>
  <c r="CY140" i="71"/>
  <c r="CY169" i="71"/>
  <c r="CY161" i="71"/>
  <c r="CY159" i="71"/>
  <c r="CY148" i="71"/>
  <c r="CY141" i="71"/>
  <c r="CP40" i="71"/>
  <c r="EW62" i="71"/>
  <c r="EV62" i="71"/>
  <c r="EU62" i="71"/>
  <c r="ET62" i="71"/>
  <c r="ES62" i="71"/>
  <c r="EN58" i="71"/>
  <c r="EN68" i="71"/>
  <c r="EN65" i="71"/>
  <c r="EN56" i="71"/>
  <c r="EN59" i="71"/>
  <c r="EW47" i="71"/>
  <c r="EV47" i="71"/>
  <c r="EU47" i="71"/>
  <c r="ET47" i="71"/>
  <c r="ES47" i="71"/>
  <c r="ER47" i="71"/>
  <c r="EQ47" i="71"/>
  <c r="EP47" i="71"/>
  <c r="EW46" i="71"/>
  <c r="EV46" i="71"/>
  <c r="EU46" i="71"/>
  <c r="ET46" i="71"/>
  <c r="ES46" i="71"/>
  <c r="ER46" i="71"/>
  <c r="EQ46" i="71"/>
  <c r="EP46" i="71"/>
  <c r="EO47" i="71"/>
  <c r="EO46"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4" i="71"/>
  <c r="EN52" i="71"/>
  <c r="EN49" i="71"/>
  <c r="EN48" i="71"/>
  <c r="EN45" i="71"/>
  <c r="EN44" i="71"/>
  <c r="EN42" i="71"/>
  <c r="EN41" i="71"/>
  <c r="EN40"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CZ68" i="71"/>
  <c r="DA68" i="71" s="1"/>
  <c r="DB68" i="71" s="1"/>
  <c r="DC68" i="71" s="1"/>
  <c r="DD68" i="71" s="1"/>
  <c r="DE68" i="71" s="1"/>
  <c r="DF68" i="71" s="1"/>
  <c r="DC52" i="71"/>
  <c r="DB52" i="71"/>
  <c r="DF52" i="71" s="1"/>
  <c r="DA52" i="71"/>
  <c r="DE52" i="71" s="1"/>
  <c r="CZ52" i="71"/>
  <c r="DD52" i="71" s="1"/>
  <c r="DC49" i="71"/>
  <c r="DC86" i="71" s="1"/>
  <c r="DB49" i="71"/>
  <c r="DF49" i="71" s="1"/>
  <c r="DF86" i="71" s="1"/>
  <c r="DA49" i="71"/>
  <c r="DE49" i="71" s="1"/>
  <c r="DE86" i="71" s="1"/>
  <c r="CZ49" i="71"/>
  <c r="DD49" i="71" s="1"/>
  <c r="DD86" i="71" s="1"/>
  <c r="DC48" i="71"/>
  <c r="DC85" i="71" s="1"/>
  <c r="DB48" i="71"/>
  <c r="DF48" i="71" s="1"/>
  <c r="DF85" i="71" s="1"/>
  <c r="DA48" i="71"/>
  <c r="DA85" i="71" s="1"/>
  <c r="CZ48" i="71"/>
  <c r="CZ85" i="71" s="1"/>
  <c r="DC45" i="71"/>
  <c r="DC84" i="71" s="1"/>
  <c r="DB45" i="71"/>
  <c r="DF45" i="71" s="1"/>
  <c r="DF84" i="71" s="1"/>
  <c r="DA45" i="71"/>
  <c r="DE45" i="71" s="1"/>
  <c r="DE84" i="71" s="1"/>
  <c r="CZ45" i="71"/>
  <c r="CZ84" i="71" s="1"/>
  <c r="DC44" i="71"/>
  <c r="DC83" i="71" s="1"/>
  <c r="DB44" i="71"/>
  <c r="DF44" i="71" s="1"/>
  <c r="DF83" i="71" s="1"/>
  <c r="DA44" i="71"/>
  <c r="DE44" i="71" s="1"/>
  <c r="DE83" i="71" s="1"/>
  <c r="CZ44" i="71"/>
  <c r="DD44" i="71" s="1"/>
  <c r="DD83" i="71" s="1"/>
  <c r="DC43" i="71"/>
  <c r="DB43" i="71"/>
  <c r="DF43" i="71" s="1"/>
  <c r="DA43" i="71"/>
  <c r="DE43" i="71" s="1"/>
  <c r="CZ43" i="71"/>
  <c r="DD43" i="71" s="1"/>
  <c r="DC42" i="71"/>
  <c r="DB42" i="71"/>
  <c r="DF42" i="71" s="1"/>
  <c r="DA42" i="71"/>
  <c r="DE42" i="71" s="1"/>
  <c r="CZ42" i="71"/>
  <c r="DD42" i="71" s="1"/>
  <c r="DC17" i="71"/>
  <c r="DB17" i="71"/>
  <c r="DF17" i="71" s="1"/>
  <c r="DA17" i="71"/>
  <c r="DE17" i="71" s="1"/>
  <c r="CZ17" i="71"/>
  <c r="DD17" i="71" s="1"/>
  <c r="DC18" i="71"/>
  <c r="DB18" i="71"/>
  <c r="DF18" i="71" s="1"/>
  <c r="DA18" i="71"/>
  <c r="DE18" i="71" s="1"/>
  <c r="CZ18" i="71"/>
  <c r="DD18" i="71" s="1"/>
  <c r="DC41" i="71"/>
  <c r="DB41" i="71"/>
  <c r="DF41" i="71" s="1"/>
  <c r="DA41" i="71"/>
  <c r="DE41" i="71" s="1"/>
  <c r="CZ41" i="71"/>
  <c r="DD41" i="71" s="1"/>
  <c r="CZ40" i="71"/>
  <c r="DA40" i="71" s="1"/>
  <c r="DB40" i="71" s="1"/>
  <c r="DC40" i="71" s="1"/>
  <c r="DD40" i="71" s="1"/>
  <c r="DE40" i="71" s="1"/>
  <c r="DF40" i="71" s="1"/>
  <c r="DC33" i="71"/>
  <c r="DB33" i="71"/>
  <c r="DF33" i="71" s="1"/>
  <c r="DA33" i="71"/>
  <c r="DE33" i="71" s="1"/>
  <c r="CZ33" i="71"/>
  <c r="DD33" i="71" s="1"/>
  <c r="DC32" i="71"/>
  <c r="DB32" i="71"/>
  <c r="DF32" i="71" s="1"/>
  <c r="DA32" i="71"/>
  <c r="DE32" i="71" s="1"/>
  <c r="CZ32" i="71"/>
  <c r="DD32" i="71" s="1"/>
  <c r="DC31" i="71"/>
  <c r="DB31" i="71"/>
  <c r="DF31" i="71" s="1"/>
  <c r="DA31" i="71"/>
  <c r="DE31" i="71" s="1"/>
  <c r="CZ31" i="71"/>
  <c r="DD31" i="71" s="1"/>
  <c r="CZ30" i="71"/>
  <c r="DA30" i="71" s="1"/>
  <c r="DB30" i="71" s="1"/>
  <c r="DC30" i="71" s="1"/>
  <c r="DD30" i="71" s="1"/>
  <c r="DE30" i="71" s="1"/>
  <c r="DF30" i="71" s="1"/>
  <c r="CZ29" i="71"/>
  <c r="DA29" i="71" s="1"/>
  <c r="DB29" i="71" s="1"/>
  <c r="DC29" i="71" s="1"/>
  <c r="DD29" i="71" s="1"/>
  <c r="DE29" i="71" s="1"/>
  <c r="DF29" i="71" s="1"/>
  <c r="CZ28" i="71"/>
  <c r="DA28" i="71" s="1"/>
  <c r="DB28" i="71" s="1"/>
  <c r="DC28" i="71" s="1"/>
  <c r="DD28" i="71" s="1"/>
  <c r="DE28" i="71" s="1"/>
  <c r="DF28" i="71" s="1"/>
  <c r="DD27" i="71"/>
  <c r="DC27" i="71"/>
  <c r="DB27" i="71"/>
  <c r="DA27" i="71"/>
  <c r="DF27" i="71" s="1"/>
  <c r="CZ27" i="71"/>
  <c r="DE27" i="71" s="1"/>
  <c r="DC26" i="71"/>
  <c r="DB26" i="71"/>
  <c r="DF26" i="71" s="1"/>
  <c r="DA26" i="71"/>
  <c r="DE26" i="71" s="1"/>
  <c r="CZ26" i="71"/>
  <c r="DD26" i="71" s="1"/>
  <c r="DC25" i="71"/>
  <c r="DB25" i="71"/>
  <c r="DF25" i="71" s="1"/>
  <c r="DA25" i="71"/>
  <c r="DE25" i="71" s="1"/>
  <c r="CZ25" i="71"/>
  <c r="DD25" i="71" s="1"/>
  <c r="DC13" i="71"/>
  <c r="DB13" i="71"/>
  <c r="DF13" i="71" s="1"/>
  <c r="DA13" i="71"/>
  <c r="DE13" i="71" s="1"/>
  <c r="CZ13" i="71"/>
  <c r="DD13" i="71" s="1"/>
  <c r="DC12" i="71"/>
  <c r="DB12" i="71"/>
  <c r="DF12" i="71" s="1"/>
  <c r="DA12" i="71"/>
  <c r="DE12" i="71" s="1"/>
  <c r="CZ12" i="71"/>
  <c r="DD12" i="71" s="1"/>
  <c r="DC11" i="71"/>
  <c r="DC79" i="71" s="1"/>
  <c r="DB11" i="71"/>
  <c r="DF11" i="71" s="1"/>
  <c r="DF79" i="71" s="1"/>
  <c r="DA11" i="71"/>
  <c r="DE11" i="71" s="1"/>
  <c r="DE79" i="71" s="1"/>
  <c r="CZ11" i="71"/>
  <c r="DD11" i="71" s="1"/>
  <c r="DD79" i="71" s="1"/>
  <c r="DC10" i="71"/>
  <c r="DB10" i="71"/>
  <c r="DF10" i="71" s="1"/>
  <c r="DA10" i="71"/>
  <c r="DE10" i="71" s="1"/>
  <c r="CZ10" i="71"/>
  <c r="DD10" i="71" s="1"/>
  <c r="CX80" i="71"/>
  <c r="CW80" i="71"/>
  <c r="CV80" i="71"/>
  <c r="CU80" i="71"/>
  <c r="CY80" i="71"/>
  <c r="CX79" i="71"/>
  <c r="CW79" i="71"/>
  <c r="CV79" i="71"/>
  <c r="CU79" i="71"/>
  <c r="CY79" i="71"/>
  <c r="DC3" i="71"/>
  <c r="DC75" i="71" s="1"/>
  <c r="DB3" i="71"/>
  <c r="DF3" i="71" s="1"/>
  <c r="DF75" i="71" s="1"/>
  <c r="DA3" i="71"/>
  <c r="DE3" i="71" s="1"/>
  <c r="DE75" i="71" s="1"/>
  <c r="CZ3" i="71"/>
  <c r="DD4" i="71"/>
  <c r="DC4" i="71"/>
  <c r="DC76" i="71" s="1"/>
  <c r="DB4" i="71"/>
  <c r="DB76" i="71" s="1"/>
  <c r="DA4" i="71"/>
  <c r="DF4" i="71" s="1"/>
  <c r="CZ4" i="71"/>
  <c r="CZ76" i="71" s="1"/>
  <c r="DC5" i="71"/>
  <c r="DC78" i="71" s="1"/>
  <c r="DB5" i="71"/>
  <c r="DF5" i="71" s="1"/>
  <c r="DF78" i="71" s="1"/>
  <c r="DA5" i="71"/>
  <c r="DE5" i="71" s="1"/>
  <c r="DE78" i="71" s="1"/>
  <c r="CZ5" i="71"/>
  <c r="CZ78" i="71" s="1"/>
  <c r="DB75" i="71"/>
  <c r="DA75" i="71"/>
  <c r="CZ75" i="71"/>
  <c r="DF72" i="71"/>
  <c r="DE72" i="71"/>
  <c r="DD72" i="71"/>
  <c r="DC72" i="71"/>
  <c r="DB72" i="71"/>
  <c r="DA72" i="71"/>
  <c r="CZ72" i="71"/>
  <c r="CX78" i="71"/>
  <c r="CW78" i="71"/>
  <c r="CV78" i="71"/>
  <c r="CU78" i="71"/>
  <c r="CY78" i="71"/>
  <c r="CZ7" i="71"/>
  <c r="DA7" i="71" s="1"/>
  <c r="DC6" i="71"/>
  <c r="DC77" i="71" s="1"/>
  <c r="DB6" i="71"/>
  <c r="DF6" i="71" s="1"/>
  <c r="DF77" i="71" s="1"/>
  <c r="DA6" i="71"/>
  <c r="DE6" i="71" s="1"/>
  <c r="DE77" i="71" s="1"/>
  <c r="CZ6" i="71"/>
  <c r="CZ77" i="71" s="1"/>
  <c r="CU82" i="71"/>
  <c r="CU77" i="71"/>
  <c r="CU76" i="71"/>
  <c r="CU75" i="71"/>
  <c r="CU73" i="71"/>
  <c r="CU72" i="71"/>
  <c r="CQ60" i="71"/>
  <c r="CU43" i="71"/>
  <c r="CU55" i="71" s="1"/>
  <c r="CQ55" i="71"/>
  <c r="CQ57" i="71" s="1"/>
  <c r="CQ91" i="71" s="1"/>
  <c r="CX82" i="71"/>
  <c r="CW82" i="71"/>
  <c r="CV82" i="71"/>
  <c r="CY82" i="71"/>
  <c r="DC54" i="71"/>
  <c r="DC82" i="71" s="1"/>
  <c r="DB54" i="71"/>
  <c r="DF54" i="71" s="1"/>
  <c r="DF82" i="71" s="1"/>
  <c r="DA54" i="71"/>
  <c r="DE54" i="71" s="1"/>
  <c r="DE82" i="71" s="1"/>
  <c r="CZ54" i="71"/>
  <c r="CZ82" i="71" s="1"/>
  <c r="CV77" i="71"/>
  <c r="CV76" i="71"/>
  <c r="CV75" i="71"/>
  <c r="CV73" i="71"/>
  <c r="CV72" i="71"/>
  <c r="CR62" i="71"/>
  <c r="CR60" i="71"/>
  <c r="CV62" i="71"/>
  <c r="CX77" i="71"/>
  <c r="CW77" i="71"/>
  <c r="CY77" i="71"/>
  <c r="CX76" i="71"/>
  <c r="CW76" i="71"/>
  <c r="CY76" i="71"/>
  <c r="CX75" i="71"/>
  <c r="CW75" i="71"/>
  <c r="CY75" i="71"/>
  <c r="CX73" i="71"/>
  <c r="CW73" i="71"/>
  <c r="CY73" i="71"/>
  <c r="CX72" i="71"/>
  <c r="CW72" i="71"/>
  <c r="CY72" i="71"/>
  <c r="CW60" i="71"/>
  <c r="CV60" i="71"/>
  <c r="CU60" i="71"/>
  <c r="CT60" i="71"/>
  <c r="CS60" i="71"/>
  <c r="CX62" i="71"/>
  <c r="CX60" i="71"/>
  <c r="CX55" i="71"/>
  <c r="CX57" i="71" s="1"/>
  <c r="CX91" i="71" s="1"/>
  <c r="CW55" i="71"/>
  <c r="CW57" i="71" s="1"/>
  <c r="CW91" i="71" s="1"/>
  <c r="CV55" i="71"/>
  <c r="CV57" i="71" s="1"/>
  <c r="CV91" i="71" s="1"/>
  <c r="CT55" i="71"/>
  <c r="CT57" i="71" s="1"/>
  <c r="CT91" i="71" s="1"/>
  <c r="CS55" i="71"/>
  <c r="CS57" i="71" s="1"/>
  <c r="CS91" i="71" s="1"/>
  <c r="CR55" i="71"/>
  <c r="CR57" i="71" s="1"/>
  <c r="CR91" i="71" s="1"/>
  <c r="CU62" i="71"/>
  <c r="CY62" i="71"/>
  <c r="CY60" i="71"/>
  <c r="CY55" i="71"/>
  <c r="CY57" i="71" s="1"/>
  <c r="CY91" i="71" s="1"/>
  <c r="BV3" i="71"/>
  <c r="BZ3" i="71" s="1"/>
  <c r="BZ75" i="71" s="1"/>
  <c r="BV4" i="71"/>
  <c r="BZ4" i="71" s="1"/>
  <c r="BV6" i="71"/>
  <c r="BV77" i="71" s="1"/>
  <c r="BV10" i="71"/>
  <c r="BZ10" i="71" s="1"/>
  <c r="BR11" i="71"/>
  <c r="BV11" i="71" s="1"/>
  <c r="BZ11" i="71" s="1"/>
  <c r="BV29" i="71"/>
  <c r="BZ29" i="71" s="1"/>
  <c r="BZ81" i="71" s="1"/>
  <c r="BU12" i="71"/>
  <c r="BV12" i="71" s="1"/>
  <c r="BV30" i="71"/>
  <c r="BZ30" i="71" s="1"/>
  <c r="BV17" i="71"/>
  <c r="BZ17" i="71" s="1"/>
  <c r="BU18" i="71"/>
  <c r="BV18" i="71" s="1"/>
  <c r="BU22" i="71"/>
  <c r="BV22" i="71" s="1"/>
  <c r="BW22" i="71" s="1"/>
  <c r="BX22" i="71" s="1"/>
  <c r="BY22" i="71" s="1"/>
  <c r="BZ22" i="71" s="1"/>
  <c r="BV23" i="71"/>
  <c r="BZ23" i="71" s="1"/>
  <c r="BU41" i="71"/>
  <c r="BV41" i="71" s="1"/>
  <c r="BU27" i="71"/>
  <c r="BV27" i="71" s="1"/>
  <c r="BW27" i="71" s="1"/>
  <c r="BX27" i="71" s="1"/>
  <c r="BY27" i="71" s="1"/>
  <c r="BZ27" i="71" s="1"/>
  <c r="BR43" i="71"/>
  <c r="BV43" i="71" s="1"/>
  <c r="BZ43" i="71" s="1"/>
  <c r="BV44" i="71"/>
  <c r="BZ44" i="71" s="1"/>
  <c r="BZ83" i="71" s="1"/>
  <c r="BV45" i="71"/>
  <c r="BZ45" i="71" s="1"/>
  <c r="BZ84" i="71" s="1"/>
  <c r="BR48" i="71"/>
  <c r="BV48" i="71" s="1"/>
  <c r="BZ48" i="71" s="1"/>
  <c r="BV49" i="71"/>
  <c r="BZ49" i="71" s="1"/>
  <c r="BV50" i="71"/>
  <c r="BZ50" i="71" s="1"/>
  <c r="BZ87" i="71" s="1"/>
  <c r="BV52" i="71"/>
  <c r="BZ52" i="71" s="1"/>
  <c r="BZ89" i="71" s="1"/>
  <c r="BV54" i="71"/>
  <c r="BZ54" i="71" s="1"/>
  <c r="BU3" i="71"/>
  <c r="BU4" i="71"/>
  <c r="BY4" i="71" s="1"/>
  <c r="BY76" i="71" s="1"/>
  <c r="BU6" i="71"/>
  <c r="BY6" i="71" s="1"/>
  <c r="BY77" i="71" s="1"/>
  <c r="BU10" i="71"/>
  <c r="BY10" i="71" s="1"/>
  <c r="BQ11" i="71"/>
  <c r="BU11" i="71" s="1"/>
  <c r="BY11" i="71" s="1"/>
  <c r="BU29" i="71"/>
  <c r="BU81" i="71" s="1"/>
  <c r="BU30" i="71"/>
  <c r="BY30" i="71" s="1"/>
  <c r="BU17" i="71"/>
  <c r="BY17" i="71" s="1"/>
  <c r="BU23" i="71"/>
  <c r="BY23" i="71" s="1"/>
  <c r="BQ43" i="71"/>
  <c r="BU43" i="71" s="1"/>
  <c r="BY43" i="71" s="1"/>
  <c r="BU44" i="71"/>
  <c r="BY44" i="71" s="1"/>
  <c r="BY83" i="71" s="1"/>
  <c r="BU45" i="71"/>
  <c r="BY45" i="71" s="1"/>
  <c r="BY84" i="71" s="1"/>
  <c r="BQ48" i="71"/>
  <c r="BU48" i="71" s="1"/>
  <c r="BY48" i="71" s="1"/>
  <c r="BU49" i="71"/>
  <c r="BY49" i="71" s="1"/>
  <c r="BU50" i="71"/>
  <c r="BY50" i="71" s="1"/>
  <c r="BY87" i="71" s="1"/>
  <c r="BU52" i="71"/>
  <c r="BU89" i="71" s="1"/>
  <c r="BU54" i="71"/>
  <c r="BY54" i="71" s="1"/>
  <c r="BX3" i="71"/>
  <c r="BX75" i="71" s="1"/>
  <c r="BX4" i="71"/>
  <c r="BX76" i="71" s="1"/>
  <c r="BX6" i="71"/>
  <c r="BX77" i="71" s="1"/>
  <c r="BX10" i="71"/>
  <c r="BT11" i="71"/>
  <c r="BX29" i="71"/>
  <c r="BX81" i="71" s="1"/>
  <c r="BX30" i="71"/>
  <c r="BX17" i="71"/>
  <c r="BX23" i="71"/>
  <c r="BT43" i="71"/>
  <c r="BX43" i="71" s="1"/>
  <c r="BX44" i="71"/>
  <c r="BX83" i="71" s="1"/>
  <c r="BX45" i="71"/>
  <c r="BX84" i="71" s="1"/>
  <c r="BX48" i="71"/>
  <c r="BX49" i="71"/>
  <c r="BX50" i="71"/>
  <c r="BX87" i="71" s="1"/>
  <c r="BX52" i="71"/>
  <c r="BX89" i="71" s="1"/>
  <c r="BX54" i="71"/>
  <c r="BW3" i="71"/>
  <c r="BW75" i="71" s="1"/>
  <c r="BW4" i="71"/>
  <c r="BW76" i="71" s="1"/>
  <c r="BW6" i="71"/>
  <c r="BW77" i="71" s="1"/>
  <c r="BW10" i="71"/>
  <c r="BS11" i="71"/>
  <c r="BW11" i="71" s="1"/>
  <c r="BW29" i="71"/>
  <c r="BW81" i="71" s="1"/>
  <c r="BW30" i="71"/>
  <c r="BW17" i="71"/>
  <c r="BW23" i="71"/>
  <c r="BS43" i="71"/>
  <c r="BW44" i="71"/>
  <c r="BW83" i="71" s="1"/>
  <c r="BW45" i="71"/>
  <c r="BW84" i="71" s="1"/>
  <c r="BW48" i="71"/>
  <c r="BW49" i="71"/>
  <c r="BW50" i="71"/>
  <c r="BW87" i="71" s="1"/>
  <c r="BW52" i="71"/>
  <c r="BW89" i="71" s="1"/>
  <c r="BW54" i="71"/>
  <c r="BT63" i="71"/>
  <c r="BU68" i="71"/>
  <c r="BV68" i="71" s="1"/>
  <c r="BW68" i="71" s="1"/>
  <c r="BX68" i="71" s="1"/>
  <c r="BY68" i="71" s="1"/>
  <c r="BZ68" i="71" s="1"/>
  <c r="BU59" i="71"/>
  <c r="BY59" i="71" s="1"/>
  <c r="BY72" i="71" s="1"/>
  <c r="BX59" i="71"/>
  <c r="BX72" i="71" s="1"/>
  <c r="BW59" i="71"/>
  <c r="BW72" i="71" s="1"/>
  <c r="BV59" i="71"/>
  <c r="BZ59" i="71" s="1"/>
  <c r="BZ72" i="71" s="1"/>
  <c r="BU58" i="71"/>
  <c r="BY58" i="71" s="1"/>
  <c r="BY73" i="71" s="1"/>
  <c r="BX58" i="71"/>
  <c r="BX73" i="71" s="1"/>
  <c r="BW58" i="71"/>
  <c r="BW73" i="71" s="1"/>
  <c r="BV58" i="71"/>
  <c r="BZ58" i="71" s="1"/>
  <c r="BZ73" i="71" s="1"/>
  <c r="BZ88" i="71"/>
  <c r="BY88" i="71"/>
  <c r="BX88" i="71"/>
  <c r="BW88" i="71"/>
  <c r="EG21" i="71"/>
  <c r="EH21" i="71" s="1"/>
  <c r="EI21" i="71" s="1"/>
  <c r="EJ21" i="71" s="1"/>
  <c r="EK21" i="71" s="1"/>
  <c r="EL21" i="71" s="1"/>
  <c r="EP21" i="71" s="1"/>
  <c r="EQ21" i="71" s="1"/>
  <c r="FA70" i="71"/>
  <c r="BM76" i="71"/>
  <c r="BL76" i="71"/>
  <c r="BK76" i="71"/>
  <c r="BS76" i="71"/>
  <c r="BR76" i="71"/>
  <c r="BQ76" i="71"/>
  <c r="BP76" i="71"/>
  <c r="BO76" i="71"/>
  <c r="BN76" i="71"/>
  <c r="BT77" i="71"/>
  <c r="BL77" i="71"/>
  <c r="BK77" i="71"/>
  <c r="BR77" i="71"/>
  <c r="BQ77" i="71"/>
  <c r="BP77" i="71"/>
  <c r="BO77" i="71"/>
  <c r="BN77" i="71"/>
  <c r="BM77" i="71"/>
  <c r="BS77" i="71"/>
  <c r="BS75" i="71"/>
  <c r="BS89" i="71"/>
  <c r="BS88" i="71"/>
  <c r="BS87" i="71"/>
  <c r="BS84" i="71"/>
  <c r="BS83" i="71"/>
  <c r="BS81" i="71"/>
  <c r="BS73" i="71"/>
  <c r="BS72" i="71"/>
  <c r="BG48" i="71"/>
  <c r="BG106" i="71" s="1"/>
  <c r="BM48" i="71"/>
  <c r="BL48" i="71"/>
  <c r="BK48" i="71"/>
  <c r="BJ48" i="71"/>
  <c r="BJ106" i="71" s="1"/>
  <c r="BI48" i="71"/>
  <c r="BI106" i="71" s="1"/>
  <c r="BN48" i="71"/>
  <c r="BO48" i="71"/>
  <c r="BP48" i="71"/>
  <c r="EQ72" i="71"/>
  <c r="EP72" i="71"/>
  <c r="EO72" i="71"/>
  <c r="EN72" i="71"/>
  <c r="EM72" i="71"/>
  <c r="EL72" i="71"/>
  <c r="EK72" i="71"/>
  <c r="EJ72" i="71"/>
  <c r="EI72" i="71"/>
  <c r="EH72" i="71"/>
  <c r="EF50" i="71"/>
  <c r="EG50" i="71" s="1"/>
  <c r="EH50" i="71" s="1"/>
  <c r="EI50" i="71" s="1"/>
  <c r="EJ50" i="71" s="1"/>
  <c r="EK50" i="71" s="1"/>
  <c r="EL50" i="71" s="1"/>
  <c r="EF52" i="71"/>
  <c r="EG52" i="71" s="1"/>
  <c r="EH52" i="71" s="1"/>
  <c r="EI52" i="71" s="1"/>
  <c r="EJ52" i="71" s="1"/>
  <c r="EK52" i="71" s="1"/>
  <c r="EL52" i="71" s="1"/>
  <c r="EE52" i="71"/>
  <c r="ED52" i="71"/>
  <c r="EN2" i="71"/>
  <c r="EO2" i="71" s="1"/>
  <c r="EP2" i="71" s="1"/>
  <c r="EQ2" i="71" s="1"/>
  <c r="ER2" i="71" s="1"/>
  <c r="ES2" i="71" s="1"/>
  <c r="ET2" i="71" s="1"/>
  <c r="EU2" i="71" s="1"/>
  <c r="EV2" i="71" s="1"/>
  <c r="EW2" i="71" s="1"/>
  <c r="EF27" i="71"/>
  <c r="EG27" i="71" s="1"/>
  <c r="EH27" i="71" s="1"/>
  <c r="EI27" i="71" s="1"/>
  <c r="EJ27" i="71" s="1"/>
  <c r="EK27" i="71" s="1"/>
  <c r="EL27" i="71" s="1"/>
  <c r="EF68" i="71"/>
  <c r="EG68" i="71" s="1"/>
  <c r="EH68" i="71" s="1"/>
  <c r="EI68" i="71" s="1"/>
  <c r="EJ68" i="71" s="1"/>
  <c r="EK68" i="71" s="1"/>
  <c r="EL68" i="71" s="1"/>
  <c r="EM68" i="71" s="1"/>
  <c r="EE68" i="71"/>
  <c r="EF59" i="71"/>
  <c r="EE58" i="71"/>
  <c r="EE56" i="71"/>
  <c r="EF56" i="71"/>
  <c r="EF54" i="71"/>
  <c r="EG54" i="71" s="1"/>
  <c r="EF51" i="71"/>
  <c r="EF49" i="71"/>
  <c r="EG49" i="71" s="1"/>
  <c r="EH49" i="71" s="1"/>
  <c r="EI49" i="71" s="1"/>
  <c r="EJ49" i="71" s="1"/>
  <c r="EK49" i="71" s="1"/>
  <c r="EL49" i="71" s="1"/>
  <c r="EF45" i="71"/>
  <c r="EG45" i="71" s="1"/>
  <c r="EH45" i="71" s="1"/>
  <c r="EI45" i="71" s="1"/>
  <c r="EJ45" i="71" s="1"/>
  <c r="EK45" i="71" s="1"/>
  <c r="EL45" i="71" s="1"/>
  <c r="EF44" i="71"/>
  <c r="EG44" i="71" s="1"/>
  <c r="EH44" i="71" s="1"/>
  <c r="EI44" i="71" s="1"/>
  <c r="EJ44" i="71" s="1"/>
  <c r="EK44" i="71" s="1"/>
  <c r="EL44" i="71" s="1"/>
  <c r="EF23" i="71"/>
  <c r="EF41" i="71"/>
  <c r="EF17" i="71"/>
  <c r="EF21" i="71"/>
  <c r="EF15" i="71"/>
  <c r="EF30" i="71"/>
  <c r="EF12" i="71"/>
  <c r="EF29" i="71"/>
  <c r="EF10" i="71"/>
  <c r="EF6" i="71"/>
  <c r="EF4" i="71"/>
  <c r="EE3" i="71"/>
  <c r="EF3" i="71"/>
  <c r="BQ200" i="71"/>
  <c r="BR200" i="71" s="1"/>
  <c r="BP179" i="71"/>
  <c r="BP178" i="71" s="1"/>
  <c r="BP199" i="71"/>
  <c r="BQ199" i="71" s="1"/>
  <c r="BR199" i="71" s="1"/>
  <c r="BP198" i="71"/>
  <c r="BQ198" i="71" s="1"/>
  <c r="BR198" i="71" s="1"/>
  <c r="BP196" i="71"/>
  <c r="BQ196" i="71" s="1"/>
  <c r="BP194" i="71"/>
  <c r="BQ194" i="71" s="1"/>
  <c r="BR194" i="71" s="1"/>
  <c r="BP193" i="71"/>
  <c r="BQ193" i="71" s="1"/>
  <c r="BR193" i="71" s="1"/>
  <c r="BP192" i="71"/>
  <c r="BQ192" i="71" s="1"/>
  <c r="BR192" i="71" s="1"/>
  <c r="BP191" i="71"/>
  <c r="BQ191" i="71" s="1"/>
  <c r="BR191" i="71" s="1"/>
  <c r="BP190" i="71"/>
  <c r="BQ190" i="71" s="1"/>
  <c r="BR190" i="71" s="1"/>
  <c r="BP189" i="71"/>
  <c r="BQ189" i="71" s="1"/>
  <c r="BR189" i="71" s="1"/>
  <c r="BP188" i="71"/>
  <c r="BQ188" i="71" s="1"/>
  <c r="BR188" i="71" s="1"/>
  <c r="BP186" i="71"/>
  <c r="BQ186" i="71" s="1"/>
  <c r="BR186" i="71" s="1"/>
  <c r="BP185" i="71"/>
  <c r="BQ185" i="71" s="1"/>
  <c r="BR185" i="71" s="1"/>
  <c r="BP184" i="71"/>
  <c r="BQ184" i="71" s="1"/>
  <c r="BO187" i="71"/>
  <c r="BP187" i="71" s="1"/>
  <c r="BQ187" i="71" s="1"/>
  <c r="BR187" i="71" s="1"/>
  <c r="BN180" i="71"/>
  <c r="BM180" i="71"/>
  <c r="BL180" i="71"/>
  <c r="BK180" i="71"/>
  <c r="BJ180" i="71"/>
  <c r="BO176" i="71"/>
  <c r="BN176" i="71"/>
  <c r="BO178" i="71"/>
  <c r="BN178" i="71"/>
  <c r="BM178" i="71"/>
  <c r="BJ176" i="71"/>
  <c r="BJ148" i="71"/>
  <c r="BJ141" i="71"/>
  <c r="BJ146" i="71" s="1"/>
  <c r="BJ169" i="71"/>
  <c r="BJ159" i="71"/>
  <c r="BJ164" i="71" s="1"/>
  <c r="BK176" i="71"/>
  <c r="BK148" i="71"/>
  <c r="BK141" i="71"/>
  <c r="BK146" i="71" s="1"/>
  <c r="BK169" i="71"/>
  <c r="BK159" i="71"/>
  <c r="BK164" i="71" s="1"/>
  <c r="BL176" i="71"/>
  <c r="BL148" i="71"/>
  <c r="BL141" i="71"/>
  <c r="BL146" i="71" s="1"/>
  <c r="BL169" i="71"/>
  <c r="BL159" i="71"/>
  <c r="BL164" i="71" s="1"/>
  <c r="BM176" i="71"/>
  <c r="BM148" i="71"/>
  <c r="BM169" i="71"/>
  <c r="BM159" i="71"/>
  <c r="BM164" i="71" s="1"/>
  <c r="BM141" i="71"/>
  <c r="BM137" i="71" s="1"/>
  <c r="BP176" i="71"/>
  <c r="BR176" i="71"/>
  <c r="BR148" i="71"/>
  <c r="BR169" i="71"/>
  <c r="BR159" i="71"/>
  <c r="BR164" i="71" s="1"/>
  <c r="BR141" i="71"/>
  <c r="BR146" i="71" s="1"/>
  <c r="BP58" i="71"/>
  <c r="EF58" i="71" s="1"/>
  <c r="BT89" i="71"/>
  <c r="BV88" i="71"/>
  <c r="BU88" i="71"/>
  <c r="BT88" i="71"/>
  <c r="BT87" i="71"/>
  <c r="BT84" i="71"/>
  <c r="BT83" i="71"/>
  <c r="BQ176" i="71"/>
  <c r="BQ169" i="71"/>
  <c r="BQ159" i="71"/>
  <c r="BQ164" i="71" s="1"/>
  <c r="BQ148" i="71"/>
  <c r="BQ141" i="71"/>
  <c r="BQ137" i="71" s="1"/>
  <c r="BT75" i="71"/>
  <c r="BT76" i="71"/>
  <c r="BT81" i="71"/>
  <c r="BT72" i="71"/>
  <c r="BO180" i="71"/>
  <c r="EE54" i="71"/>
  <c r="EE113" i="71" s="1"/>
  <c r="EE211" i="71" s="1"/>
  <c r="EE51" i="71"/>
  <c r="EE50" i="71"/>
  <c r="EE49" i="71"/>
  <c r="EE45" i="71"/>
  <c r="EE44" i="71"/>
  <c r="ED27" i="71"/>
  <c r="ED23" i="71"/>
  <c r="EE27" i="71"/>
  <c r="EE34" i="71"/>
  <c r="EE23" i="71"/>
  <c r="EE41" i="71"/>
  <c r="EE21" i="71"/>
  <c r="EE17" i="71"/>
  <c r="EE15" i="71"/>
  <c r="EE30" i="71"/>
  <c r="EE12" i="71"/>
  <c r="BN148" i="71"/>
  <c r="BN141" i="71"/>
  <c r="BN146" i="71" s="1"/>
  <c r="BN169" i="71"/>
  <c r="BN159" i="71"/>
  <c r="BN164" i="71" s="1"/>
  <c r="BP169" i="71"/>
  <c r="BP159" i="71"/>
  <c r="BP164" i="71" s="1"/>
  <c r="BP148" i="71"/>
  <c r="BP141" i="71"/>
  <c r="BP146" i="71" s="1"/>
  <c r="EE20" i="71"/>
  <c r="EE29" i="71"/>
  <c r="ED29" i="71"/>
  <c r="ED20" i="71"/>
  <c r="EE10" i="71"/>
  <c r="ED10" i="71"/>
  <c r="EE6" i="71"/>
  <c r="ED6" i="71"/>
  <c r="EE4" i="71"/>
  <c r="ED4" i="71"/>
  <c r="BN63" i="71"/>
  <c r="EE63" i="71" s="1"/>
  <c r="BN43" i="71"/>
  <c r="BP43" i="71"/>
  <c r="BO63" i="71"/>
  <c r="EF63" i="71" s="1"/>
  <c r="BO43" i="71"/>
  <c r="BO11" i="71"/>
  <c r="BO169" i="71"/>
  <c r="BO159" i="71"/>
  <c r="BO164" i="71" s="1"/>
  <c r="BO148" i="71"/>
  <c r="BO141" i="71"/>
  <c r="BO146" i="71" s="1"/>
  <c r="BP11" i="71"/>
  <c r="BN11" i="71"/>
  <c r="ED3" i="71"/>
  <c r="BP84" i="71"/>
  <c r="BN84" i="71"/>
  <c r="BN83" i="71"/>
  <c r="BN81" i="71"/>
  <c r="BP89" i="71"/>
  <c r="BN89" i="71"/>
  <c r="BN88" i="71"/>
  <c r="BN87" i="71"/>
  <c r="BP75" i="71"/>
  <c r="BN75" i="71"/>
  <c r="BL73" i="71"/>
  <c r="BK73" i="71"/>
  <c r="BJ73" i="71"/>
  <c r="BI73" i="71"/>
  <c r="BH73" i="71"/>
  <c r="BG73" i="71"/>
  <c r="BF73" i="71"/>
  <c r="BE73" i="71"/>
  <c r="BD73" i="71"/>
  <c r="BM73" i="71"/>
  <c r="BQ72" i="71"/>
  <c r="BG72" i="71"/>
  <c r="BF72" i="71"/>
  <c r="BE72" i="71"/>
  <c r="BD72" i="71"/>
  <c r="BL72" i="71"/>
  <c r="BK72" i="71"/>
  <c r="BJ72" i="71"/>
  <c r="BI72" i="71"/>
  <c r="BH72" i="71"/>
  <c r="BM72" i="71"/>
  <c r="BP72" i="71"/>
  <c r="BO72" i="71"/>
  <c r="BQ73" i="71"/>
  <c r="BO73" i="71"/>
  <c r="BO89" i="71"/>
  <c r="BP88" i="71"/>
  <c r="BO88" i="71"/>
  <c r="BR87" i="71"/>
  <c r="BP87" i="71"/>
  <c r="BO87" i="71"/>
  <c r="BR84" i="71"/>
  <c r="BQ84" i="71"/>
  <c r="BR83" i="71"/>
  <c r="BP83" i="71"/>
  <c r="BO83" i="71"/>
  <c r="BM84" i="71"/>
  <c r="BM83" i="71"/>
  <c r="BM75" i="71"/>
  <c r="BM89" i="71"/>
  <c r="BM88" i="71"/>
  <c r="BM87" i="71"/>
  <c r="BM81" i="71"/>
  <c r="BK81" i="71"/>
  <c r="BK75" i="71"/>
  <c r="BK62" i="71"/>
  <c r="BG43" i="71"/>
  <c r="BI11" i="71"/>
  <c r="BI43" i="71" s="1"/>
  <c r="BM62" i="71"/>
  <c r="BO75" i="71"/>
  <c r="BQ75" i="71"/>
  <c r="BQ87" i="71"/>
  <c r="BQ88" i="71"/>
  <c r="BQ83" i="71"/>
  <c r="BQ89" i="71"/>
  <c r="BO84" i="71"/>
  <c r="BM43" i="71"/>
  <c r="BM11" i="71"/>
  <c r="BL89" i="71"/>
  <c r="BK89" i="71"/>
  <c r="BL88" i="71"/>
  <c r="BK88" i="71"/>
  <c r="BL87" i="71"/>
  <c r="BK87" i="71"/>
  <c r="BL84" i="71"/>
  <c r="BK84" i="71"/>
  <c r="BL83" i="71"/>
  <c r="BK83" i="71"/>
  <c r="EC3" i="71"/>
  <c r="EB3" i="71"/>
  <c r="BL65" i="71"/>
  <c r="EE65" i="71" s="1"/>
  <c r="BL81" i="71"/>
  <c r="BL75" i="71"/>
  <c r="BL43" i="71"/>
  <c r="BL11" i="71"/>
  <c r="BK11" i="71"/>
  <c r="BO81" i="71"/>
  <c r="ED68" i="71"/>
  <c r="ED59" i="71"/>
  <c r="ED58" i="71"/>
  <c r="ED124" i="71"/>
  <c r="BP81" i="71"/>
  <c r="EE59" i="71"/>
  <c r="BR72" i="71"/>
  <c r="BN72" i="71"/>
  <c r="BN73" i="71"/>
  <c r="BR73" i="71"/>
  <c r="BR81" i="71"/>
  <c r="BQ81" i="71"/>
  <c r="BJ113" i="71"/>
  <c r="BJ65" i="71"/>
  <c r="ED65" i="71" s="1"/>
  <c r="BJ62" i="71"/>
  <c r="BJ89" i="71"/>
  <c r="BJ88" i="71"/>
  <c r="BJ87" i="71"/>
  <c r="BJ86" i="71"/>
  <c r="BJ85" i="71"/>
  <c r="BJ84" i="71"/>
  <c r="BJ83" i="71"/>
  <c r="BJ81" i="71"/>
  <c r="BJ75" i="71"/>
  <c r="BJ43" i="71"/>
  <c r="BJ99" i="71" s="1"/>
  <c r="BF43" i="71"/>
  <c r="BF99" i="71" s="1"/>
  <c r="EC54" i="71"/>
  <c r="EC113" i="71" s="1"/>
  <c r="EC211" i="71" s="1"/>
  <c r="EC52" i="71"/>
  <c r="EC51" i="71"/>
  <c r="EC50" i="71"/>
  <c r="EC47" i="71"/>
  <c r="EC46" i="71"/>
  <c r="EC45" i="71"/>
  <c r="EC44" i="71"/>
  <c r="EC17" i="71"/>
  <c r="EC16" i="71"/>
  <c r="EC15" i="71"/>
  <c r="EC30" i="71"/>
  <c r="EC14" i="71"/>
  <c r="EC12" i="71"/>
  <c r="EC20" i="71"/>
  <c r="EC29" i="71"/>
  <c r="EC11" i="71"/>
  <c r="EC10" i="71"/>
  <c r="EC9" i="71"/>
  <c r="ED54" i="71"/>
  <c r="ED113" i="71" s="1"/>
  <c r="ED211" i="71" s="1"/>
  <c r="ED51" i="71"/>
  <c r="ED50" i="71"/>
  <c r="EE87" i="71" s="1"/>
  <c r="ED47" i="71"/>
  <c r="EE86" i="71" s="1"/>
  <c r="ED46" i="71"/>
  <c r="EE85" i="71" s="1"/>
  <c r="ED45" i="71"/>
  <c r="ED44" i="71"/>
  <c r="ED21" i="71"/>
  <c r="ED34" i="71"/>
  <c r="ED17" i="71"/>
  <c r="ED16" i="71"/>
  <c r="ED15" i="71"/>
  <c r="ED30" i="71"/>
  <c r="ED14" i="71"/>
  <c r="ED12" i="71"/>
  <c r="ED9" i="71"/>
  <c r="BE178" i="71"/>
  <c r="BD178" i="71"/>
  <c r="BH200" i="71"/>
  <c r="BI200" i="71" s="1"/>
  <c r="BH199" i="71"/>
  <c r="BI199" i="71" s="1"/>
  <c r="BH198" i="71"/>
  <c r="BI198" i="71" s="1"/>
  <c r="BH194" i="71"/>
  <c r="BI194" i="71" s="1"/>
  <c r="BH193" i="71"/>
  <c r="BI193" i="71" s="1"/>
  <c r="BH192" i="71"/>
  <c r="BI192" i="71" s="1"/>
  <c r="BH191" i="71"/>
  <c r="BI191" i="71" s="1"/>
  <c r="BH190" i="71"/>
  <c r="BI190" i="71" s="1"/>
  <c r="BH189" i="71"/>
  <c r="BI189" i="71" s="1"/>
  <c r="BH188" i="71"/>
  <c r="BI188" i="71" s="1"/>
  <c r="BH186" i="71"/>
  <c r="BI186" i="71" s="1"/>
  <c r="BH185" i="71"/>
  <c r="BI185" i="71" s="1"/>
  <c r="BH184" i="71"/>
  <c r="BI184" i="71" s="1"/>
  <c r="BH179" i="71"/>
  <c r="BH159" i="71"/>
  <c r="BH164" i="71" s="1"/>
  <c r="BH148" i="71"/>
  <c r="BH141" i="71"/>
  <c r="BH137" i="71" s="1"/>
  <c r="BH169" i="71"/>
  <c r="BH172" i="71" s="1"/>
  <c r="BD198" i="71"/>
  <c r="BE198" i="71" s="1"/>
  <c r="BF198" i="71" s="1"/>
  <c r="BG196" i="71"/>
  <c r="BH196" i="71" s="1"/>
  <c r="BG195" i="71"/>
  <c r="BC180" i="71"/>
  <c r="BF179" i="71"/>
  <c r="BG159" i="71"/>
  <c r="BG164" i="71" s="1"/>
  <c r="BG148" i="71"/>
  <c r="BG141" i="71"/>
  <c r="BG169" i="71"/>
  <c r="BI148" i="71"/>
  <c r="BI141" i="71"/>
  <c r="BI137" i="71" s="1"/>
  <c r="BI181" i="71" s="1"/>
  <c r="BI169" i="71"/>
  <c r="BI159" i="71"/>
  <c r="BI164" i="71" s="1"/>
  <c r="BI113" i="71"/>
  <c r="BH113" i="71"/>
  <c r="BH106" i="71"/>
  <c r="BI89" i="71"/>
  <c r="BI88" i="71"/>
  <c r="BI87" i="71"/>
  <c r="BI86" i="71"/>
  <c r="BI85" i="71"/>
  <c r="BI84" i="71"/>
  <c r="BI83" i="71"/>
  <c r="BI81" i="71"/>
  <c r="BI75" i="71"/>
  <c r="BH83" i="71"/>
  <c r="BH81" i="71"/>
  <c r="BH75" i="71"/>
  <c r="BI62" i="71"/>
  <c r="BH43" i="71"/>
  <c r="BH99" i="71" s="1"/>
  <c r="BR75" i="71"/>
  <c r="BH89" i="71"/>
  <c r="BH88" i="71"/>
  <c r="BH87" i="71"/>
  <c r="BH86" i="71"/>
  <c r="BH85" i="71"/>
  <c r="BH84" i="71"/>
  <c r="BH62" i="71"/>
  <c r="BG62" i="71"/>
  <c r="BG113" i="71"/>
  <c r="BG89" i="71"/>
  <c r="BG88" i="71"/>
  <c r="BG87" i="71"/>
  <c r="BG86" i="71"/>
  <c r="BG85" i="71"/>
  <c r="BG84" i="71"/>
  <c r="BG83" i="71"/>
  <c r="BG81" i="71"/>
  <c r="BG75" i="71"/>
  <c r="BE113" i="71"/>
  <c r="BF113" i="71"/>
  <c r="BD113" i="71"/>
  <c r="BC113" i="71"/>
  <c r="BC115" i="71" s="1"/>
  <c r="BE106" i="71"/>
  <c r="BF106" i="71"/>
  <c r="BD106" i="71"/>
  <c r="BC106" i="71"/>
  <c r="BC108" i="71" s="1"/>
  <c r="BF169" i="71"/>
  <c r="BF172" i="71" s="1"/>
  <c r="BF159" i="71"/>
  <c r="BF164" i="71" s="1"/>
  <c r="BF148" i="71"/>
  <c r="BF141" i="71"/>
  <c r="BF137" i="71" s="1"/>
  <c r="BF89" i="71"/>
  <c r="BF88" i="71"/>
  <c r="BF87" i="71"/>
  <c r="BF86" i="71"/>
  <c r="BF85" i="71"/>
  <c r="BF84" i="71"/>
  <c r="BF83" i="71"/>
  <c r="BF81" i="71"/>
  <c r="BF75" i="71"/>
  <c r="BF65" i="71"/>
  <c r="BF63"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9" i="71"/>
  <c r="BE172" i="71" s="1"/>
  <c r="BL66" i="9"/>
  <c r="BL68" i="9"/>
  <c r="EC62" i="71"/>
  <c r="EC68" i="71"/>
  <c r="EC219" i="71" s="1"/>
  <c r="EC59" i="71"/>
  <c r="EC58" i="71"/>
  <c r="BD200" i="71"/>
  <c r="BE200" i="71" s="1"/>
  <c r="BF200" i="71" s="1"/>
  <c r="BD199" i="71"/>
  <c r="BE199" i="71" s="1"/>
  <c r="BF199" i="71" s="1"/>
  <c r="BD196" i="71"/>
  <c r="BD180" i="71" s="1"/>
  <c r="BD194" i="71"/>
  <c r="BE194" i="71" s="1"/>
  <c r="BF194" i="71" s="1"/>
  <c r="BD193" i="71"/>
  <c r="BE193" i="71" s="1"/>
  <c r="BF193"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AT172" i="71"/>
  <c r="AU172" i="71"/>
  <c r="AV172" i="71"/>
  <c r="AW172" i="71"/>
  <c r="AX172" i="71"/>
  <c r="AY172" i="71"/>
  <c r="AZ172" i="71"/>
  <c r="BA172" i="71"/>
  <c r="BB172" i="71"/>
  <c r="BC172" i="71"/>
  <c r="BD172" i="71"/>
  <c r="BD148" i="71"/>
  <c r="BD141" i="71"/>
  <c r="BD137" i="71" s="1"/>
  <c r="BD159" i="71"/>
  <c r="BD164" i="71" s="1"/>
  <c r="BD170" i="71" s="1"/>
  <c r="BE159" i="71"/>
  <c r="BE164" i="71" s="1"/>
  <c r="BE148" i="71"/>
  <c r="BE141" i="71"/>
  <c r="BE146" i="71" s="1"/>
  <c r="BE89" i="71"/>
  <c r="BE88" i="71"/>
  <c r="BE87" i="71"/>
  <c r="BE86" i="71"/>
  <c r="BE85" i="71"/>
  <c r="BE84" i="71"/>
  <c r="BE83" i="71"/>
  <c r="BE81" i="71"/>
  <c r="BE75" i="71"/>
  <c r="BE43" i="71"/>
  <c r="BE99" i="71" s="1"/>
  <c r="S15" i="74"/>
  <c r="S16" i="74"/>
  <c r="BD65" i="71"/>
  <c r="AH84" i="71"/>
  <c r="AG84" i="71"/>
  <c r="AF84" i="71"/>
  <c r="AE84" i="71"/>
  <c r="AO84" i="71"/>
  <c r="AN84" i="71"/>
  <c r="AM84" i="71"/>
  <c r="AL84" i="71"/>
  <c r="AK84" i="71"/>
  <c r="AJ84" i="71"/>
  <c r="AI84" i="71"/>
  <c r="AW84" i="71"/>
  <c r="AV84" i="71"/>
  <c r="AU84" i="71"/>
  <c r="AT84" i="71"/>
  <c r="AS84" i="71"/>
  <c r="AR84" i="71"/>
  <c r="AQ84" i="71"/>
  <c r="AP84" i="71"/>
  <c r="BD43" i="71"/>
  <c r="BD99" i="71" s="1"/>
  <c r="BC75" i="71"/>
  <c r="ED216" i="71"/>
  <c r="EC216" i="71"/>
  <c r="EB216" i="71"/>
  <c r="EA216" i="71"/>
  <c r="DZ216" i="71"/>
  <c r="DY216" i="71"/>
  <c r="DX216" i="71"/>
  <c r="DW216" i="71"/>
  <c r="DV216" i="71"/>
  <c r="DU216" i="71"/>
  <c r="DT216" i="71"/>
  <c r="DS216" i="71"/>
  <c r="DR216" i="71"/>
  <c r="DQ216" i="71"/>
  <c r="DP216" i="71"/>
  <c r="DO216" i="71"/>
  <c r="DN216" i="71"/>
  <c r="DM216" i="71"/>
  <c r="DL216" i="71"/>
  <c r="DK216" i="71"/>
  <c r="DJ216" i="71"/>
  <c r="DI216" i="71"/>
  <c r="DY219" i="71"/>
  <c r="DT219" i="71"/>
  <c r="S14" i="74"/>
  <c r="S13" i="74"/>
  <c r="S12" i="74"/>
  <c r="S11" i="74"/>
  <c r="S10" i="74"/>
  <c r="S9" i="74"/>
  <c r="S8" i="74"/>
  <c r="S7" i="74"/>
  <c r="S6" i="74"/>
  <c r="S5" i="74"/>
  <c r="BD88" i="71"/>
  <c r="BD86" i="71"/>
  <c r="BD84" i="71"/>
  <c r="BD75" i="71"/>
  <c r="BD89" i="71"/>
  <c r="BD87" i="71"/>
  <c r="BD85" i="71"/>
  <c r="BD83" i="71"/>
  <c r="BC240" i="71"/>
  <c r="BB240" i="71"/>
  <c r="BA240" i="71"/>
  <c r="AZ240" i="71"/>
  <c r="AY240" i="71"/>
  <c r="AX240" i="71"/>
  <c r="AW240" i="71"/>
  <c r="AV240" i="71"/>
  <c r="AU240" i="71"/>
  <c r="AY244" i="71"/>
  <c r="AX244" i="71"/>
  <c r="AU244" i="71"/>
  <c r="AT244" i="71"/>
  <c r="AS244" i="71"/>
  <c r="AR244" i="71"/>
  <c r="AQ244" i="71"/>
  <c r="BC244" i="71"/>
  <c r="AU239" i="71"/>
  <c r="AV239" i="71"/>
  <c r="AW239" i="71"/>
  <c r="AX239" i="71"/>
  <c r="BC239" i="71"/>
  <c r="BB239" i="71"/>
  <c r="BA239" i="71"/>
  <c r="AZ239" i="71"/>
  <c r="AY239" i="71"/>
  <c r="BD239" i="71"/>
  <c r="AY180" i="71"/>
  <c r="BC195" i="71"/>
  <c r="BC197" i="71" s="1"/>
  <c r="BC148" i="71"/>
  <c r="BC141" i="71"/>
  <c r="BC137" i="71" s="1"/>
  <c r="BC159" i="71"/>
  <c r="BC164" i="71" s="1"/>
  <c r="BC170"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5" i="71"/>
  <c r="BC63" i="71"/>
  <c r="BC89" i="71"/>
  <c r="BC88" i="71"/>
  <c r="BC87" i="71"/>
  <c r="BC84" i="71"/>
  <c r="BC83" i="71"/>
  <c r="BC81" i="71"/>
  <c r="BC43" i="71"/>
  <c r="BC99" i="71" s="1"/>
  <c r="AZ184" i="71"/>
  <c r="BA184" i="71" s="1"/>
  <c r="BB184" i="71" s="1"/>
  <c r="AY195" i="71"/>
  <c r="AY197" i="71" s="1"/>
  <c r="BB148" i="71"/>
  <c r="BB141" i="71"/>
  <c r="BB146" i="71" s="1"/>
  <c r="BB159" i="71"/>
  <c r="BB164" i="71" s="1"/>
  <c r="BB170" i="71" s="1"/>
  <c r="BA148" i="71"/>
  <c r="BA141" i="71"/>
  <c r="BA137" i="71" s="1"/>
  <c r="BA159" i="71"/>
  <c r="BA164" i="71" s="1"/>
  <c r="BA170" i="71" s="1"/>
  <c r="EA136" i="71"/>
  <c r="DZ136" i="71"/>
  <c r="EB136" i="71"/>
  <c r="EB159" i="71"/>
  <c r="EB164" i="71" s="1"/>
  <c r="EB148" i="71"/>
  <c r="EB141" i="71"/>
  <c r="EB137" i="71" s="1"/>
  <c r="DZ124" i="71"/>
  <c r="EA124" i="71"/>
  <c r="EB124" i="71"/>
  <c r="EB54" i="71"/>
  <c r="EB113" i="71" s="1"/>
  <c r="EB52" i="71"/>
  <c r="EB51" i="71"/>
  <c r="EB50" i="71"/>
  <c r="EB47" i="71"/>
  <c r="EB46" i="71"/>
  <c r="EB45" i="71"/>
  <c r="EB44" i="71"/>
  <c r="BB65" i="71"/>
  <c r="BB63" i="71"/>
  <c r="BB56" i="71"/>
  <c r="BB89" i="71"/>
  <c r="BB88" i="71"/>
  <c r="BB87" i="71"/>
  <c r="BB86" i="71"/>
  <c r="BB85" i="71"/>
  <c r="BB84" i="71"/>
  <c r="BB83" i="71"/>
  <c r="BB81" i="71"/>
  <c r="BB75" i="71"/>
  <c r="BB43" i="71"/>
  <c r="BB55" i="71" s="1"/>
  <c r="BA89" i="71"/>
  <c r="BA88" i="71"/>
  <c r="BA87" i="71"/>
  <c r="BA86" i="71"/>
  <c r="BA85" i="71"/>
  <c r="BA84" i="71"/>
  <c r="BA83" i="71"/>
  <c r="BA81" i="71"/>
  <c r="BA75" i="71"/>
  <c r="BA43" i="71"/>
  <c r="BA55" i="71" s="1"/>
  <c r="BA92" i="71" s="1"/>
  <c r="C55" i="29"/>
  <c r="C56" i="29"/>
  <c r="C57" i="29"/>
  <c r="C58" i="29"/>
  <c r="C59" i="29"/>
  <c r="C60" i="29"/>
  <c r="C61" i="29"/>
  <c r="C62" i="29"/>
  <c r="AZ89" i="71"/>
  <c r="AZ88" i="71"/>
  <c r="AZ87" i="71"/>
  <c r="AZ86" i="71"/>
  <c r="AZ85" i="71"/>
  <c r="AZ84" i="71"/>
  <c r="AZ83" i="71"/>
  <c r="AY83" i="71"/>
  <c r="AX83" i="71"/>
  <c r="AY84" i="71"/>
  <c r="AX84" i="71"/>
  <c r="EB9" i="71"/>
  <c r="AE4" i="40"/>
  <c r="AD4" i="40"/>
  <c r="K4" i="40"/>
  <c r="AC4" i="40"/>
  <c r="G4" i="40"/>
  <c r="AB4" i="40"/>
  <c r="AE3" i="40"/>
  <c r="AD3" i="40"/>
  <c r="AC3" i="40"/>
  <c r="AB3" i="40"/>
  <c r="AZ200" i="71"/>
  <c r="BA200" i="71" s="1"/>
  <c r="BB200" i="71" s="1"/>
  <c r="AZ199" i="71"/>
  <c r="BA199" i="71" s="1"/>
  <c r="BB199" i="71" s="1"/>
  <c r="AZ198" i="71"/>
  <c r="BA198" i="71" s="1"/>
  <c r="BB198" i="71" s="1"/>
  <c r="AZ196" i="71"/>
  <c r="BA196" i="71" s="1"/>
  <c r="BB196" i="71" s="1"/>
  <c r="BB180" i="71" s="1"/>
  <c r="AZ194" i="71"/>
  <c r="BA194" i="71" s="1"/>
  <c r="BB194" i="71" s="1"/>
  <c r="AZ193" i="71"/>
  <c r="BA193" i="71" s="1"/>
  <c r="BB193" i="71" s="1"/>
  <c r="AZ192" i="71"/>
  <c r="BA192" i="71" s="1"/>
  <c r="BB192" i="71" s="1"/>
  <c r="AZ191" i="71"/>
  <c r="AZ190" i="71"/>
  <c r="BA190" i="71" s="1"/>
  <c r="BB190" i="71" s="1"/>
  <c r="AZ189" i="71"/>
  <c r="BA189" i="71" s="1"/>
  <c r="BB189" i="71" s="1"/>
  <c r="AZ188" i="71"/>
  <c r="BA188" i="71" s="1"/>
  <c r="BB188" i="71" s="1"/>
  <c r="AZ186" i="71"/>
  <c r="BA186" i="71" s="1"/>
  <c r="AZ185" i="71"/>
  <c r="BA185" i="71" s="1"/>
  <c r="BB185" i="71" s="1"/>
  <c r="AZ159" i="71"/>
  <c r="AZ164" i="71" s="1"/>
  <c r="AZ170" i="71" s="1"/>
  <c r="AZ148" i="71"/>
  <c r="AZ141" i="71"/>
  <c r="AZ137" i="71" s="1"/>
  <c r="AS198" i="71"/>
  <c r="AT198" i="71" s="1"/>
  <c r="AR200" i="71"/>
  <c r="AS200" i="71" s="1"/>
  <c r="AT200" i="71" s="1"/>
  <c r="AR199" i="71"/>
  <c r="AS199" i="71" s="1"/>
  <c r="AT199" i="71" s="1"/>
  <c r="AU198" i="71"/>
  <c r="AV198" i="71" s="1"/>
  <c r="AW198" i="71" s="1"/>
  <c r="AX198" i="71" s="1"/>
  <c r="AV200" i="71"/>
  <c r="AW200" i="71" s="1"/>
  <c r="AX200" i="71" s="1"/>
  <c r="AV199" i="71"/>
  <c r="AW199" i="71" s="1"/>
  <c r="AX199" i="71" s="1"/>
  <c r="AV179" i="71"/>
  <c r="AW179" i="71" s="1"/>
  <c r="AX179" i="71" s="1"/>
  <c r="AY141" i="71"/>
  <c r="AY146" i="71" s="1"/>
  <c r="AW159" i="71"/>
  <c r="AW164" i="71" s="1"/>
  <c r="AW170" i="71" s="1"/>
  <c r="AW148" i="71"/>
  <c r="AW141" i="71"/>
  <c r="AW137" i="71" s="1"/>
  <c r="AX148" i="71"/>
  <c r="AX141" i="71"/>
  <c r="AX137" i="71" s="1"/>
  <c r="AX159" i="71"/>
  <c r="AX164" i="71" s="1"/>
  <c r="AX170" i="71" s="1"/>
  <c r="AY159" i="71"/>
  <c r="AY164" i="71" s="1"/>
  <c r="AY170" i="71" s="1"/>
  <c r="AY148" i="71"/>
  <c r="DY141" i="71"/>
  <c r="DY146" i="71" s="1"/>
  <c r="AM141" i="71"/>
  <c r="AM146" i="71" s="1"/>
  <c r="BB113" i="71"/>
  <c r="BA113" i="71"/>
  <c r="EB62" i="71"/>
  <c r="AZ43" i="71"/>
  <c r="AZ55" i="71" s="1"/>
  <c r="AZ57"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35" i="71" s="1"/>
  <c r="AZ106"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3" i="71"/>
  <c r="M65" i="9"/>
  <c r="DW54" i="71"/>
  <c r="DW52" i="71"/>
  <c r="DW51" i="71"/>
  <c r="DW45" i="71"/>
  <c r="DW46" i="71"/>
  <c r="DW47" i="71"/>
  <c r="DX54" i="71"/>
  <c r="DX113" i="71" s="1"/>
  <c r="DX52" i="71"/>
  <c r="DX51" i="71"/>
  <c r="DX44" i="71"/>
  <c r="DX45" i="71"/>
  <c r="DX46" i="71"/>
  <c r="DX47" i="71"/>
  <c r="DW44" i="71"/>
  <c r="DS43" i="71"/>
  <c r="DT43" i="71"/>
  <c r="DU43" i="71"/>
  <c r="DV43" i="71"/>
  <c r="DV54" i="71"/>
  <c r="DV53" i="71"/>
  <c r="DV52" i="71"/>
  <c r="DV51" i="71"/>
  <c r="DV47" i="71"/>
  <c r="DV46" i="71"/>
  <c r="DV45" i="71"/>
  <c r="DV44" i="71"/>
  <c r="DU53" i="71"/>
  <c r="DU52" i="71"/>
  <c r="DU51" i="71"/>
  <c r="DU47" i="71"/>
  <c r="DU46" i="71"/>
  <c r="DU45" i="71"/>
  <c r="DU44" i="71"/>
  <c r="S44" i="71"/>
  <c r="DT44" i="71" s="1"/>
  <c r="R44" i="71"/>
  <c r="Q44" i="71"/>
  <c r="P44" i="71"/>
  <c r="O44"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5" i="71" s="1"/>
  <c r="AM3" i="71"/>
  <c r="AQ75" i="71" s="1"/>
  <c r="AL3" i="71"/>
  <c r="AP75" i="71" s="1"/>
  <c r="AK3" i="71"/>
  <c r="AO75" i="71" s="1"/>
  <c r="AJ3" i="71"/>
  <c r="AI3" i="71"/>
  <c r="AH3" i="71"/>
  <c r="AG3" i="71"/>
  <c r="AF3" i="71"/>
  <c r="AE3" i="71"/>
  <c r="AD3" i="71"/>
  <c r="AC3" i="71"/>
  <c r="AB3" i="71"/>
  <c r="AA3" i="71"/>
  <c r="Z3" i="71"/>
  <c r="Y3" i="71"/>
  <c r="X3" i="71"/>
  <c r="W3" i="71"/>
  <c r="V3" i="71"/>
  <c r="U3" i="71"/>
  <c r="T3" i="71"/>
  <c r="S3" i="71"/>
  <c r="R3" i="71"/>
  <c r="R75" i="71" s="1"/>
  <c r="Q3" i="71"/>
  <c r="Q75" i="71" s="1"/>
  <c r="P3" i="71"/>
  <c r="P75" i="71" s="1"/>
  <c r="O3" i="71"/>
  <c r="O75"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3" i="71"/>
  <c r="AV55" i="71" s="1"/>
  <c r="AV242" i="71" s="1"/>
  <c r="AW43" i="71"/>
  <c r="AX43" i="71"/>
  <c r="AX55" i="71" s="1"/>
  <c r="AX242" i="71" s="1"/>
  <c r="EA44" i="71"/>
  <c r="EA45" i="71"/>
  <c r="EA46" i="71"/>
  <c r="EA47" i="71"/>
  <c r="EB86" i="71" s="1"/>
  <c r="EA50" i="71"/>
  <c r="EA51" i="71"/>
  <c r="EA52" i="71"/>
  <c r="EA54" i="71"/>
  <c r="EA113" i="71" s="1"/>
  <c r="EA3" i="71"/>
  <c r="EA10" i="71"/>
  <c r="EA29" i="71"/>
  <c r="EA16" i="71"/>
  <c r="EA20" i="71"/>
  <c r="EA12" i="71"/>
  <c r="AW14" i="71"/>
  <c r="EA14" i="71" s="1"/>
  <c r="EA30" i="71"/>
  <c r="EA15" i="71"/>
  <c r="EA39" i="71"/>
  <c r="EA17" i="71"/>
  <c r="EA56" i="71"/>
  <c r="AT43" i="71"/>
  <c r="AT99" i="71" s="1"/>
  <c r="AS11" i="71"/>
  <c r="AS43" i="71" s="1"/>
  <c r="AR11" i="71"/>
  <c r="AR20" i="71"/>
  <c r="AQ11" i="71"/>
  <c r="AQ20" i="71"/>
  <c r="DZ44" i="71"/>
  <c r="DZ39" i="71"/>
  <c r="DZ37" i="71"/>
  <c r="DZ15" i="71"/>
  <c r="DZ30" i="71"/>
  <c r="DZ14" i="71"/>
  <c r="DZ12" i="71"/>
  <c r="DZ16" i="71"/>
  <c r="DZ29" i="71"/>
  <c r="DZ10" i="71"/>
  <c r="DZ9" i="71"/>
  <c r="DZ3" i="71"/>
  <c r="DZ45" i="71"/>
  <c r="DZ46" i="71"/>
  <c r="DZ47" i="71"/>
  <c r="DZ50" i="71"/>
  <c r="DZ51" i="71"/>
  <c r="DZ52" i="71"/>
  <c r="AQ53" i="71"/>
  <c r="AQ106" i="71" s="1"/>
  <c r="AR53" i="71"/>
  <c r="AR106" i="71" s="1"/>
  <c r="AS53" i="71"/>
  <c r="AS106" i="71" s="1"/>
  <c r="DZ54" i="71"/>
  <c r="DZ113" i="71" s="1"/>
  <c r="DZ56" i="71"/>
  <c r="DZ58" i="71"/>
  <c r="AT59" i="71"/>
  <c r="DZ59" i="71" s="1"/>
  <c r="AR62" i="71"/>
  <c r="DZ62" i="71" s="1"/>
  <c r="AS63" i="71"/>
  <c r="AT63" i="71" s="1"/>
  <c r="DZ63" i="71" s="1"/>
  <c r="DZ68" i="71"/>
  <c r="DZ219" i="71" s="1"/>
  <c r="EA58" i="71"/>
  <c r="EA59" i="71"/>
  <c r="EA62" i="71"/>
  <c r="AX63" i="71"/>
  <c r="EA63" i="71" s="1"/>
  <c r="AX65" i="71"/>
  <c r="EA65" i="71" s="1"/>
  <c r="DY54" i="71"/>
  <c r="DY113" i="71" s="1"/>
  <c r="AM29" i="71"/>
  <c r="AQ81" i="71" s="1"/>
  <c r="AO43" i="71"/>
  <c r="AO99" i="71" s="1"/>
  <c r="AP43" i="71"/>
  <c r="AP99" i="71" s="1"/>
  <c r="AY85" i="71"/>
  <c r="AY86" i="71"/>
  <c r="AY81" i="71"/>
  <c r="AY75"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0" i="71"/>
  <c r="AA8" i="71"/>
  <c r="AB8" i="71"/>
  <c r="AC8" i="71"/>
  <c r="AD8" i="71"/>
  <c r="AA29" i="71"/>
  <c r="AB29" i="71"/>
  <c r="AC29" i="71"/>
  <c r="AD29" i="71"/>
  <c r="AA16" i="71"/>
  <c r="AB16" i="71"/>
  <c r="AC16" i="71"/>
  <c r="AD16" i="71"/>
  <c r="AA20" i="71"/>
  <c r="AB20" i="71"/>
  <c r="AC20" i="71"/>
  <c r="AD20" i="71"/>
  <c r="DV38" i="71"/>
  <c r="DV35" i="71"/>
  <c r="AA37" i="71"/>
  <c r="AB37" i="71"/>
  <c r="AC37" i="71"/>
  <c r="AD37" i="71"/>
  <c r="DV50" i="71"/>
  <c r="W8" i="71"/>
  <c r="X8" i="71"/>
  <c r="Y8" i="71"/>
  <c r="Z8" i="71"/>
  <c r="W29" i="71"/>
  <c r="X29" i="71"/>
  <c r="Y29" i="71"/>
  <c r="Z29" i="71"/>
  <c r="W16" i="71"/>
  <c r="X16" i="71"/>
  <c r="Y16" i="71"/>
  <c r="Z16" i="71"/>
  <c r="W20" i="71"/>
  <c r="X20" i="71"/>
  <c r="Y20" i="71"/>
  <c r="Z20" i="71"/>
  <c r="DU35" i="71"/>
  <c r="W37" i="71"/>
  <c r="X37" i="71"/>
  <c r="Y37" i="71"/>
  <c r="Z37" i="71"/>
  <c r="DU50" i="71"/>
  <c r="AI20" i="71"/>
  <c r="AJ20" i="71"/>
  <c r="AK20" i="71"/>
  <c r="AI8" i="71"/>
  <c r="AJ8" i="71"/>
  <c r="AK8" i="71"/>
  <c r="AI29" i="71"/>
  <c r="AJ29" i="71"/>
  <c r="AJ81" i="71" s="1"/>
  <c r="AK29" i="71"/>
  <c r="AO81" i="71" s="1"/>
  <c r="AL29" i="71"/>
  <c r="AL81" i="71" s="1"/>
  <c r="DX50" i="71"/>
  <c r="DY44" i="71"/>
  <c r="DY45" i="71"/>
  <c r="DY46" i="71"/>
  <c r="DY47" i="71"/>
  <c r="DY50" i="71"/>
  <c r="DY51" i="71"/>
  <c r="DY52" i="71"/>
  <c r="AM53" i="71"/>
  <c r="AM106" i="71" s="1"/>
  <c r="AM232" i="71" s="1"/>
  <c r="AN53" i="71"/>
  <c r="AN106" i="71" s="1"/>
  <c r="AN108" i="71" s="1"/>
  <c r="AO53" i="71"/>
  <c r="AO106" i="71" s="1"/>
  <c r="AP53" i="71"/>
  <c r="AL53" i="71"/>
  <c r="AL106" i="71" s="1"/>
  <c r="AL108" i="71" s="1"/>
  <c r="AK16" i="71"/>
  <c r="AK14" i="71"/>
  <c r="AK37" i="71"/>
  <c r="AK53" i="71"/>
  <c r="AJ16" i="71"/>
  <c r="AJ14" i="71"/>
  <c r="AJ53" i="71"/>
  <c r="AJ106" i="71" s="1"/>
  <c r="AI16" i="71"/>
  <c r="AI14" i="71"/>
  <c r="AI37" i="71"/>
  <c r="AI53" i="71"/>
  <c r="AI106" i="71" s="1"/>
  <c r="AH53" i="71"/>
  <c r="AH106" i="71" s="1"/>
  <c r="AH108" i="71" s="1"/>
  <c r="AG53" i="71"/>
  <c r="AG106" i="71" s="1"/>
  <c r="AF53" i="71"/>
  <c r="AE53" i="71"/>
  <c r="AY43" i="71"/>
  <c r="AY99" i="71" s="1"/>
  <c r="AY229" i="71" s="1"/>
  <c r="EA68" i="71"/>
  <c r="EA21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32" i="71" s="1"/>
  <c r="AY106" i="71"/>
  <c r="AY113" i="71"/>
  <c r="AY235" i="71" s="1"/>
  <c r="AU113" i="71"/>
  <c r="AU235"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4" i="71"/>
  <c r="G44" i="71"/>
  <c r="C44" i="71" s="1"/>
  <c r="H44" i="71"/>
  <c r="D44" i="71" s="1"/>
  <c r="I44" i="71"/>
  <c r="E44" i="71" s="1"/>
  <c r="J44" i="71"/>
  <c r="F44" i="71"/>
  <c r="DS45" i="71"/>
  <c r="DS84" i="71" s="1"/>
  <c r="DT45" i="71"/>
  <c r="DP46" i="71"/>
  <c r="G46" i="71"/>
  <c r="C46" i="71" s="1"/>
  <c r="H46" i="71"/>
  <c r="L85" i="71" s="1"/>
  <c r="I46" i="71"/>
  <c r="M85" i="71" s="1"/>
  <c r="J46" i="71"/>
  <c r="DR46" i="71"/>
  <c r="DS46" i="71"/>
  <c r="DT46" i="71"/>
  <c r="F46" i="71"/>
  <c r="G47" i="71"/>
  <c r="K86" i="71" s="1"/>
  <c r="H47" i="71"/>
  <c r="I47" i="71"/>
  <c r="M86" i="71" s="1"/>
  <c r="F47" i="71"/>
  <c r="J47" i="71"/>
  <c r="N86" i="71" s="1"/>
  <c r="DR47" i="71"/>
  <c r="DS47" i="71"/>
  <c r="DT47" i="71"/>
  <c r="G50" i="71"/>
  <c r="C50" i="71" s="1"/>
  <c r="H50" i="71"/>
  <c r="D50" i="71" s="1"/>
  <c r="I50" i="71"/>
  <c r="F50" i="71"/>
  <c r="J50" i="71"/>
  <c r="K50" i="71"/>
  <c r="O87" i="71" s="1"/>
  <c r="L50" i="71"/>
  <c r="P87" i="71" s="1"/>
  <c r="M50" i="71"/>
  <c r="N50" i="71"/>
  <c r="DS50" i="71"/>
  <c r="DT50" i="71"/>
  <c r="DO51" i="71"/>
  <c r="DP88" i="71" s="1"/>
  <c r="G51" i="71"/>
  <c r="C51" i="71" s="1"/>
  <c r="G88" i="71" s="1"/>
  <c r="H51" i="71"/>
  <c r="I51" i="71"/>
  <c r="J51" i="71"/>
  <c r="K51" i="71"/>
  <c r="O88" i="71" s="1"/>
  <c r="L51" i="71"/>
  <c r="P88" i="71" s="1"/>
  <c r="M51" i="71"/>
  <c r="Q88" i="71" s="1"/>
  <c r="N51" i="71"/>
  <c r="R88" i="71" s="1"/>
  <c r="DS51" i="71"/>
  <c r="DT51" i="71"/>
  <c r="F51" i="71"/>
  <c r="DP52" i="71"/>
  <c r="DO52" i="71" s="1"/>
  <c r="G52" i="71"/>
  <c r="K89" i="71" s="1"/>
  <c r="H52" i="71"/>
  <c r="L89" i="71" s="1"/>
  <c r="I52" i="71"/>
  <c r="M89" i="71" s="1"/>
  <c r="J52" i="71"/>
  <c r="N89" i="71" s="1"/>
  <c r="DS52" i="71"/>
  <c r="DT52" i="71"/>
  <c r="F52" i="71"/>
  <c r="DQ53" i="71"/>
  <c r="DS53" i="71"/>
  <c r="DT53" i="71"/>
  <c r="DQ56" i="71"/>
  <c r="DQ57" i="71" s="1"/>
  <c r="DY56" i="71"/>
  <c r="DH57" i="71"/>
  <c r="DH61" i="71" s="1"/>
  <c r="DI57" i="71"/>
  <c r="DI91" i="71" s="1"/>
  <c r="DJ57" i="71"/>
  <c r="DJ61" i="71" s="1"/>
  <c r="DK57" i="71"/>
  <c r="DK61" i="71" s="1"/>
  <c r="DK94" i="71" s="1"/>
  <c r="DL57" i="71"/>
  <c r="DL91" i="71" s="1"/>
  <c r="DM57" i="71"/>
  <c r="DM213" i="71" s="1"/>
  <c r="DN57" i="71"/>
  <c r="DN61" i="71" s="1"/>
  <c r="DN94" i="71" s="1"/>
  <c r="DO57" i="71"/>
  <c r="DP57" i="71"/>
  <c r="DP61" i="71" s="1"/>
  <c r="DR57" i="71"/>
  <c r="DR213" i="71" s="1"/>
  <c r="DS57" i="71"/>
  <c r="DS213" i="71" s="1"/>
  <c r="DT57" i="71"/>
  <c r="DT213" i="71" s="1"/>
  <c r="C57" i="71"/>
  <c r="C61" i="71" s="1"/>
  <c r="D57" i="71"/>
  <c r="D91" i="71" s="1"/>
  <c r="E57" i="71"/>
  <c r="E61" i="71" s="1"/>
  <c r="E94" i="71" s="1"/>
  <c r="F57" i="71"/>
  <c r="F91" i="71" s="1"/>
  <c r="G57" i="71"/>
  <c r="G61" i="71" s="1"/>
  <c r="G94" i="71" s="1"/>
  <c r="H57" i="71"/>
  <c r="H61" i="71" s="1"/>
  <c r="H94" i="71" s="1"/>
  <c r="I57" i="71"/>
  <c r="I61" i="71" s="1"/>
  <c r="I94" i="71" s="1"/>
  <c r="J57" i="71"/>
  <c r="J61" i="71" s="1"/>
  <c r="J64" i="71" s="1"/>
  <c r="K57" i="71"/>
  <c r="K61" i="71" s="1"/>
  <c r="K94" i="71" s="1"/>
  <c r="L57" i="71"/>
  <c r="L91" i="71" s="1"/>
  <c r="M57" i="71"/>
  <c r="M61" i="71" s="1"/>
  <c r="M94" i="71" s="1"/>
  <c r="N57" i="71"/>
  <c r="N61" i="71" s="1"/>
  <c r="N64" i="71" s="1"/>
  <c r="O57" i="71"/>
  <c r="O61" i="71" s="1"/>
  <c r="P57" i="71"/>
  <c r="P61" i="71" s="1"/>
  <c r="P94" i="71" s="1"/>
  <c r="Q57" i="71"/>
  <c r="Q61" i="71" s="1"/>
  <c r="Q94" i="71" s="1"/>
  <c r="R57" i="71"/>
  <c r="R61" i="71" s="1"/>
  <c r="S57" i="71"/>
  <c r="S61" i="71" s="1"/>
  <c r="S94" i="71" s="1"/>
  <c r="T57" i="71"/>
  <c r="T91" i="71" s="1"/>
  <c r="U57" i="71"/>
  <c r="U61" i="71" s="1"/>
  <c r="U94" i="71" s="1"/>
  <c r="V57" i="71"/>
  <c r="V91" i="71" s="1"/>
  <c r="W57" i="71"/>
  <c r="X57" i="71"/>
  <c r="X61" i="71" s="1"/>
  <c r="Y57" i="71"/>
  <c r="Y61" i="71" s="1"/>
  <c r="Z57" i="71"/>
  <c r="DY58" i="71"/>
  <c r="AN59" i="71"/>
  <c r="DY59" i="71" s="1"/>
  <c r="DH62" i="71"/>
  <c r="DI62" i="71"/>
  <c r="DJ62" i="71"/>
  <c r="DK62" i="71"/>
  <c r="DL62" i="71"/>
  <c r="DM62" i="71"/>
  <c r="DN63" i="71"/>
  <c r="DO63" i="71"/>
  <c r="DP63" i="71"/>
  <c r="DQ63" i="71"/>
  <c r="DR63" i="71"/>
  <c r="DS63" i="71"/>
  <c r="DT63" i="71"/>
  <c r="DU63" i="71"/>
  <c r="DV63" i="71"/>
  <c r="DW63" i="71"/>
  <c r="DX63" i="71"/>
  <c r="C63" i="71"/>
  <c r="D63" i="71"/>
  <c r="E63" i="71"/>
  <c r="G63" i="71"/>
  <c r="H63" i="71"/>
  <c r="I63" i="71"/>
  <c r="K63" i="71"/>
  <c r="L63" i="71"/>
  <c r="M63" i="71"/>
  <c r="O63" i="71"/>
  <c r="P63" i="71"/>
  <c r="Q63" i="71"/>
  <c r="T63" i="71"/>
  <c r="U63" i="71"/>
  <c r="W63" i="71"/>
  <c r="X63" i="71"/>
  <c r="Y63" i="71"/>
  <c r="AA63" i="71"/>
  <c r="AB63" i="71"/>
  <c r="AC63" i="71"/>
  <c r="AG63" i="71"/>
  <c r="AH65" i="71"/>
  <c r="DH68" i="71"/>
  <c r="DI68" i="71"/>
  <c r="DI219" i="71" s="1"/>
  <c r="DJ68" i="71"/>
  <c r="DJ219" i="71" s="1"/>
  <c r="DK68" i="71"/>
  <c r="DK219" i="71" s="1"/>
  <c r="DL68" i="71"/>
  <c r="DL219" i="71" s="1"/>
  <c r="DM68" i="71"/>
  <c r="DM219" i="71" s="1"/>
  <c r="DN68" i="71"/>
  <c r="DN219" i="71" s="1"/>
  <c r="DO68" i="71"/>
  <c r="DO219" i="71" s="1"/>
  <c r="DP68" i="71"/>
  <c r="DP219" i="71" s="1"/>
  <c r="DQ68" i="71"/>
  <c r="DQ219" i="71" s="1"/>
  <c r="DR68" i="71"/>
  <c r="DR219" i="71" s="1"/>
  <c r="DS68" i="71"/>
  <c r="DS219" i="71" s="1"/>
  <c r="DU68" i="71"/>
  <c r="DU219" i="71" s="1"/>
  <c r="DV68" i="71"/>
  <c r="DV219" i="71" s="1"/>
  <c r="DW68" i="71"/>
  <c r="DW219" i="71" s="1"/>
  <c r="DX68" i="71"/>
  <c r="DX219" i="71" s="1"/>
  <c r="C68" i="71"/>
  <c r="D68" i="71"/>
  <c r="E68" i="71"/>
  <c r="F68" i="71"/>
  <c r="G68" i="71"/>
  <c r="H68" i="71"/>
  <c r="I68" i="71"/>
  <c r="J68" i="71"/>
  <c r="K68" i="71"/>
  <c r="L68" i="71"/>
  <c r="M68" i="71"/>
  <c r="N68" i="71"/>
  <c r="O68" i="71"/>
  <c r="P68" i="71"/>
  <c r="Q68" i="71"/>
  <c r="R68" i="71"/>
  <c r="S68" i="71"/>
  <c r="Z68" i="71"/>
  <c r="DI71" i="71"/>
  <c r="DJ71" i="71"/>
  <c r="DK71" i="71"/>
  <c r="DL71" i="71"/>
  <c r="DM71" i="71"/>
  <c r="DN71" i="71"/>
  <c r="DO71" i="71"/>
  <c r="DP71" i="71"/>
  <c r="DQ71" i="71"/>
  <c r="DR71" i="71"/>
  <c r="DS71" i="71"/>
  <c r="DT71" i="71"/>
  <c r="H71" i="71"/>
  <c r="I71" i="71"/>
  <c r="J71" i="71"/>
  <c r="K71" i="71"/>
  <c r="L71" i="71"/>
  <c r="M71" i="71"/>
  <c r="N71" i="71"/>
  <c r="O71" i="71"/>
  <c r="P71" i="71"/>
  <c r="Q71" i="71"/>
  <c r="R71" i="71"/>
  <c r="S71" i="71"/>
  <c r="T71" i="71"/>
  <c r="U71" i="71"/>
  <c r="V71" i="71"/>
  <c r="W71" i="71"/>
  <c r="X71" i="71"/>
  <c r="Y71" i="71"/>
  <c r="Z71" i="71"/>
  <c r="AS81" i="71"/>
  <c r="AT81" i="71"/>
  <c r="AU81" i="71"/>
  <c r="AV81" i="71"/>
  <c r="AW81" i="71"/>
  <c r="AX81" i="71"/>
  <c r="AZ81" i="71"/>
  <c r="DX75" i="71"/>
  <c r="AS75" i="71"/>
  <c r="AT75" i="71"/>
  <c r="AU75" i="71"/>
  <c r="AV75" i="71"/>
  <c r="AW75" i="71"/>
  <c r="AX75"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AY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H92" i="71"/>
  <c r="DI92" i="71"/>
  <c r="DJ92" i="71"/>
  <c r="DK92" i="71"/>
  <c r="DL92" i="71"/>
  <c r="DM92" i="71"/>
  <c r="DN92" i="71"/>
  <c r="DO92" i="71"/>
  <c r="DP92" i="71"/>
  <c r="DQ92" i="71"/>
  <c r="DR92" i="71"/>
  <c r="DS92" i="71"/>
  <c r="DT92" i="71"/>
  <c r="C92" i="71"/>
  <c r="D92" i="71"/>
  <c r="E92" i="71"/>
  <c r="F92" i="71"/>
  <c r="G92" i="71"/>
  <c r="H92" i="71"/>
  <c r="I92" i="71"/>
  <c r="J92" i="71"/>
  <c r="K92" i="71"/>
  <c r="L92" i="71"/>
  <c r="M92" i="71"/>
  <c r="N92" i="71"/>
  <c r="O92" i="71"/>
  <c r="P92" i="71"/>
  <c r="Q92" i="71"/>
  <c r="R92" i="71"/>
  <c r="S92" i="71"/>
  <c r="T92" i="71"/>
  <c r="U92" i="71"/>
  <c r="V92" i="71"/>
  <c r="W92" i="71"/>
  <c r="X92" i="71"/>
  <c r="Y92" i="71"/>
  <c r="Z92" i="71"/>
  <c r="DH93" i="71"/>
  <c r="DI93" i="71"/>
  <c r="DJ93" i="71"/>
  <c r="DK93" i="71"/>
  <c r="DL93" i="71"/>
  <c r="DM93" i="71"/>
  <c r="DN93" i="71"/>
  <c r="DO93" i="71"/>
  <c r="DP93" i="71"/>
  <c r="DQ93" i="71"/>
  <c r="DR93" i="71"/>
  <c r="DS93" i="71"/>
  <c r="DT93" i="71"/>
  <c r="C93" i="71"/>
  <c r="D93" i="71"/>
  <c r="E93" i="71"/>
  <c r="F93" i="71"/>
  <c r="G93" i="71"/>
  <c r="H93" i="71"/>
  <c r="I93" i="71"/>
  <c r="J93" i="71"/>
  <c r="K93" i="71"/>
  <c r="L93" i="71"/>
  <c r="M93" i="71"/>
  <c r="N93" i="71"/>
  <c r="O93" i="71"/>
  <c r="P93" i="71"/>
  <c r="Q93" i="71"/>
  <c r="R93" i="71"/>
  <c r="S93" i="71"/>
  <c r="T93" i="71"/>
  <c r="U93" i="71"/>
  <c r="V93" i="71"/>
  <c r="W93" i="71"/>
  <c r="X93" i="71"/>
  <c r="Y93" i="71"/>
  <c r="Z93" i="71"/>
  <c r="DX100" i="71"/>
  <c r="DX101" i="71" s="1"/>
  <c r="DK101" i="71"/>
  <c r="DL101" i="71"/>
  <c r="DM101" i="71"/>
  <c r="DN101" i="71"/>
  <c r="DO101" i="71"/>
  <c r="DP101" i="71"/>
  <c r="DQ101" i="71"/>
  <c r="DR101" i="71"/>
  <c r="DS101" i="71"/>
  <c r="DT101" i="71"/>
  <c r="DU101" i="71"/>
  <c r="DV101" i="71"/>
  <c r="DW101" i="71"/>
  <c r="W101" i="71"/>
  <c r="X101" i="71"/>
  <c r="Y101" i="71"/>
  <c r="Z101" i="71"/>
  <c r="AA101" i="71"/>
  <c r="AB101" i="71"/>
  <c r="AC101" i="71"/>
  <c r="AD101" i="71"/>
  <c r="AE101" i="71"/>
  <c r="DK102" i="71"/>
  <c r="DL102" i="71"/>
  <c r="DM102" i="71"/>
  <c r="DN102" i="71"/>
  <c r="DO102" i="71"/>
  <c r="DP102" i="71"/>
  <c r="DQ102" i="71"/>
  <c r="DR102" i="71"/>
  <c r="DS102" i="71"/>
  <c r="DT102" i="71"/>
  <c r="Z102" i="71"/>
  <c r="DL103" i="71"/>
  <c r="DM103" i="71"/>
  <c r="DN103" i="71"/>
  <c r="DO103" i="71"/>
  <c r="DP103" i="71"/>
  <c r="DQ103" i="71"/>
  <c r="DR103" i="71"/>
  <c r="DS103" i="71"/>
  <c r="DT103" i="71"/>
  <c r="DU103" i="71"/>
  <c r="DV103" i="71"/>
  <c r="DW103" i="71"/>
  <c r="DX103" i="71"/>
  <c r="AT106" i="71"/>
  <c r="AV106" i="71"/>
  <c r="AV232" i="71" s="1"/>
  <c r="AW106" i="71"/>
  <c r="AX106" i="71"/>
  <c r="AM107" i="71"/>
  <c r="DK108" i="71"/>
  <c r="DL108" i="71"/>
  <c r="DM108" i="71"/>
  <c r="DN108" i="71"/>
  <c r="DO108" i="71"/>
  <c r="DP108" i="71"/>
  <c r="DQ108" i="71"/>
  <c r="DR108" i="71"/>
  <c r="DS108" i="71"/>
  <c r="DT108" i="71"/>
  <c r="DV108" i="71"/>
  <c r="W108" i="71"/>
  <c r="X108" i="71"/>
  <c r="Y108" i="71"/>
  <c r="Z108" i="71"/>
  <c r="AA108" i="71"/>
  <c r="AB108" i="71"/>
  <c r="AC108" i="71"/>
  <c r="AD108" i="71"/>
  <c r="AE108" i="71"/>
  <c r="DK109" i="71"/>
  <c r="DL109" i="71"/>
  <c r="DM109" i="71"/>
  <c r="DN109" i="71"/>
  <c r="DO109" i="71"/>
  <c r="DP109" i="71"/>
  <c r="DQ109" i="71"/>
  <c r="DR109" i="71"/>
  <c r="DS109" i="71"/>
  <c r="DT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35" i="71" s="1"/>
  <c r="AP113" i="71"/>
  <c r="AP235" i="71" s="1"/>
  <c r="AQ113" i="71"/>
  <c r="AR113" i="71"/>
  <c r="AS113" i="71"/>
  <c r="AS235" i="71" s="1"/>
  <c r="AT113" i="71"/>
  <c r="AT235" i="71" s="1"/>
  <c r="AV113" i="71"/>
  <c r="AW113" i="71"/>
  <c r="AW235" i="71" s="1"/>
  <c r="AX113" i="71"/>
  <c r="AX235" i="71" s="1"/>
  <c r="DK115" i="71"/>
  <c r="DL115" i="71"/>
  <c r="DM115" i="71"/>
  <c r="DN115" i="71"/>
  <c r="DO115" i="71"/>
  <c r="DP115" i="71"/>
  <c r="DQ115" i="71"/>
  <c r="DR115" i="71"/>
  <c r="DS115" i="71"/>
  <c r="DT115" i="71"/>
  <c r="DU115" i="71"/>
  <c r="DV115" i="71"/>
  <c r="DW115" i="71"/>
  <c r="DK116" i="71"/>
  <c r="DL116" i="71"/>
  <c r="DM116" i="71"/>
  <c r="DN116" i="71"/>
  <c r="DO116" i="71"/>
  <c r="DP116" i="71"/>
  <c r="DQ116" i="71"/>
  <c r="DR116" i="71"/>
  <c r="DS116" i="71"/>
  <c r="DT116" i="71"/>
  <c r="DT124" i="71"/>
  <c r="DU124" i="71"/>
  <c r="DV124" i="71"/>
  <c r="DW124" i="71"/>
  <c r="DX124" i="71"/>
  <c r="DX141" i="71"/>
  <c r="AP141" i="71"/>
  <c r="AP137" i="71" s="1"/>
  <c r="AQ141" i="71"/>
  <c r="AQ137" i="71" s="1"/>
  <c r="AR141" i="71"/>
  <c r="AR137" i="71" s="1"/>
  <c r="AS141" i="71"/>
  <c r="AS137" i="71" s="1"/>
  <c r="AT141" i="71"/>
  <c r="AT137" i="71" s="1"/>
  <c r="AU141" i="71"/>
  <c r="AU137" i="71" s="1"/>
  <c r="AV141" i="71"/>
  <c r="AV137" i="71" s="1"/>
  <c r="DY148" i="71"/>
  <c r="AM148" i="71"/>
  <c r="AP148" i="71"/>
  <c r="AQ148" i="71"/>
  <c r="AR148" i="71"/>
  <c r="AS148" i="71"/>
  <c r="AT148" i="71"/>
  <c r="AU148" i="71"/>
  <c r="AV148" i="71"/>
  <c r="DY159" i="71"/>
  <c r="DY164" i="71" s="1"/>
  <c r="AM159" i="71"/>
  <c r="AM164" i="71" s="1"/>
  <c r="AM170" i="71" s="1"/>
  <c r="AI179" i="71"/>
  <c r="AI180" i="71" s="1"/>
  <c r="AM179" i="71"/>
  <c r="AM180" i="71" s="1"/>
  <c r="AR179" i="71"/>
  <c r="AQ180" i="71"/>
  <c r="AR196" i="71"/>
  <c r="AS196" i="71" s="1"/>
  <c r="AT196" i="71" s="1"/>
  <c r="AU180" i="71"/>
  <c r="AV196" i="71"/>
  <c r="AW196" i="71" s="1"/>
  <c r="AR185" i="71"/>
  <c r="AS185" i="71" s="1"/>
  <c r="AT185" i="71" s="1"/>
  <c r="AV185" i="71"/>
  <c r="AW185" i="71" s="1"/>
  <c r="AX185" i="71" s="1"/>
  <c r="AR186" i="71"/>
  <c r="AS186" i="71" s="1"/>
  <c r="AT186" i="71" s="1"/>
  <c r="AV186" i="71"/>
  <c r="AW186" i="71" s="1"/>
  <c r="AX186" i="71" s="1"/>
  <c r="AR187" i="71"/>
  <c r="AS187" i="71" s="1"/>
  <c r="AT187" i="71" s="1"/>
  <c r="AV187" i="7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DK207" i="71"/>
  <c r="DL207" i="71"/>
  <c r="DM207" i="71"/>
  <c r="DN207" i="71"/>
  <c r="DO207" i="71"/>
  <c r="DP207" i="71"/>
  <c r="DQ207" i="71"/>
  <c r="DR207" i="71"/>
  <c r="DS207" i="71"/>
  <c r="DT207" i="71"/>
  <c r="DU207" i="71"/>
  <c r="DV207" i="71"/>
  <c r="DW207" i="71"/>
  <c r="DX207" i="71"/>
  <c r="DK209" i="71"/>
  <c r="DL209" i="71"/>
  <c r="DM209" i="71"/>
  <c r="DN209" i="71"/>
  <c r="DO209" i="71"/>
  <c r="DP209" i="71"/>
  <c r="DQ209" i="71"/>
  <c r="DR209" i="71"/>
  <c r="DS209" i="71"/>
  <c r="DT209" i="71"/>
  <c r="DV209" i="71"/>
  <c r="DK211" i="71"/>
  <c r="DL211" i="71"/>
  <c r="DM211" i="71"/>
  <c r="DN211" i="71"/>
  <c r="DO211" i="71"/>
  <c r="DP211" i="71"/>
  <c r="DQ211" i="71"/>
  <c r="DR211" i="71"/>
  <c r="DS211" i="71"/>
  <c r="DT211" i="71"/>
  <c r="DU211" i="71"/>
  <c r="DV211" i="71"/>
  <c r="DW211" i="71"/>
  <c r="G227" i="71"/>
  <c r="H227" i="71"/>
  <c r="I227" i="71"/>
  <c r="J227" i="71"/>
  <c r="G228" i="71"/>
  <c r="H228" i="71"/>
  <c r="I228" i="71"/>
  <c r="J228" i="71"/>
  <c r="DQ229" i="71"/>
  <c r="DR229" i="71"/>
  <c r="DS229" i="71"/>
  <c r="DT229" i="71"/>
  <c r="DU229" i="71"/>
  <c r="DV229" i="71"/>
  <c r="DW229" i="71"/>
  <c r="DX229" i="71"/>
  <c r="S229" i="71"/>
  <c r="T229" i="71"/>
  <c r="U229" i="71"/>
  <c r="V229" i="71"/>
  <c r="W229" i="71"/>
  <c r="X229" i="71"/>
  <c r="Y229" i="71"/>
  <c r="Z229" i="71"/>
  <c r="AA229" i="71"/>
  <c r="AB229" i="71"/>
  <c r="AC229" i="71"/>
  <c r="AD229" i="71"/>
  <c r="AE229" i="71"/>
  <c r="DT232" i="71"/>
  <c r="DU232" i="71"/>
  <c r="DV232" i="71"/>
  <c r="DW232" i="71"/>
  <c r="DX232" i="71"/>
  <c r="S232" i="71"/>
  <c r="T232" i="71"/>
  <c r="U232" i="71"/>
  <c r="V232" i="71"/>
  <c r="W232" i="71"/>
  <c r="X232" i="71"/>
  <c r="Y232" i="71"/>
  <c r="Z232" i="71"/>
  <c r="AA232" i="71"/>
  <c r="AB232" i="71"/>
  <c r="AC232" i="71"/>
  <c r="AD232" i="71"/>
  <c r="AE232" i="71"/>
  <c r="DT235" i="71"/>
  <c r="DU235" i="71"/>
  <c r="DV235" i="71"/>
  <c r="DW235" i="71"/>
  <c r="DX23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S4" i="3"/>
  <c r="S7" i="3" s="1"/>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BD81" i="71"/>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8" i="71"/>
  <c r="EB219" i="71" s="1"/>
  <c r="EB59" i="71"/>
  <c r="EB58" i="71"/>
  <c r="EB17"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8" i="71"/>
  <c r="BR89"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6"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6" i="71"/>
  <c r="EG85"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6" i="71"/>
  <c r="EI86" i="71"/>
  <c r="EI85" i="71"/>
  <c r="EH85"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X164" i="71" l="1"/>
  <c r="CX170" i="71"/>
  <c r="CY164" i="71"/>
  <c r="CX151" i="71"/>
  <c r="CY170" i="71"/>
  <c r="EN60" i="71"/>
  <c r="EO3" i="71"/>
  <c r="EO75" i="71" s="1"/>
  <c r="EN62" i="71"/>
  <c r="CY146" i="71"/>
  <c r="CY151" i="71" s="1"/>
  <c r="EO48" i="71"/>
  <c r="EO10" i="71"/>
  <c r="EO25" i="71"/>
  <c r="EP25" i="71" s="1"/>
  <c r="EQ25" i="71" s="1"/>
  <c r="ER25" i="71" s="1"/>
  <c r="ES25" i="71" s="1"/>
  <c r="ET25" i="71" s="1"/>
  <c r="EU25" i="71" s="1"/>
  <c r="EV25" i="71" s="1"/>
  <c r="EW25" i="71" s="1"/>
  <c r="EO49" i="7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0" i="71"/>
  <c r="EP40" i="71" s="1"/>
  <c r="EQ40" i="71" s="1"/>
  <c r="ER40" i="71" s="1"/>
  <c r="ES40" i="71" s="1"/>
  <c r="ET40" i="71" s="1"/>
  <c r="EU40" i="71" s="1"/>
  <c r="EV40" i="71" s="1"/>
  <c r="EW40" i="71" s="1"/>
  <c r="EO52" i="71"/>
  <c r="EO89" i="71" s="1"/>
  <c r="EO17" i="71"/>
  <c r="EP17" i="71" s="1"/>
  <c r="EQ17" i="71" s="1"/>
  <c r="ER17" i="71" s="1"/>
  <c r="ES17" i="71" s="1"/>
  <c r="ET17" i="71" s="1"/>
  <c r="EU17" i="71" s="1"/>
  <c r="EV17" i="71" s="1"/>
  <c r="EW17" i="71" s="1"/>
  <c r="EO29" i="71"/>
  <c r="EO41" i="71"/>
  <c r="EP41" i="71" s="1"/>
  <c r="EQ41" i="71" s="1"/>
  <c r="ER41" i="71" s="1"/>
  <c r="ES41" i="71" s="1"/>
  <c r="ET41" i="71" s="1"/>
  <c r="EU41" i="71" s="1"/>
  <c r="EV41" i="71" s="1"/>
  <c r="EW41" i="71" s="1"/>
  <c r="EO54" i="71"/>
  <c r="EO18" i="71"/>
  <c r="EO30" i="71"/>
  <c r="EO42" i="71"/>
  <c r="EP42" i="71" s="1"/>
  <c r="EQ42" i="71" s="1"/>
  <c r="ER42" i="71" s="1"/>
  <c r="ES42" i="71" s="1"/>
  <c r="ET42" i="71" s="1"/>
  <c r="EU42" i="71" s="1"/>
  <c r="EV42" i="71" s="1"/>
  <c r="EW42" i="71" s="1"/>
  <c r="EO31" i="71"/>
  <c r="EP31" i="71" s="1"/>
  <c r="EQ31" i="71" s="1"/>
  <c r="ER31" i="71" s="1"/>
  <c r="ES31" i="71" s="1"/>
  <c r="ET31" i="71" s="1"/>
  <c r="EU31" i="71" s="1"/>
  <c r="EV31" i="71" s="1"/>
  <c r="EW31" i="71" s="1"/>
  <c r="EO43" i="71"/>
  <c r="EN43" i="71"/>
  <c r="EO4" i="71"/>
  <c r="EP4" i="71" s="1"/>
  <c r="EQ4" i="71" s="1"/>
  <c r="ER4" i="71" s="1"/>
  <c r="ES4" i="71" s="1"/>
  <c r="ET4" i="71" s="1"/>
  <c r="EU4" i="71" s="1"/>
  <c r="EV4" i="71" s="1"/>
  <c r="EW4" i="71" s="1"/>
  <c r="EO32" i="71"/>
  <c r="EP32" i="71" s="1"/>
  <c r="EQ32" i="71" s="1"/>
  <c r="ER32" i="71" s="1"/>
  <c r="ES32" i="71" s="1"/>
  <c r="ET32" i="71" s="1"/>
  <c r="EU32" i="71" s="1"/>
  <c r="EV32" i="71" s="1"/>
  <c r="EW32" i="71" s="1"/>
  <c r="EO44" i="71"/>
  <c r="EP44" i="71" s="1"/>
  <c r="EQ44" i="71" s="1"/>
  <c r="ER44" i="71" s="1"/>
  <c r="ES44" i="71" s="1"/>
  <c r="ET44" i="71" s="1"/>
  <c r="EU44" i="71" s="1"/>
  <c r="EV44" i="71" s="1"/>
  <c r="EW44" i="71" s="1"/>
  <c r="EO68" i="71"/>
  <c r="EO5" i="71"/>
  <c r="EP5" i="71" s="1"/>
  <c r="EQ5" i="71" s="1"/>
  <c r="ER5" i="71" s="1"/>
  <c r="ES5" i="71" s="1"/>
  <c r="ET5" i="71" s="1"/>
  <c r="EU5" i="71" s="1"/>
  <c r="EV5" i="71" s="1"/>
  <c r="EW5" i="71" s="1"/>
  <c r="EO33" i="71"/>
  <c r="EP33" i="71" s="1"/>
  <c r="EQ33" i="71" s="1"/>
  <c r="ER33" i="71" s="1"/>
  <c r="ES33" i="71" s="1"/>
  <c r="ET33" i="71" s="1"/>
  <c r="EU33" i="71" s="1"/>
  <c r="EV33" i="71" s="1"/>
  <c r="EW33" i="71" s="1"/>
  <c r="EO45" i="71"/>
  <c r="EP45" i="71" s="1"/>
  <c r="EQ45" i="71" s="1"/>
  <c r="ER45" i="71" s="1"/>
  <c r="ES45" i="71" s="1"/>
  <c r="ET45" i="71" s="1"/>
  <c r="EU45" i="71" s="1"/>
  <c r="EV45" i="71" s="1"/>
  <c r="EW45" i="71" s="1"/>
  <c r="EP68" i="71"/>
  <c r="EQ68" i="71" s="1"/>
  <c r="ER68" i="71" s="1"/>
  <c r="ES68" i="71" s="1"/>
  <c r="ET68" i="71" s="1"/>
  <c r="EP49" i="71"/>
  <c r="EQ49" i="71" s="1"/>
  <c r="ER49" i="71" s="1"/>
  <c r="ES49" i="71" s="1"/>
  <c r="ET49" i="71" s="1"/>
  <c r="EU49" i="71" s="1"/>
  <c r="EV49" i="71" s="1"/>
  <c r="EW49" i="71" s="1"/>
  <c r="EO6" i="71"/>
  <c r="EP6" i="71" s="1"/>
  <c r="EQ6" i="71" s="1"/>
  <c r="ER6" i="71" s="1"/>
  <c r="ES6" i="71" s="1"/>
  <c r="ET6" i="71" s="1"/>
  <c r="EU6" i="71" s="1"/>
  <c r="EV6" i="71" s="1"/>
  <c r="EW6" i="71" s="1"/>
  <c r="AZ61" i="71"/>
  <c r="AZ64" i="71" s="1"/>
  <c r="AZ66" i="71" s="1"/>
  <c r="AZ93" i="71"/>
  <c r="AZ99" i="71"/>
  <c r="AZ102" i="71" s="1"/>
  <c r="DY84" i="71"/>
  <c r="DA86" i="71"/>
  <c r="DD5" i="71"/>
  <c r="DD78" i="71" s="1"/>
  <c r="DD45" i="71"/>
  <c r="DD84" i="71" s="1"/>
  <c r="CZ86" i="71"/>
  <c r="CZ79" i="71"/>
  <c r="DE48" i="71"/>
  <c r="DE85" i="71" s="1"/>
  <c r="CZ83" i="71"/>
  <c r="DA83" i="71"/>
  <c r="DB83" i="71"/>
  <c r="CQ92" i="71"/>
  <c r="DA78" i="71"/>
  <c r="CR92" i="71"/>
  <c r="DA84" i="71"/>
  <c r="DB85" i="71"/>
  <c r="CS92" i="71"/>
  <c r="CU57" i="71"/>
  <c r="CU91" i="71" s="1"/>
  <c r="CU92" i="71"/>
  <c r="CU93" i="71"/>
  <c r="DD48" i="71"/>
  <c r="DD85" i="71" s="1"/>
  <c r="CW92" i="71"/>
  <c r="CT93" i="71"/>
  <c r="CX92" i="71"/>
  <c r="CV93" i="71"/>
  <c r="CW93" i="71"/>
  <c r="CX93" i="71"/>
  <c r="CY92" i="71"/>
  <c r="CY93" i="71"/>
  <c r="DA79" i="71"/>
  <c r="DB84" i="71"/>
  <c r="DB86" i="71"/>
  <c r="CT92" i="71"/>
  <c r="CQ93" i="71"/>
  <c r="DB79" i="71"/>
  <c r="CR93" i="71"/>
  <c r="DB77" i="71"/>
  <c r="CV92" i="71"/>
  <c r="CS93" i="71"/>
  <c r="DA80" i="71"/>
  <c r="CZ80" i="71"/>
  <c r="DA77" i="71"/>
  <c r="DF76" i="71"/>
  <c r="CY61" i="71"/>
  <c r="DE4" i="71"/>
  <c r="DE76" i="71" s="1"/>
  <c r="DB82" i="71"/>
  <c r="DA76" i="71"/>
  <c r="DD3" i="71"/>
  <c r="DD75" i="71" s="1"/>
  <c r="DD76" i="71"/>
  <c r="DB78" i="71"/>
  <c r="DB7" i="71"/>
  <c r="DC7" i="71" s="1"/>
  <c r="DA55" i="71"/>
  <c r="CZ55" i="71"/>
  <c r="DD54" i="71"/>
  <c r="DD82" i="71" s="1"/>
  <c r="CV71" i="71"/>
  <c r="EC81" i="71"/>
  <c r="DD6" i="71"/>
  <c r="DD77" i="71" s="1"/>
  <c r="CU71" i="71"/>
  <c r="DA82" i="71"/>
  <c r="CQ61" i="71"/>
  <c r="CR61" i="71"/>
  <c r="CV61" i="71"/>
  <c r="BR55" i="71"/>
  <c r="BR93" i="71" s="1"/>
  <c r="CW61" i="71"/>
  <c r="CY71" i="71"/>
  <c r="BV84" i="71"/>
  <c r="CW71" i="71"/>
  <c r="CX71" i="71"/>
  <c r="CS61" i="71"/>
  <c r="CT61" i="71"/>
  <c r="BV76" i="71"/>
  <c r="CX61" i="71"/>
  <c r="L61" i="71"/>
  <c r="L94" i="71" s="1"/>
  <c r="EF81" i="71"/>
  <c r="AW146" i="71"/>
  <c r="AW151" i="71" s="1"/>
  <c r="D46" i="71"/>
  <c r="H85" i="71" s="1"/>
  <c r="EC87" i="71"/>
  <c r="ED88" i="71"/>
  <c r="AI81" i="71"/>
  <c r="DZ86" i="71"/>
  <c r="EC73" i="71"/>
  <c r="EI89" i="71"/>
  <c r="EH89" i="71"/>
  <c r="EG89" i="71"/>
  <c r="BA99" i="71"/>
  <c r="BE103" i="71" s="1"/>
  <c r="AB81" i="71"/>
  <c r="BD55" i="71"/>
  <c r="BD109" i="71" s="1"/>
  <c r="DZ84" i="71"/>
  <c r="E52" i="71"/>
  <c r="I89" i="71" s="1"/>
  <c r="DT88" i="71"/>
  <c r="S75" i="71"/>
  <c r="BE170" i="71"/>
  <c r="AL232" i="71"/>
  <c r="DY85" i="71"/>
  <c r="AC75" i="71"/>
  <c r="AM108" i="71"/>
  <c r="BV81" i="71"/>
  <c r="BP172" i="71"/>
  <c r="EG10" i="71"/>
  <c r="EH10" i="71" s="1"/>
  <c r="EI10" i="71" s="1"/>
  <c r="EJ10" i="71" s="1"/>
  <c r="EK10" i="71" s="1"/>
  <c r="EL10" i="71" s="1"/>
  <c r="EP10" i="71" s="1"/>
  <c r="EQ10" i="71" s="1"/>
  <c r="ER10" i="71" s="1"/>
  <c r="ES10" i="71" s="1"/>
  <c r="ET10" i="71" s="1"/>
  <c r="EU10" i="71" s="1"/>
  <c r="EV10" i="71" s="1"/>
  <c r="EW10" i="71" s="1"/>
  <c r="D61" i="71"/>
  <c r="D94" i="71" s="1"/>
  <c r="EB84" i="71"/>
  <c r="EG29" i="71"/>
  <c r="EH29" i="71" s="1"/>
  <c r="EI29" i="71" s="1"/>
  <c r="EI81" i="71" s="1"/>
  <c r="AA81" i="71"/>
  <c r="AF81" i="71"/>
  <c r="AL110" i="71"/>
  <c r="P91" i="71"/>
  <c r="DZ89" i="71"/>
  <c r="AN75" i="71"/>
  <c r="EE81" i="71"/>
  <c r="EH54" i="71"/>
  <c r="EI54" i="71" s="1"/>
  <c r="EI113" i="71" s="1"/>
  <c r="EI211" i="71" s="1"/>
  <c r="EG113" i="71"/>
  <c r="EG211" i="71" s="1"/>
  <c r="EA89" i="71"/>
  <c r="BB151" i="71"/>
  <c r="EC65" i="71"/>
  <c r="BJ55" i="71"/>
  <c r="BJ93" i="71" s="1"/>
  <c r="AP81" i="71"/>
  <c r="DY86" i="71"/>
  <c r="EF113" i="71"/>
  <c r="EF211" i="71" s="1"/>
  <c r="I91" i="71"/>
  <c r="R81" i="71"/>
  <c r="EA85" i="71"/>
  <c r="DY12" i="71"/>
  <c r="AB75" i="71"/>
  <c r="EH87" i="71"/>
  <c r="DV89" i="71"/>
  <c r="EF89" i="71"/>
  <c r="BF117" i="71"/>
  <c r="BN99" i="71"/>
  <c r="W81" i="71"/>
  <c r="DM91" i="71"/>
  <c r="N88" i="71"/>
  <c r="N91" i="71"/>
  <c r="DU15" i="71"/>
  <c r="DV14" i="71"/>
  <c r="H229" i="71"/>
  <c r="H64" i="71"/>
  <c r="H66" i="71" s="1"/>
  <c r="H97" i="71" s="1"/>
  <c r="H91" i="71"/>
  <c r="AN232" i="71"/>
  <c r="DM61" i="71"/>
  <c r="DM94" i="71" s="1"/>
  <c r="AW55" i="71"/>
  <c r="BA71" i="71" s="1"/>
  <c r="BA124" i="71" s="1"/>
  <c r="BA121" i="71" s="1"/>
  <c r="BA244" i="71" s="1"/>
  <c r="V75" i="71"/>
  <c r="DW87" i="71"/>
  <c r="DY29" i="71"/>
  <c r="DZ81" i="71" s="1"/>
  <c r="J85" i="71"/>
  <c r="J88" i="71"/>
  <c r="DN212" i="71"/>
  <c r="AG81" i="71"/>
  <c r="DK213" i="71"/>
  <c r="AE81" i="71"/>
  <c r="AY151" i="71"/>
  <c r="EE75" i="71"/>
  <c r="T81" i="71"/>
  <c r="DQ14" i="71"/>
  <c r="Y64" i="71"/>
  <c r="Y96" i="71" s="1"/>
  <c r="EA88" i="71"/>
  <c r="DY37" i="71"/>
  <c r="Z75" i="71"/>
  <c r="DW36" i="71"/>
  <c r="DS44" i="71"/>
  <c r="DX84" i="71"/>
  <c r="BI172" i="71"/>
  <c r="AV138" i="71"/>
  <c r="DV212" i="71"/>
  <c r="M81" i="71"/>
  <c r="DY15" i="71"/>
  <c r="DX89" i="71"/>
  <c r="AE75" i="71"/>
  <c r="DY20" i="71"/>
  <c r="Y94" i="71"/>
  <c r="AY55" i="71"/>
  <c r="AY242" i="71" s="1"/>
  <c r="DR37" i="71"/>
  <c r="DS36" i="71"/>
  <c r="DP36" i="71"/>
  <c r="K85" i="71"/>
  <c r="N85" i="71"/>
  <c r="DY87" i="71"/>
  <c r="DY16" i="71"/>
  <c r="Q91" i="71"/>
  <c r="BI55" i="71"/>
  <c r="BV72" i="71"/>
  <c r="BV75" i="71"/>
  <c r="BU77" i="71"/>
  <c r="BT99" i="71"/>
  <c r="Y91" i="71"/>
  <c r="AS55" i="71"/>
  <c r="AS93" i="71" s="1"/>
  <c r="BL172" i="71"/>
  <c r="BD117" i="71"/>
  <c r="BD118" i="71" s="1"/>
  <c r="EC89" i="71"/>
  <c r="ED75" i="71"/>
  <c r="EC72" i="71"/>
  <c r="AD81" i="71"/>
  <c r="DW14" i="71"/>
  <c r="AH81" i="71"/>
  <c r="DT20" i="71"/>
  <c r="DO81" i="71"/>
  <c r="EB85" i="71"/>
  <c r="AM81" i="71"/>
  <c r="DS91" i="71"/>
  <c r="BB137" i="71"/>
  <c r="BC181" i="71" s="1"/>
  <c r="BK151" i="71"/>
  <c r="BC101" i="71"/>
  <c r="BC103" i="71"/>
  <c r="AI108" i="71"/>
  <c r="AM110" i="71"/>
  <c r="DW29" i="71"/>
  <c r="BC55" i="71"/>
  <c r="BC138" i="71" s="1"/>
  <c r="DX87" i="71"/>
  <c r="EA86" i="71"/>
  <c r="DT36" i="71"/>
  <c r="EF77" i="71"/>
  <c r="BT73" i="71"/>
  <c r="BC117" i="71"/>
  <c r="DL212" i="71"/>
  <c r="DT85" i="71"/>
  <c r="AN81" i="71"/>
  <c r="DU37" i="71"/>
  <c r="X81" i="71"/>
  <c r="DV29" i="71"/>
  <c r="AD75" i="71"/>
  <c r="BN137" i="71"/>
  <c r="BN181" i="71" s="1"/>
  <c r="BR137" i="71"/>
  <c r="BR181" i="71" s="1"/>
  <c r="DN213" i="71"/>
  <c r="BC146" i="71"/>
  <c r="BC151" i="71" s="1"/>
  <c r="DZ85" i="71"/>
  <c r="DR16" i="71"/>
  <c r="DU29" i="71"/>
  <c r="EA106" i="71"/>
  <c r="EA209" i="71" s="1"/>
  <c r="AR81" i="71"/>
  <c r="AC81" i="71"/>
  <c r="Z81" i="71"/>
  <c r="EB89" i="71"/>
  <c r="G64" i="71"/>
  <c r="G95" i="71" s="1"/>
  <c r="DT16" i="71"/>
  <c r="DT29" i="71"/>
  <c r="DP8" i="71"/>
  <c r="EA81" i="71"/>
  <c r="S81" i="71"/>
  <c r="DT8" i="71"/>
  <c r="DV88" i="71"/>
  <c r="DX85" i="71"/>
  <c r="DU87" i="71"/>
  <c r="DS86" i="71"/>
  <c r="AA55" i="71"/>
  <c r="AA102" i="71" s="1"/>
  <c r="AL75" i="71"/>
  <c r="DU89" i="71"/>
  <c r="DW84" i="71"/>
  <c r="AM151" i="71"/>
  <c r="BM55" i="71"/>
  <c r="BM138" i="71" s="1"/>
  <c r="G91" i="71"/>
  <c r="BM172" i="71"/>
  <c r="EF75" i="71"/>
  <c r="EC75" i="71"/>
  <c r="R91" i="71"/>
  <c r="I229" i="71"/>
  <c r="DQ46" i="71"/>
  <c r="DQ85" i="71" s="1"/>
  <c r="DY3" i="71"/>
  <c r="DY75" i="71" s="1"/>
  <c r="K88" i="71"/>
  <c r="AV181" i="71"/>
  <c r="BP73" i="71"/>
  <c r="BH170" i="71"/>
  <c r="EG22" i="71"/>
  <c r="EH22" i="71" s="1"/>
  <c r="DR61" i="71"/>
  <c r="DR91" i="71"/>
  <c r="O81" i="71"/>
  <c r="AZ92" i="71"/>
  <c r="M91" i="71"/>
  <c r="AS117" i="71"/>
  <c r="DP91" i="71"/>
  <c r="DS85" i="71"/>
  <c r="DQ36" i="71"/>
  <c r="DP29" i="71"/>
  <c r="DP81" i="71" s="1"/>
  <c r="AR43" i="71"/>
  <c r="AR99" i="71" s="1"/>
  <c r="AE43" i="71"/>
  <c r="AE55" i="71" s="1"/>
  <c r="AE57" i="71" s="1"/>
  <c r="AE61" i="71" s="1"/>
  <c r="AE94" i="71" s="1"/>
  <c r="DT14" i="71"/>
  <c r="DY14" i="71"/>
  <c r="DX20" i="71"/>
  <c r="X75" i="71"/>
  <c r="AJ75" i="71"/>
  <c r="DV86" i="71"/>
  <c r="DX86" i="71"/>
  <c r="BA117" i="71"/>
  <c r="BA118" i="71" s="1"/>
  <c r="AY137" i="71"/>
  <c r="AY181" i="71" s="1"/>
  <c r="BI117" i="71"/>
  <c r="BR99" i="71"/>
  <c r="DR20" i="71"/>
  <c r="F61" i="71"/>
  <c r="F94" i="71" s="1"/>
  <c r="DU88" i="71"/>
  <c r="DK91" i="71"/>
  <c r="DK64" i="71"/>
  <c r="DK95" i="71" s="1"/>
  <c r="AZ71" i="71"/>
  <c r="AZ124" i="71" s="1"/>
  <c r="AZ121" i="71" s="1"/>
  <c r="AZ244" i="71" s="1"/>
  <c r="AV93" i="71"/>
  <c r="AI75" i="71"/>
  <c r="AW117" i="71"/>
  <c r="AH232" i="71"/>
  <c r="DT91" i="71"/>
  <c r="BA146" i="71"/>
  <c r="BA151" i="71" s="1"/>
  <c r="AQ117" i="71"/>
  <c r="S64" i="71"/>
  <c r="S95" i="71" s="1"/>
  <c r="BB235" i="71"/>
  <c r="AV57" i="71"/>
  <c r="AV91" i="71" s="1"/>
  <c r="V61" i="71"/>
  <c r="EB43" i="71"/>
  <c r="EB55" i="71" s="1"/>
  <c r="Z116" i="71"/>
  <c r="C47" i="71"/>
  <c r="G86" i="71" s="1"/>
  <c r="AV92" i="71"/>
  <c r="AX146" i="71"/>
  <c r="AX151" i="71" s="1"/>
  <c r="J86" i="71"/>
  <c r="DQ20" i="71"/>
  <c r="BO55" i="71"/>
  <c r="BO93" i="71" s="1"/>
  <c r="BV83" i="71"/>
  <c r="BF55" i="71"/>
  <c r="BF102" i="71" s="1"/>
  <c r="AZ116" i="71"/>
  <c r="AV109" i="71"/>
  <c r="AI232" i="71"/>
  <c r="EB81" i="71"/>
  <c r="BB99" i="71"/>
  <c r="BB102" i="71" s="1"/>
  <c r="AO117" i="71"/>
  <c r="AV99" i="71"/>
  <c r="AV102" i="71" s="1"/>
  <c r="J229" i="71"/>
  <c r="DT212" i="71"/>
  <c r="DT214" i="71" s="1"/>
  <c r="DV87" i="71"/>
  <c r="DW85" i="71"/>
  <c r="K64" i="71"/>
  <c r="K96" i="71" s="1"/>
  <c r="EC106" i="71"/>
  <c r="EC209" i="71" s="1"/>
  <c r="K91" i="71"/>
  <c r="AS99" i="71"/>
  <c r="AS103" i="71" s="1"/>
  <c r="DP212" i="71"/>
  <c r="BE110" i="71"/>
  <c r="ED86" i="71"/>
  <c r="BK170" i="71"/>
  <c r="BQ179" i="71"/>
  <c r="BQ178" i="71" s="1"/>
  <c r="J87" i="71"/>
  <c r="AS110" i="71"/>
  <c r="Y81" i="71"/>
  <c r="BV87" i="71"/>
  <c r="BG55" i="71"/>
  <c r="BG92" i="71" s="1"/>
  <c r="L88" i="71"/>
  <c r="AZ146" i="71"/>
  <c r="AZ151" i="71" s="1"/>
  <c r="V81" i="71"/>
  <c r="ED85" i="71"/>
  <c r="T61" i="71"/>
  <c r="DN91" i="71"/>
  <c r="DR50" i="71"/>
  <c r="DS87" i="71" s="1"/>
  <c r="DT87" i="71"/>
  <c r="AQ235" i="71"/>
  <c r="D52" i="71"/>
  <c r="H89" i="71" s="1"/>
  <c r="BI110" i="71"/>
  <c r="BQ99" i="71"/>
  <c r="BO172" i="71"/>
  <c r="BU72" i="71"/>
  <c r="EC85" i="71"/>
  <c r="AF75" i="71"/>
  <c r="DW86" i="71"/>
  <c r="AX99" i="71"/>
  <c r="AX103" i="71" s="1"/>
  <c r="AZ180" i="71"/>
  <c r="BA180" i="71"/>
  <c r="DT61" i="71"/>
  <c r="X91" i="71"/>
  <c r="AU117" i="71"/>
  <c r="BK172" i="71"/>
  <c r="ED81" i="71"/>
  <c r="J94" i="71"/>
  <c r="AX92" i="71"/>
  <c r="U91" i="71"/>
  <c r="DL61" i="71"/>
  <c r="DL94" i="71" s="1"/>
  <c r="EC43" i="71"/>
  <c r="EC55" i="71" s="1"/>
  <c r="AK81" i="71"/>
  <c r="DO212" i="71"/>
  <c r="M64" i="71"/>
  <c r="M66" i="71" s="1"/>
  <c r="DX53" i="71"/>
  <c r="DX106" i="71" s="1"/>
  <c r="AU110" i="71"/>
  <c r="EA75" i="71"/>
  <c r="DW15" i="71"/>
  <c r="DU14" i="71"/>
  <c r="DU3" i="71"/>
  <c r="DU75" i="71" s="1"/>
  <c r="AI43" i="71"/>
  <c r="AI99" i="71" s="1"/>
  <c r="AI101" i="71" s="1"/>
  <c r="DV36" i="71"/>
  <c r="DW88" i="71"/>
  <c r="DY151" i="71"/>
  <c r="DY169" i="71" s="1"/>
  <c r="T75" i="71"/>
  <c r="AX138" i="71"/>
  <c r="DT84" i="71"/>
  <c r="BY29" i="71"/>
  <c r="BY81" i="71" s="1"/>
  <c r="BA235" i="71"/>
  <c r="AZ96" i="71"/>
  <c r="AX109" i="71"/>
  <c r="AW99" i="71"/>
  <c r="AP117" i="71"/>
  <c r="DU16" i="71"/>
  <c r="DV37" i="71"/>
  <c r="DV16" i="71"/>
  <c r="DW37" i="71"/>
  <c r="EE73" i="71"/>
  <c r="EE88" i="71"/>
  <c r="EG30" i="71"/>
  <c r="EH30" i="71" s="1"/>
  <c r="EI30" i="71" s="1"/>
  <c r="EJ30" i="71" s="1"/>
  <c r="EK30" i="71" s="1"/>
  <c r="EL30" i="71" s="1"/>
  <c r="BV73" i="71"/>
  <c r="EI87" i="71"/>
  <c r="AX93" i="71"/>
  <c r="K87" i="71"/>
  <c r="EG87" i="71"/>
  <c r="Q64" i="71"/>
  <c r="Q66" i="71" s="1"/>
  <c r="AX57" i="71"/>
  <c r="DL213" i="71"/>
  <c r="I81" i="71"/>
  <c r="DM212" i="71"/>
  <c r="DM214" i="71" s="1"/>
  <c r="EF73" i="71"/>
  <c r="BL170" i="71"/>
  <c r="BJ151" i="71"/>
  <c r="EF87" i="71"/>
  <c r="DX29" i="71"/>
  <c r="AO55" i="71"/>
  <c r="AO109" i="71" s="1"/>
  <c r="DH91" i="71"/>
  <c r="DY53" i="71"/>
  <c r="DY106" i="71" s="1"/>
  <c r="DY209" i="71" s="1"/>
  <c r="BJ110" i="71"/>
  <c r="BR151" i="71"/>
  <c r="BI170" i="71"/>
  <c r="EG23" i="71"/>
  <c r="EH23" i="71" s="1"/>
  <c r="EI23" i="71" s="1"/>
  <c r="EJ23" i="71" s="1"/>
  <c r="EK23" i="71" s="1"/>
  <c r="EL23" i="71" s="1"/>
  <c r="EP23" i="71" s="1"/>
  <c r="EQ23" i="71" s="1"/>
  <c r="EF88" i="71"/>
  <c r="BE55" i="71"/>
  <c r="BE109" i="71" s="1"/>
  <c r="G87" i="71"/>
  <c r="U64" i="71"/>
  <c r="U95" i="71" s="1"/>
  <c r="DN64" i="71"/>
  <c r="DN95" i="71" s="1"/>
  <c r="DS37" i="71"/>
  <c r="DP37" i="71"/>
  <c r="DR35" i="71"/>
  <c r="DR14" i="71"/>
  <c r="DS20" i="71"/>
  <c r="DP20" i="71"/>
  <c r="G81" i="71"/>
  <c r="DZ20" i="71"/>
  <c r="DV15" i="71"/>
  <c r="AN43" i="71"/>
  <c r="AN99" i="71" s="1"/>
  <c r="AL43" i="71"/>
  <c r="AL99" i="71" s="1"/>
  <c r="AP103" i="71" s="1"/>
  <c r="BE137" i="71"/>
  <c r="BF181" i="71" s="1"/>
  <c r="EE11" i="71"/>
  <c r="BQ55" i="71"/>
  <c r="BQ138" i="71" s="1"/>
  <c r="AR110" i="71"/>
  <c r="AV110" i="71"/>
  <c r="BB242" i="71"/>
  <c r="BB243" i="71" s="1"/>
  <c r="BB57" i="71"/>
  <c r="BB91" i="71" s="1"/>
  <c r="BB138" i="71"/>
  <c r="BB116" i="71"/>
  <c r="BB71" i="71"/>
  <c r="BB124" i="71" s="1"/>
  <c r="BB121" i="71" s="1"/>
  <c r="BB244" i="71" s="1"/>
  <c r="BB93" i="71"/>
  <c r="BB92" i="71"/>
  <c r="AJ232" i="71"/>
  <c r="AJ108" i="71"/>
  <c r="AN110" i="71"/>
  <c r="X94" i="71"/>
  <c r="X64" i="71"/>
  <c r="DH94" i="71"/>
  <c r="DH64" i="71"/>
  <c r="AZ97" i="71"/>
  <c r="AZ67" i="71"/>
  <c r="AZ171" i="71"/>
  <c r="AZ183" i="71"/>
  <c r="AZ95" i="71"/>
  <c r="AT117" i="71"/>
  <c r="AP106" i="71"/>
  <c r="AP110" i="71" s="1"/>
  <c r="EA84" i="71"/>
  <c r="EE77" i="71"/>
  <c r="EG51" i="71"/>
  <c r="EH51" i="71" s="1"/>
  <c r="EI51" i="71" s="1"/>
  <c r="EE89" i="71"/>
  <c r="AF43" i="71"/>
  <c r="AF99" i="71" s="1"/>
  <c r="AF229" i="71" s="1"/>
  <c r="AQ110" i="71"/>
  <c r="AQ43" i="71"/>
  <c r="DV3" i="71"/>
  <c r="K81" i="71"/>
  <c r="BE151" i="71"/>
  <c r="BF170" i="71"/>
  <c r="BL99" i="71"/>
  <c r="BY52" i="71"/>
  <c r="BY89" i="71" s="1"/>
  <c r="EB75" i="71"/>
  <c r="DS3" i="71"/>
  <c r="DQ52" i="71"/>
  <c r="DR51" i="71"/>
  <c r="DS88" i="71" s="1"/>
  <c r="AZ242" i="71"/>
  <c r="AZ243" i="71" s="1"/>
  <c r="AM75" i="71"/>
  <c r="E47" i="71"/>
  <c r="I86" i="71" s="1"/>
  <c r="AQ181" i="71"/>
  <c r="ED73" i="71"/>
  <c r="AY117" i="71"/>
  <c r="AH75" i="71"/>
  <c r="AA75" i="71"/>
  <c r="I64" i="71"/>
  <c r="J89" i="71"/>
  <c r="DY8" i="71"/>
  <c r="L87" i="71"/>
  <c r="AT55" i="71"/>
  <c r="AT116" i="71" s="1"/>
  <c r="H81" i="71"/>
  <c r="BH110" i="71"/>
  <c r="BG170" i="71"/>
  <c r="BM170" i="71"/>
  <c r="EB87" i="71"/>
  <c r="N94" i="71"/>
  <c r="AD55" i="71"/>
  <c r="W75" i="71"/>
  <c r="AZ138" i="71"/>
  <c r="DJ91" i="71"/>
  <c r="DW16" i="71"/>
  <c r="M88" i="71"/>
  <c r="DI61" i="71"/>
  <c r="DI94" i="71" s="1"/>
  <c r="EF43" i="71"/>
  <c r="EG43" i="71" s="1"/>
  <c r="EH43" i="71" s="1"/>
  <c r="EI43" i="71" s="1"/>
  <c r="EJ43" i="71" s="1"/>
  <c r="EK43" i="71" s="1"/>
  <c r="EL43" i="71" s="1"/>
  <c r="EP43" i="71" s="1"/>
  <c r="EQ43" i="71" s="1"/>
  <c r="ER43" i="71" s="1"/>
  <c r="ES43" i="71" s="1"/>
  <c r="ET43" i="71" s="1"/>
  <c r="EU43" i="71" s="1"/>
  <c r="EV43" i="71" s="1"/>
  <c r="EW43" i="71" s="1"/>
  <c r="EG4" i="71"/>
  <c r="EG76" i="71" s="1"/>
  <c r="BU76" i="71"/>
  <c r="C91" i="71"/>
  <c r="AM43" i="71"/>
  <c r="AM55" i="71" s="1"/>
  <c r="AM116" i="71" s="1"/>
  <c r="BU83" i="71"/>
  <c r="BB109" i="71"/>
  <c r="EC86" i="71"/>
  <c r="DS212" i="71"/>
  <c r="DS214" i="71" s="1"/>
  <c r="AK106" i="71"/>
  <c r="AK110" i="71" s="1"/>
  <c r="BM99" i="71"/>
  <c r="AP55" i="71"/>
  <c r="DP213" i="71"/>
  <c r="DS8" i="71"/>
  <c r="DU36" i="71"/>
  <c r="EC63" i="71"/>
  <c r="BN55" i="71"/>
  <c r="BN92" i="71" s="1"/>
  <c r="AZ94" i="71"/>
  <c r="DX88" i="71"/>
  <c r="EB146" i="71"/>
  <c r="EB151" i="71" s="1"/>
  <c r="AT181" i="71"/>
  <c r="DQ37" i="71"/>
  <c r="DR36" i="71"/>
  <c r="DS35" i="71"/>
  <c r="DP14" i="71"/>
  <c r="DQ8" i="71"/>
  <c r="BE117" i="71"/>
  <c r="BG172" i="71"/>
  <c r="BK43" i="71"/>
  <c r="BK99" i="71" s="1"/>
  <c r="BJ137" i="71"/>
  <c r="BJ181" i="71" s="1"/>
  <c r="BP180" i="71"/>
  <c r="BR170" i="71"/>
  <c r="BL151" i="71"/>
  <c r="DZ53" i="71"/>
  <c r="DZ106" i="71" s="1"/>
  <c r="P64" i="71"/>
  <c r="P95" i="71" s="1"/>
  <c r="BH117" i="71"/>
  <c r="BG180" i="71"/>
  <c r="BG137" i="71"/>
  <c r="BG181" i="71" s="1"/>
  <c r="BG146" i="71"/>
  <c r="BG151" i="71" s="1"/>
  <c r="DY117" i="71"/>
  <c r="DY119" i="71" s="1"/>
  <c r="DY115" i="71"/>
  <c r="DY211" i="71"/>
  <c r="BV55" i="71"/>
  <c r="BV93" i="71" s="1"/>
  <c r="DZ87" i="71"/>
  <c r="EA87" i="71"/>
  <c r="O64" i="71"/>
  <c r="O66" i="71" s="1"/>
  <c r="O94" i="71"/>
  <c r="M87" i="71"/>
  <c r="DY88" i="71"/>
  <c r="DZ88" i="71"/>
  <c r="AK43" i="71"/>
  <c r="AK55" i="71" s="1"/>
  <c r="AC55" i="71"/>
  <c r="AC116" i="71" s="1"/>
  <c r="AH43" i="71"/>
  <c r="AH55" i="71" s="1"/>
  <c r="AX181" i="71"/>
  <c r="AW181" i="71"/>
  <c r="AR235" i="71"/>
  <c r="AR117" i="71"/>
  <c r="EB211" i="71"/>
  <c r="EB117" i="71"/>
  <c r="EB119" i="71" s="1"/>
  <c r="C64" i="71"/>
  <c r="C94" i="71"/>
  <c r="AF106" i="71"/>
  <c r="DW53" i="71"/>
  <c r="DW106" i="71" s="1"/>
  <c r="DW209" i="71" s="1"/>
  <c r="DW212" i="71" s="1"/>
  <c r="AZ232" i="71"/>
  <c r="AZ109" i="71"/>
  <c r="AZ110" i="71"/>
  <c r="AZ112" i="71" s="1"/>
  <c r="BD110" i="71"/>
  <c r="BD112" i="71" s="1"/>
  <c r="AZ195" i="71"/>
  <c r="AZ197" i="71" s="1"/>
  <c r="BA191" i="71"/>
  <c r="BB191" i="71" s="1"/>
  <c r="G229" i="71"/>
  <c r="W91" i="71"/>
  <c r="W61" i="71"/>
  <c r="W94" i="71" s="1"/>
  <c r="DZ211" i="71"/>
  <c r="DZ117" i="71"/>
  <c r="DZ115" i="71"/>
  <c r="DV85" i="71"/>
  <c r="DU85" i="71"/>
  <c r="DX115" i="71"/>
  <c r="DX211" i="71"/>
  <c r="BE195" i="71"/>
  <c r="L86" i="71"/>
  <c r="D47" i="71"/>
  <c r="DO46" i="71"/>
  <c r="DP85" i="71" s="1"/>
  <c r="N81" i="71"/>
  <c r="J81" i="71"/>
  <c r="DQ29" i="71"/>
  <c r="AY232" i="71"/>
  <c r="AY110" i="71"/>
  <c r="BC110" i="71"/>
  <c r="BA138" i="71"/>
  <c r="BA242" i="71"/>
  <c r="BA93" i="71"/>
  <c r="BA109" i="71"/>
  <c r="BA116" i="71"/>
  <c r="BA57" i="71"/>
  <c r="ED87" i="71"/>
  <c r="ED106" i="71"/>
  <c r="ED209" i="71" s="1"/>
  <c r="DQ47" i="71"/>
  <c r="DH219" i="71"/>
  <c r="U75" i="71"/>
  <c r="Y75" i="71"/>
  <c r="AG75" i="71"/>
  <c r="AK75" i="71"/>
  <c r="AG43" i="71"/>
  <c r="AG55" i="71" s="1"/>
  <c r="AG109" i="71" s="1"/>
  <c r="J95" i="71"/>
  <c r="J66" i="71"/>
  <c r="J96" i="71"/>
  <c r="BD181" i="71"/>
  <c r="BU55" i="71"/>
  <c r="BU92" i="71" s="1"/>
  <c r="AC115" i="71"/>
  <c r="BA110" i="71"/>
  <c r="DP94" i="71"/>
  <c r="DP64" i="71"/>
  <c r="DP96" i="71" s="1"/>
  <c r="DQ213" i="71"/>
  <c r="DQ91" i="71"/>
  <c r="DQ61" i="71"/>
  <c r="E50" i="71"/>
  <c r="I87" i="71" s="1"/>
  <c r="DQ50" i="71"/>
  <c r="AU43" i="71"/>
  <c r="EA43" i="71" s="1"/>
  <c r="EA37" i="71"/>
  <c r="DS29" i="71"/>
  <c r="Q81" i="71"/>
  <c r="U81" i="71"/>
  <c r="BP99" i="71"/>
  <c r="BP55" i="71"/>
  <c r="BB186" i="71"/>
  <c r="DO213" i="71"/>
  <c r="DO61" i="71"/>
  <c r="DO91" i="71"/>
  <c r="H87" i="71"/>
  <c r="EA117" i="71"/>
  <c r="S91" i="71"/>
  <c r="BN151" i="71"/>
  <c r="AX117" i="71"/>
  <c r="DK212" i="71"/>
  <c r="DP89" i="71"/>
  <c r="DU20" i="71"/>
  <c r="DU8" i="71"/>
  <c r="DV20" i="71"/>
  <c r="DW20" i="71"/>
  <c r="BH195" i="71"/>
  <c r="BH197" i="71" s="1"/>
  <c r="BO151" i="71"/>
  <c r="BU84" i="71"/>
  <c r="BU73" i="71"/>
  <c r="BM146" i="71"/>
  <c r="BM151" i="71" s="1"/>
  <c r="AU181" i="71"/>
  <c r="BF110" i="71"/>
  <c r="BB117" i="71"/>
  <c r="BE196" i="71"/>
  <c r="BH55" i="71"/>
  <c r="BH146" i="71"/>
  <c r="BH151" i="71" s="1"/>
  <c r="ED72" i="71"/>
  <c r="BK137" i="71"/>
  <c r="BB110" i="71"/>
  <c r="ED89" i="71"/>
  <c r="J91" i="71"/>
  <c r="DS61" i="71"/>
  <c r="DS64" i="71" s="1"/>
  <c r="DQ44" i="71"/>
  <c r="DW89" i="71"/>
  <c r="BP151" i="71"/>
  <c r="BQ146" i="71"/>
  <c r="BQ151" i="71" s="1"/>
  <c r="BJ170" i="71"/>
  <c r="AW110" i="71"/>
  <c r="EF11" i="71"/>
  <c r="BX11" i="71"/>
  <c r="BZ6" i="71"/>
  <c r="BZ77" i="71" s="1"/>
  <c r="AX116" i="71"/>
  <c r="Q87" i="71"/>
  <c r="DQ212" i="71"/>
  <c r="DR212" i="71"/>
  <c r="DR214" i="71" s="1"/>
  <c r="BJ117" i="71"/>
  <c r="E64" i="71"/>
  <c r="E96" i="71" s="1"/>
  <c r="EE72" i="71"/>
  <c r="BP195" i="71"/>
  <c r="BP197" i="71" s="1"/>
  <c r="BT55" i="71"/>
  <c r="EE48" i="71"/>
  <c r="EE106" i="71" s="1"/>
  <c r="EG17" i="71"/>
  <c r="EH17" i="71" s="1"/>
  <c r="EI17" i="71" s="1"/>
  <c r="EJ17" i="71" s="1"/>
  <c r="EK17" i="71" s="1"/>
  <c r="EL17" i="71" s="1"/>
  <c r="DT37" i="71"/>
  <c r="DS14" i="71"/>
  <c r="DS16" i="71"/>
  <c r="DR29" i="71"/>
  <c r="ED62" i="71"/>
  <c r="BV89" i="71"/>
  <c r="EG6" i="71"/>
  <c r="AG108" i="71"/>
  <c r="AG232" i="71"/>
  <c r="DX8" i="71"/>
  <c r="AJ43" i="71"/>
  <c r="AJ55" i="71" s="1"/>
  <c r="AB55" i="71"/>
  <c r="DV8" i="71"/>
  <c r="DW8" i="71"/>
  <c r="BJ103" i="71"/>
  <c r="DU86" i="71"/>
  <c r="DT86" i="71"/>
  <c r="N66" i="71"/>
  <c r="N96" i="71"/>
  <c r="N95" i="71"/>
  <c r="R87" i="71"/>
  <c r="N87" i="71"/>
  <c r="DJ94" i="71"/>
  <c r="DJ64" i="71"/>
  <c r="DS89" i="71"/>
  <c r="DT89" i="71"/>
  <c r="AX196" i="71"/>
  <c r="AX180" i="71" s="1"/>
  <c r="AW180" i="71"/>
  <c r="Z61" i="71"/>
  <c r="Z91" i="71"/>
  <c r="R64" i="71"/>
  <c r="R94" i="71"/>
  <c r="AT103" i="71"/>
  <c r="BG117" i="71"/>
  <c r="AR181" i="71"/>
  <c r="AS181" i="71"/>
  <c r="AV235" i="71"/>
  <c r="AZ117" i="71"/>
  <c r="AZ118" i="71" s="1"/>
  <c r="AV117" i="71"/>
  <c r="AV116" i="71"/>
  <c r="EB106" i="71"/>
  <c r="EC88" i="71"/>
  <c r="EB88" i="71"/>
  <c r="AS179" i="71"/>
  <c r="AR180" i="71"/>
  <c r="EA115" i="71"/>
  <c r="EA211" i="71"/>
  <c r="DU106" i="71"/>
  <c r="DU84" i="71"/>
  <c r="DV84" i="71"/>
  <c r="DY89" i="71"/>
  <c r="BA181" i="71"/>
  <c r="L81" i="71"/>
  <c r="BW12" i="71"/>
  <c r="BX12" i="71" s="1"/>
  <c r="EG12" i="71"/>
  <c r="EH12" i="71" s="1"/>
  <c r="EI12" i="71" s="1"/>
  <c r="EJ12" i="71" s="1"/>
  <c r="EK12" i="71" s="1"/>
  <c r="EL12" i="71" s="1"/>
  <c r="BI196" i="71"/>
  <c r="BQ170" i="71"/>
  <c r="BQ172" i="71"/>
  <c r="P81" i="71"/>
  <c r="BS55" i="71"/>
  <c r="BS99" i="71"/>
  <c r="BW43" i="71"/>
  <c r="BW41" i="71"/>
  <c r="BX41" i="71" s="1"/>
  <c r="BY41" i="71" s="1"/>
  <c r="BZ41" i="71" s="1"/>
  <c r="EG41" i="71"/>
  <c r="EH41" i="71" s="1"/>
  <c r="EI41" i="71" s="1"/>
  <c r="EJ41" i="71" s="1"/>
  <c r="EK41" i="71" s="1"/>
  <c r="EL41" i="71" s="1"/>
  <c r="AV180" i="71"/>
  <c r="O91" i="71"/>
  <c r="E46" i="71"/>
  <c r="I85" i="71" s="1"/>
  <c r="BH103" i="71"/>
  <c r="BV99" i="71"/>
  <c r="EG11" i="71"/>
  <c r="EH11" i="71" s="1"/>
  <c r="EI11" i="71" s="1"/>
  <c r="EJ11" i="71" s="1"/>
  <c r="EK11" i="71" s="1"/>
  <c r="EL11" i="71" s="1"/>
  <c r="EP11" i="71" s="1"/>
  <c r="EQ11" i="71" s="1"/>
  <c r="ER11" i="71" s="1"/>
  <c r="ES11" i="71" s="1"/>
  <c r="ET11" i="71" s="1"/>
  <c r="EU11" i="71" s="1"/>
  <c r="EV11" i="71" s="1"/>
  <c r="EW11" i="71" s="1"/>
  <c r="E91" i="71"/>
  <c r="C52" i="71"/>
  <c r="G89" i="71" s="1"/>
  <c r="E51" i="71"/>
  <c r="I88" i="71" s="1"/>
  <c r="BF184" i="71"/>
  <c r="BF195" i="71" s="1"/>
  <c r="BN170" i="71"/>
  <c r="BN172" i="71"/>
  <c r="BR172" i="71"/>
  <c r="D51" i="71"/>
  <c r="H88" i="71" s="1"/>
  <c r="G85" i="71"/>
  <c r="EF76" i="71"/>
  <c r="EE76" i="71"/>
  <c r="BL137" i="71"/>
  <c r="EF72" i="71"/>
  <c r="EG72" i="71"/>
  <c r="EG18" i="71"/>
  <c r="EH18" i="71" s="1"/>
  <c r="EI18" i="71" s="1"/>
  <c r="EJ18" i="71" s="1"/>
  <c r="EK18" i="71" s="1"/>
  <c r="EL18" i="71" s="1"/>
  <c r="EP18" i="71" s="1"/>
  <c r="EQ18" i="71" s="1"/>
  <c r="ER18" i="71" s="1"/>
  <c r="ES18" i="71" s="1"/>
  <c r="ET18" i="71" s="1"/>
  <c r="EU18" i="71" s="1"/>
  <c r="EV18" i="71" s="1"/>
  <c r="EW18" i="71" s="1"/>
  <c r="BW18" i="71"/>
  <c r="BX18" i="71" s="1"/>
  <c r="BY18" i="71" s="1"/>
  <c r="BZ18" i="71" s="1"/>
  <c r="DQ51" i="71"/>
  <c r="BH180" i="71"/>
  <c r="ED11" i="71"/>
  <c r="BI99" i="71"/>
  <c r="BQ195" i="71"/>
  <c r="BQ197" i="71" s="1"/>
  <c r="BR184" i="71"/>
  <c r="BR195" i="71" s="1"/>
  <c r="BZ76" i="71"/>
  <c r="BI195" i="71"/>
  <c r="BG99" i="71"/>
  <c r="ED43" i="71"/>
  <c r="BR196" i="71"/>
  <c r="EG3" i="71"/>
  <c r="BU99" i="71"/>
  <c r="BU75" i="71"/>
  <c r="BY3" i="71"/>
  <c r="AX110" i="71"/>
  <c r="BH178" i="71"/>
  <c r="BF178" i="71"/>
  <c r="BG178" i="71"/>
  <c r="EF48" i="71"/>
  <c r="BG197" i="71"/>
  <c r="BO99" i="71"/>
  <c r="BG110" i="71"/>
  <c r="BU87" i="71"/>
  <c r="BD195" i="71"/>
  <c r="BD197" i="71" s="1"/>
  <c r="BI146" i="71"/>
  <c r="BI151" i="71" s="1"/>
  <c r="BO137" i="71"/>
  <c r="BP137" i="71"/>
  <c r="BF146" i="71"/>
  <c r="BF151" i="71" s="1"/>
  <c r="BI179" i="71"/>
  <c r="BO195" i="71"/>
  <c r="BO197" i="71" s="1"/>
  <c r="BJ172" i="71"/>
  <c r="BL55" i="71"/>
  <c r="BO170" i="71"/>
  <c r="BD146" i="71"/>
  <c r="BD151" i="71" s="1"/>
  <c r="BP170" i="71"/>
  <c r="EP12" i="71" l="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3" i="71"/>
  <c r="BD105" i="71" s="1"/>
  <c r="AZ229" i="71"/>
  <c r="EP52" i="71"/>
  <c r="EU68" i="71"/>
  <c r="EV54" i="71"/>
  <c r="BR92" i="71"/>
  <c r="BD93" i="71"/>
  <c r="BR102" i="71"/>
  <c r="CU61" i="71"/>
  <c r="CU94" i="71" s="1"/>
  <c r="BD92" i="71"/>
  <c r="DB55" i="71"/>
  <c r="DB57" i="71" s="1"/>
  <c r="DB91" i="71" s="1"/>
  <c r="BR57" i="71"/>
  <c r="BR91" i="71" s="1"/>
  <c r="EH113" i="71"/>
  <c r="EH211" i="71" s="1"/>
  <c r="EJ54" i="71"/>
  <c r="EK54" i="71" s="1"/>
  <c r="EL54" i="71" s="1"/>
  <c r="EP54" i="71" s="1"/>
  <c r="EQ54" i="71" s="1"/>
  <c r="ER54" i="71" s="1"/>
  <c r="ES54" i="71" s="1"/>
  <c r="ET54" i="71" s="1"/>
  <c r="EU54" i="71" s="1"/>
  <c r="BR138" i="71"/>
  <c r="BD57" i="71"/>
  <c r="BD61" i="71" s="1"/>
  <c r="BD64" i="71" s="1"/>
  <c r="DB71" i="71"/>
  <c r="CT64" i="71"/>
  <c r="CT66" i="71" s="1"/>
  <c r="CT67" i="71" s="1"/>
  <c r="CT94" i="71"/>
  <c r="CS64" i="71"/>
  <c r="CS66" i="71" s="1"/>
  <c r="CS67" i="71" s="1"/>
  <c r="CS94" i="71"/>
  <c r="CQ64" i="71"/>
  <c r="CQ66" i="71" s="1"/>
  <c r="CQ67" i="71" s="1"/>
  <c r="CQ94" i="71"/>
  <c r="CW64" i="71"/>
  <c r="CW66" i="71" s="1"/>
  <c r="CW67" i="71" s="1"/>
  <c r="CW94" i="71"/>
  <c r="CZ71" i="71"/>
  <c r="CZ58" i="71"/>
  <c r="CZ57" i="71"/>
  <c r="CZ91" i="71" s="1"/>
  <c r="CZ93" i="71"/>
  <c r="DA71" i="71"/>
  <c r="DA58" i="71"/>
  <c r="DA57" i="71"/>
  <c r="DA91" i="71" s="1"/>
  <c r="DA93" i="71"/>
  <c r="CV64" i="71"/>
  <c r="CV66" i="71" s="1"/>
  <c r="CV67" i="71" s="1"/>
  <c r="CV94" i="71"/>
  <c r="CX64" i="71"/>
  <c r="CX66" i="71" s="1"/>
  <c r="CX67" i="71" s="1"/>
  <c r="CX94" i="71"/>
  <c r="CR64" i="71"/>
  <c r="CR66" i="71" s="1"/>
  <c r="CR67" i="71" s="1"/>
  <c r="CR94" i="71"/>
  <c r="CY64" i="71"/>
  <c r="CY66" i="71" s="1"/>
  <c r="CY67" i="71" s="1"/>
  <c r="CY94" i="71"/>
  <c r="DB80" i="71"/>
  <c r="L64" i="71"/>
  <c r="L95" i="71" s="1"/>
  <c r="DD7" i="71"/>
  <c r="DC55" i="71"/>
  <c r="AE64" i="71"/>
  <c r="AE95" i="71" s="1"/>
  <c r="BD242" i="71"/>
  <c r="BD243" i="71" s="1"/>
  <c r="BD138" i="71"/>
  <c r="BD71" i="71"/>
  <c r="BD124" i="71" s="1"/>
  <c r="BD116" i="71"/>
  <c r="AZ103" i="71"/>
  <c r="AZ105" i="71" s="1"/>
  <c r="U96" i="71"/>
  <c r="U66" i="71"/>
  <c r="U67" i="71" s="1"/>
  <c r="BA103" i="71"/>
  <c r="BA102" i="71"/>
  <c r="BK181" i="71"/>
  <c r="K66" i="71"/>
  <c r="K67" i="71" s="1"/>
  <c r="BH181" i="71"/>
  <c r="K95" i="71"/>
  <c r="BD102" i="71"/>
  <c r="EH81" i="71"/>
  <c r="BE71" i="71"/>
  <c r="BE124" i="71" s="1"/>
  <c r="EJ29" i="71"/>
  <c r="EJ81" i="71" s="1"/>
  <c r="AZ181" i="71"/>
  <c r="AS242" i="71"/>
  <c r="AV229" i="71"/>
  <c r="AN55" i="71"/>
  <c r="AN92" i="71" s="1"/>
  <c r="H67" i="71"/>
  <c r="BM93" i="71"/>
  <c r="DK214" i="71"/>
  <c r="AE91" i="71"/>
  <c r="BM57" i="71"/>
  <c r="BM61" i="71" s="1"/>
  <c r="AE93" i="71"/>
  <c r="AP109" i="71"/>
  <c r="AE116" i="71"/>
  <c r="BM102" i="71"/>
  <c r="AT110" i="71"/>
  <c r="BM92" i="71"/>
  <c r="AE92" i="71"/>
  <c r="H96" i="71"/>
  <c r="AE102" i="71"/>
  <c r="D64" i="71"/>
  <c r="D96" i="71" s="1"/>
  <c r="H95" i="71"/>
  <c r="AE109" i="71"/>
  <c r="DR87" i="71"/>
  <c r="DQ81" i="71"/>
  <c r="BM71" i="71"/>
  <c r="BJ57" i="71"/>
  <c r="BJ91" i="71" s="1"/>
  <c r="BJ138" i="71"/>
  <c r="BJ92" i="71"/>
  <c r="BJ102" i="71"/>
  <c r="EG81" i="71"/>
  <c r="BN71" i="71"/>
  <c r="BJ116" i="71"/>
  <c r="BN57" i="71"/>
  <c r="BN61" i="71" s="1"/>
  <c r="BQ57" i="71"/>
  <c r="BQ61" i="71" s="1"/>
  <c r="BN102" i="71"/>
  <c r="EB99" i="71"/>
  <c r="EB207" i="71" s="1"/>
  <c r="BU102" i="71"/>
  <c r="BJ109" i="71"/>
  <c r="DM64" i="71"/>
  <c r="DM96" i="71" s="1"/>
  <c r="Q95" i="71"/>
  <c r="DU81" i="71"/>
  <c r="AW71" i="71"/>
  <c r="AW124" i="71" s="1"/>
  <c r="AW93" i="71"/>
  <c r="BB181" i="71"/>
  <c r="DP214" i="71"/>
  <c r="Y95" i="71"/>
  <c r="Y66" i="71"/>
  <c r="Y97" i="71" s="1"/>
  <c r="AC102" i="71"/>
  <c r="BF103" i="71"/>
  <c r="AY109" i="71"/>
  <c r="AY92" i="71"/>
  <c r="AY102" i="71"/>
  <c r="AY116" i="71"/>
  <c r="L66" i="71"/>
  <c r="L67" i="71" s="1"/>
  <c r="AY138" i="71"/>
  <c r="EA110" i="71"/>
  <c r="AY93" i="71"/>
  <c r="AY57" i="71"/>
  <c r="EB57" i="71" s="1"/>
  <c r="EB213" i="71" s="1"/>
  <c r="EA99" i="71"/>
  <c r="EA207" i="71" s="1"/>
  <c r="EA212" i="71" s="1"/>
  <c r="AS138" i="71"/>
  <c r="AS92" i="71"/>
  <c r="O95" i="71"/>
  <c r="BN93" i="71"/>
  <c r="P66" i="71"/>
  <c r="P67" i="71" s="1"/>
  <c r="Q96" i="71"/>
  <c r="AW92" i="71"/>
  <c r="AS116" i="71"/>
  <c r="AS109" i="71"/>
  <c r="DP95" i="71"/>
  <c r="BR71" i="71"/>
  <c r="P96" i="71"/>
  <c r="AW116" i="71"/>
  <c r="DO214" i="71"/>
  <c r="AW242" i="71"/>
  <c r="BB195" i="71"/>
  <c r="BB197" i="71" s="1"/>
  <c r="AW102" i="71"/>
  <c r="G66" i="71"/>
  <c r="G67" i="71" s="1"/>
  <c r="AW138" i="71"/>
  <c r="AV103" i="71"/>
  <c r="AW57" i="71"/>
  <c r="AS57" i="71"/>
  <c r="BR61" i="71"/>
  <c r="BR94" i="71" s="1"/>
  <c r="BN138" i="71"/>
  <c r="AP102" i="71"/>
  <c r="AC71" i="71"/>
  <c r="AW109" i="71"/>
  <c r="DN214" i="71"/>
  <c r="BE181" i="71"/>
  <c r="BR179" i="71"/>
  <c r="BR178" i="71" s="1"/>
  <c r="S96" i="71"/>
  <c r="BC102" i="71"/>
  <c r="EA55" i="71"/>
  <c r="EB71" i="71" s="1"/>
  <c r="F64" i="71"/>
  <c r="F96" i="71" s="1"/>
  <c r="BC109" i="71"/>
  <c r="BC242" i="71"/>
  <c r="BC243" i="71" s="1"/>
  <c r="BC57" i="71"/>
  <c r="BC91" i="71" s="1"/>
  <c r="BG71" i="71"/>
  <c r="BG124" i="71" s="1"/>
  <c r="BC71" i="71"/>
  <c r="BC124" i="71" s="1"/>
  <c r="BQ180" i="71"/>
  <c r="AR103" i="71"/>
  <c r="AR55" i="71"/>
  <c r="AR242" i="71" s="1"/>
  <c r="AV243" i="71" s="1"/>
  <c r="BC93" i="71"/>
  <c r="BU93" i="71"/>
  <c r="BT102" i="71"/>
  <c r="S66" i="71"/>
  <c r="S97" i="71" s="1"/>
  <c r="O96" i="71"/>
  <c r="AF101" i="71"/>
  <c r="M95" i="71"/>
  <c r="DX81" i="71"/>
  <c r="DP66" i="71"/>
  <c r="DP221" i="71" s="1"/>
  <c r="BO102" i="71"/>
  <c r="DW43" i="71"/>
  <c r="DW55" i="71" s="1"/>
  <c r="BU57" i="71"/>
  <c r="BU61" i="71" s="1"/>
  <c r="BU94" i="71" s="1"/>
  <c r="BG109" i="71"/>
  <c r="BG116" i="71"/>
  <c r="BO138" i="71"/>
  <c r="DW81" i="71"/>
  <c r="BG57" i="71"/>
  <c r="BG91" i="71" s="1"/>
  <c r="BO57" i="71"/>
  <c r="BG93" i="71"/>
  <c r="BG138" i="71"/>
  <c r="BO92" i="71"/>
  <c r="DT81" i="71"/>
  <c r="BE116" i="71"/>
  <c r="M96" i="71"/>
  <c r="DL214" i="71"/>
  <c r="DV81" i="71"/>
  <c r="BI57" i="71"/>
  <c r="BI93" i="71"/>
  <c r="BI138" i="71"/>
  <c r="BI92" i="71"/>
  <c r="BI116" i="71"/>
  <c r="BI109" i="71"/>
  <c r="BF71" i="71"/>
  <c r="BF57" i="71"/>
  <c r="BF61" i="71" s="1"/>
  <c r="EC99" i="71"/>
  <c r="EC102" i="71" s="1"/>
  <c r="AT102" i="71"/>
  <c r="AA116" i="71"/>
  <c r="DR85" i="71"/>
  <c r="BC116" i="71"/>
  <c r="BC92" i="71"/>
  <c r="BF93" i="71"/>
  <c r="BF116" i="71"/>
  <c r="AA57" i="71"/>
  <c r="AA61" i="71" s="1"/>
  <c r="BF138" i="71"/>
  <c r="DK96" i="71"/>
  <c r="AE71" i="71"/>
  <c r="AE124" i="71" s="1"/>
  <c r="BO181" i="71"/>
  <c r="DK66" i="71"/>
  <c r="DK221" i="71" s="1"/>
  <c r="G96" i="71"/>
  <c r="DZ75" i="71"/>
  <c r="AV61" i="71"/>
  <c r="AV94" i="71" s="1"/>
  <c r="AA93" i="71"/>
  <c r="AA109" i="71"/>
  <c r="AA92" i="71"/>
  <c r="DY81" i="71"/>
  <c r="DX43" i="71"/>
  <c r="DX55" i="71" s="1"/>
  <c r="DX57" i="71" s="1"/>
  <c r="AM109" i="71"/>
  <c r="AA71" i="71"/>
  <c r="BS102" i="71"/>
  <c r="BB61" i="71"/>
  <c r="BB64" i="71" s="1"/>
  <c r="BF92" i="71"/>
  <c r="BF109" i="71"/>
  <c r="V94" i="71"/>
  <c r="V64" i="71"/>
  <c r="AS102" i="71"/>
  <c r="BJ71" i="71"/>
  <c r="BJ124" i="71" s="1"/>
  <c r="EF55" i="71"/>
  <c r="EF57" i="71" s="1"/>
  <c r="DI64" i="71"/>
  <c r="DI66" i="71" s="1"/>
  <c r="BQ93" i="71"/>
  <c r="AL55" i="71"/>
  <c r="AL57" i="71" s="1"/>
  <c r="AL91" i="71" s="1"/>
  <c r="BA195" i="71"/>
  <c r="BA197" i="71" s="1"/>
  <c r="E66" i="71"/>
  <c r="E67" i="71" s="1"/>
  <c r="AW103" i="71"/>
  <c r="DR94" i="71"/>
  <c r="DR64" i="71"/>
  <c r="AM57" i="71"/>
  <c r="AM91" i="71" s="1"/>
  <c r="AX102" i="71"/>
  <c r="BB103" i="71"/>
  <c r="AM92" i="71"/>
  <c r="BL102" i="71"/>
  <c r="AI229" i="71"/>
  <c r="DN66" i="71"/>
  <c r="DN97" i="71" s="1"/>
  <c r="AX91" i="71"/>
  <c r="AX61" i="71"/>
  <c r="AM93" i="71"/>
  <c r="AI55" i="71"/>
  <c r="AI57" i="71" s="1"/>
  <c r="AK108" i="71"/>
  <c r="DN96" i="71"/>
  <c r="T94" i="71"/>
  <c r="T64" i="71"/>
  <c r="BQ71" i="71"/>
  <c r="W64" i="71"/>
  <c r="W66" i="71" s="1"/>
  <c r="W67" i="71" s="1"/>
  <c r="AK232" i="71"/>
  <c r="AO102" i="71"/>
  <c r="AO116" i="71"/>
  <c r="AO57" i="71"/>
  <c r="AO92" i="71"/>
  <c r="AO93" i="71"/>
  <c r="DY43" i="71"/>
  <c r="DY55" i="71" s="1"/>
  <c r="AO110" i="71"/>
  <c r="DL64" i="71"/>
  <c r="DL95" i="71" s="1"/>
  <c r="AS71" i="71"/>
  <c r="AS124" i="71" s="1"/>
  <c r="BT92" i="71"/>
  <c r="EH88" i="71"/>
  <c r="BU71" i="71"/>
  <c r="BE102" i="71"/>
  <c r="BE57" i="71"/>
  <c r="BE93" i="71"/>
  <c r="BE92" i="71"/>
  <c r="BI71" i="71"/>
  <c r="BI124" i="71" s="1"/>
  <c r="BE138" i="71"/>
  <c r="DT94" i="71"/>
  <c r="DT64" i="71"/>
  <c r="AC57" i="71"/>
  <c r="AC61" i="71" s="1"/>
  <c r="EE43" i="71"/>
  <c r="EE99" i="71" s="1"/>
  <c r="EE207" i="71" s="1"/>
  <c r="DQ214" i="71"/>
  <c r="BP181" i="71"/>
  <c r="E95" i="71"/>
  <c r="AC93" i="71"/>
  <c r="EG88" i="71"/>
  <c r="BQ102" i="71"/>
  <c r="BQ92" i="71"/>
  <c r="BE197" i="71"/>
  <c r="DU55" i="71"/>
  <c r="DU93" i="71" s="1"/>
  <c r="DP47" i="71"/>
  <c r="DO47" i="71" s="1"/>
  <c r="DP86" i="71" s="1"/>
  <c r="AH99" i="71"/>
  <c r="AH229" i="71" s="1"/>
  <c r="DW108" i="71"/>
  <c r="AJ99" i="71"/>
  <c r="AJ102" i="71" s="1"/>
  <c r="AK99" i="71"/>
  <c r="AK101" i="71" s="1"/>
  <c r="AM99" i="71"/>
  <c r="AM102" i="71" s="1"/>
  <c r="DR89" i="71"/>
  <c r="DQ89" i="71"/>
  <c r="AQ55" i="71"/>
  <c r="DZ43" i="71"/>
  <c r="M97" i="71"/>
  <c r="M67" i="71"/>
  <c r="AP93" i="71"/>
  <c r="AP57" i="71"/>
  <c r="AP138" i="71"/>
  <c r="AP92" i="71"/>
  <c r="AP116" i="71"/>
  <c r="AQ99" i="71"/>
  <c r="EH4" i="71"/>
  <c r="BA61" i="71"/>
  <c r="BA94" i="71" s="1"/>
  <c r="BA91" i="71"/>
  <c r="BP102" i="71"/>
  <c r="AL101" i="71"/>
  <c r="BK55" i="71"/>
  <c r="AL229" i="71"/>
  <c r="AT92" i="71"/>
  <c r="AT93" i="71"/>
  <c r="AT242" i="71"/>
  <c r="AX243" i="71" s="1"/>
  <c r="AT57" i="71"/>
  <c r="AT109" i="71"/>
  <c r="AX71" i="71"/>
  <c r="AX124" i="71" s="1"/>
  <c r="AT138" i="71"/>
  <c r="AT71" i="71"/>
  <c r="AT124" i="71" s="1"/>
  <c r="H86" i="71"/>
  <c r="AD102" i="71"/>
  <c r="AD116" i="71"/>
  <c r="AD93" i="71"/>
  <c r="AD92" i="71"/>
  <c r="AD71" i="71"/>
  <c r="AD57" i="71"/>
  <c r="AD109" i="71"/>
  <c r="DH95" i="71"/>
  <c r="DH66" i="71"/>
  <c r="DH96" i="71"/>
  <c r="DW75" i="71"/>
  <c r="DV75" i="71"/>
  <c r="EF99" i="71"/>
  <c r="EJ51" i="71"/>
  <c r="EK51" i="71" s="1"/>
  <c r="EL51" i="71" s="1"/>
  <c r="EI88" i="71"/>
  <c r="I95" i="71"/>
  <c r="I66" i="71"/>
  <c r="I96" i="71"/>
  <c r="X66" i="71"/>
  <c r="X96" i="71"/>
  <c r="X95" i="71"/>
  <c r="AF55" i="71"/>
  <c r="AF109" i="71" s="1"/>
  <c r="AH57" i="71"/>
  <c r="AH91" i="71" s="1"/>
  <c r="AH109" i="71"/>
  <c r="AH71" i="71"/>
  <c r="AH124" i="71" s="1"/>
  <c r="AH93" i="71"/>
  <c r="AH92" i="71"/>
  <c r="AH116" i="71"/>
  <c r="AK116" i="71"/>
  <c r="AK92" i="71"/>
  <c r="AK57" i="71"/>
  <c r="AK93" i="71"/>
  <c r="AO71" i="71"/>
  <c r="AO124" i="71" s="1"/>
  <c r="AK109" i="71"/>
  <c r="DV55" i="71"/>
  <c r="DV57" i="71" s="1"/>
  <c r="DS81" i="71"/>
  <c r="DR81" i="71"/>
  <c r="BP138" i="71"/>
  <c r="BP57" i="71"/>
  <c r="BP92" i="71"/>
  <c r="BP93" i="71"/>
  <c r="BH57" i="71"/>
  <c r="BH71" i="71"/>
  <c r="BH109" i="71"/>
  <c r="BH138" i="71"/>
  <c r="BH93" i="71"/>
  <c r="BF196" i="71"/>
  <c r="BE180" i="71"/>
  <c r="DQ94" i="71"/>
  <c r="DQ64" i="71"/>
  <c r="BH92" i="71"/>
  <c r="BV102" i="71"/>
  <c r="DZ209" i="71"/>
  <c r="DZ110" i="71"/>
  <c r="DP50" i="71"/>
  <c r="DO50" i="71" s="1"/>
  <c r="DP87" i="71" s="1"/>
  <c r="EH6" i="71"/>
  <c r="EG77" i="71"/>
  <c r="AJ110" i="71"/>
  <c r="AF232" i="71"/>
  <c r="AF108" i="71"/>
  <c r="AE66" i="71"/>
  <c r="DR86" i="71"/>
  <c r="DS94" i="71"/>
  <c r="AU99" i="71"/>
  <c r="BV71" i="71"/>
  <c r="BV57" i="71"/>
  <c r="BV92" i="71"/>
  <c r="DO94" i="71"/>
  <c r="DO64" i="71"/>
  <c r="C96" i="71"/>
  <c r="C95" i="71"/>
  <c r="C66" i="71"/>
  <c r="Q97" i="71"/>
  <c r="Q67" i="71"/>
  <c r="AU55" i="71"/>
  <c r="BH116" i="71"/>
  <c r="AG99" i="71"/>
  <c r="AG102" i="71" s="1"/>
  <c r="EE209" i="71"/>
  <c r="BH102" i="71"/>
  <c r="AC92" i="71"/>
  <c r="AC109" i="71"/>
  <c r="BT57" i="71"/>
  <c r="BT71" i="71"/>
  <c r="BT93" i="71"/>
  <c r="J67" i="71"/>
  <c r="J97" i="71"/>
  <c r="AJ93" i="71"/>
  <c r="AJ92" i="71"/>
  <c r="AJ109" i="71"/>
  <c r="AJ116" i="71"/>
  <c r="AJ57" i="71"/>
  <c r="BM181" i="71"/>
  <c r="BL181" i="71"/>
  <c r="Z94" i="71"/>
  <c r="Z64" i="71"/>
  <c r="BW55" i="71"/>
  <c r="EB138" i="71"/>
  <c r="EB92" i="71"/>
  <c r="EC92" i="71" s="1"/>
  <c r="EB116" i="71"/>
  <c r="EB93" i="71"/>
  <c r="AN101" i="71"/>
  <c r="AN229" i="71"/>
  <c r="O97" i="71"/>
  <c r="O67" i="71"/>
  <c r="EC57" i="71"/>
  <c r="EC71" i="71"/>
  <c r="EC116" i="71"/>
  <c r="EC109" i="71"/>
  <c r="BY75" i="71"/>
  <c r="EH3" i="71"/>
  <c r="EG75" i="71"/>
  <c r="EG99" i="71"/>
  <c r="BS57" i="71"/>
  <c r="BS92" i="71"/>
  <c r="BS93" i="71"/>
  <c r="BS71" i="71"/>
  <c r="EB110" i="71"/>
  <c r="EB112" i="71" s="1"/>
  <c r="EB209" i="71"/>
  <c r="EB109" i="71"/>
  <c r="DU108" i="71"/>
  <c r="DU209" i="71"/>
  <c r="DU212" i="71" s="1"/>
  <c r="BI103" i="71"/>
  <c r="BI102" i="71"/>
  <c r="BY12" i="71"/>
  <c r="BZ12" i="71" s="1"/>
  <c r="BZ55" i="71" s="1"/>
  <c r="BX55" i="71"/>
  <c r="BL178" i="71"/>
  <c r="BI180" i="71"/>
  <c r="BJ178" i="71"/>
  <c r="BK178" i="71"/>
  <c r="EG48" i="71"/>
  <c r="EG55" i="71" s="1"/>
  <c r="EF106" i="71"/>
  <c r="BR197" i="71"/>
  <c r="ED55" i="71"/>
  <c r="ED99" i="71"/>
  <c r="AB92" i="71"/>
  <c r="AB71" i="71"/>
  <c r="AB57" i="71"/>
  <c r="AB102" i="71"/>
  <c r="AB93" i="71"/>
  <c r="AB109" i="71"/>
  <c r="AB116" i="71"/>
  <c r="BQ181" i="71"/>
  <c r="AT179" i="71"/>
  <c r="AT180" i="71" s="1"/>
  <c r="AS180" i="71"/>
  <c r="DJ66" i="71"/>
  <c r="DJ96" i="71"/>
  <c r="DJ95" i="71"/>
  <c r="AK71" i="71"/>
  <c r="AK124" i="71" s="1"/>
  <c r="AG57" i="71"/>
  <c r="AG93" i="71"/>
  <c r="AG116" i="71"/>
  <c r="AG71" i="71"/>
  <c r="AG124" i="71" s="1"/>
  <c r="AG92" i="71"/>
  <c r="BL93" i="71"/>
  <c r="BL138" i="71"/>
  <c r="BL92" i="71"/>
  <c r="BL71" i="71"/>
  <c r="BL57" i="71"/>
  <c r="BP71" i="71"/>
  <c r="BI178" i="71"/>
  <c r="BG102" i="71"/>
  <c r="BG103" i="71"/>
  <c r="DY110" i="71"/>
  <c r="DX108" i="71"/>
  <c r="DX209" i="71"/>
  <c r="DX212" i="71" s="1"/>
  <c r="R66" i="71"/>
  <c r="R96" i="71"/>
  <c r="R95" i="71"/>
  <c r="DS96" i="71"/>
  <c r="DS95" i="71"/>
  <c r="DS66" i="71"/>
  <c r="DQ88" i="71"/>
  <c r="DR88" i="71"/>
  <c r="BI197" i="71"/>
  <c r="N67" i="71"/>
  <c r="N97" i="71"/>
  <c r="K97" i="71" l="1"/>
  <c r="CX74" i="71"/>
  <c r="EQ52" i="71"/>
  <c r="EP89" i="71"/>
  <c r="EV68" i="71"/>
  <c r="EW54" i="71"/>
  <c r="EK29" i="71"/>
  <c r="EK81" i="71" s="1"/>
  <c r="CV74" i="71"/>
  <c r="U97" i="71"/>
  <c r="BD94" i="71"/>
  <c r="BD91" i="71"/>
  <c r="CZ56" i="71"/>
  <c r="CU64" i="71"/>
  <c r="CU66" i="71" s="1"/>
  <c r="CU67" i="71" s="1"/>
  <c r="CY74" i="71" s="1"/>
  <c r="DB58" i="71"/>
  <c r="DB60" i="71" s="1"/>
  <c r="DB61" i="71" s="1"/>
  <c r="AE96" i="71"/>
  <c r="L97" i="71"/>
  <c r="DB56" i="71"/>
  <c r="DB93" i="71"/>
  <c r="DA56" i="71"/>
  <c r="DA60" i="71"/>
  <c r="DA61" i="71" s="1"/>
  <c r="DA92" i="71"/>
  <c r="DA73" i="71"/>
  <c r="L96" i="71"/>
  <c r="CW74" i="71"/>
  <c r="CZ92" i="71"/>
  <c r="CZ73" i="71"/>
  <c r="CZ60" i="71"/>
  <c r="CZ61" i="71" s="1"/>
  <c r="CZ64" i="71" s="1"/>
  <c r="DC71" i="71"/>
  <c r="DC57" i="71"/>
  <c r="DC91" i="71" s="1"/>
  <c r="DC93" i="71"/>
  <c r="DC58" i="71"/>
  <c r="DC80" i="71"/>
  <c r="DU102" i="71"/>
  <c r="E97" i="71"/>
  <c r="CU74" i="71"/>
  <c r="DE7" i="71"/>
  <c r="DD55" i="71"/>
  <c r="BU56" i="71"/>
  <c r="AW121" i="71"/>
  <c r="AW244" i="71" s="1"/>
  <c r="BM91" i="71"/>
  <c r="BQ91" i="71"/>
  <c r="DU116" i="71"/>
  <c r="DU57" i="71"/>
  <c r="DU91" i="71" s="1"/>
  <c r="AW243" i="71"/>
  <c r="AN57" i="71"/>
  <c r="AN61" i="71" s="1"/>
  <c r="AN93" i="71"/>
  <c r="S67" i="71"/>
  <c r="W74" i="71" s="1"/>
  <c r="AN116" i="71"/>
  <c r="AN71" i="71"/>
  <c r="AN124" i="71" s="1"/>
  <c r="AN102" i="71"/>
  <c r="AN109" i="71"/>
  <c r="L74" i="71"/>
  <c r="EA93" i="71"/>
  <c r="D66" i="71"/>
  <c r="D97" i="71" s="1"/>
  <c r="BN91" i="71"/>
  <c r="D95" i="71"/>
  <c r="EA57" i="71"/>
  <c r="EA91" i="71" s="1"/>
  <c r="EA92" i="71"/>
  <c r="EA116" i="71"/>
  <c r="EA109" i="71"/>
  <c r="AY61" i="71"/>
  <c r="AY64" i="71" s="1"/>
  <c r="AY91" i="71"/>
  <c r="BR64" i="71"/>
  <c r="BR95" i="71" s="1"/>
  <c r="BG61" i="71"/>
  <c r="BG64" i="71" s="1"/>
  <c r="DI96" i="71"/>
  <c r="BJ61" i="71"/>
  <c r="BJ64" i="71" s="1"/>
  <c r="DU109" i="71"/>
  <c r="DL66" i="71"/>
  <c r="DL221" i="71" s="1"/>
  <c r="DP67" i="71"/>
  <c r="DP220" i="71" s="1"/>
  <c r="DP97" i="71"/>
  <c r="BF91" i="71"/>
  <c r="DM66" i="71"/>
  <c r="DM67" i="71" s="1"/>
  <c r="DM220" i="71" s="1"/>
  <c r="DM95" i="71"/>
  <c r="DL96" i="71"/>
  <c r="EB212" i="71"/>
  <c r="EB214" i="71" s="1"/>
  <c r="EC103" i="71"/>
  <c r="BC61" i="71"/>
  <c r="BC94" i="71" s="1"/>
  <c r="EB102" i="71"/>
  <c r="Y67" i="71"/>
  <c r="Y74" i="71" s="1"/>
  <c r="F95" i="71"/>
  <c r="F66" i="71"/>
  <c r="F97" i="71" s="1"/>
  <c r="EA102" i="71"/>
  <c r="DW93" i="71"/>
  <c r="DW102" i="71"/>
  <c r="P97" i="71"/>
  <c r="G97" i="71"/>
  <c r="AR109" i="71"/>
  <c r="BR180" i="71"/>
  <c r="AR93" i="71"/>
  <c r="AR116" i="71"/>
  <c r="BA243" i="71"/>
  <c r="AR71" i="71"/>
  <c r="AR124" i="71" s="1"/>
  <c r="AR138" i="71"/>
  <c r="AR92" i="71"/>
  <c r="EB103" i="71"/>
  <c r="EB105" i="71" s="1"/>
  <c r="AH61" i="71"/>
  <c r="AH94" i="71" s="1"/>
  <c r="AR57" i="71"/>
  <c r="Q74" i="71"/>
  <c r="DN221" i="71"/>
  <c r="AL92" i="71"/>
  <c r="AS61" i="71"/>
  <c r="AS91" i="71"/>
  <c r="AV64" i="71"/>
  <c r="AV95" i="71" s="1"/>
  <c r="DV93" i="71"/>
  <c r="ED57" i="71"/>
  <c r="ED61" i="71" s="1"/>
  <c r="DN67" i="71"/>
  <c r="DN220" i="71" s="1"/>
  <c r="AR102" i="71"/>
  <c r="AW91" i="71"/>
  <c r="AW61" i="71"/>
  <c r="AJ229" i="71"/>
  <c r="DV102" i="71"/>
  <c r="AL61" i="71"/>
  <c r="AL94" i="71" s="1"/>
  <c r="DV116" i="71"/>
  <c r="DV109" i="71"/>
  <c r="DW71" i="71"/>
  <c r="AL93" i="71"/>
  <c r="AL116" i="71"/>
  <c r="AL109" i="71"/>
  <c r="AL71" i="71"/>
  <c r="AL124" i="71" s="1"/>
  <c r="AL102" i="71"/>
  <c r="AV71" i="71"/>
  <c r="AV121" i="71" s="1"/>
  <c r="AV244" i="71" s="1"/>
  <c r="AG229" i="71"/>
  <c r="DX93" i="71"/>
  <c r="AG101" i="71"/>
  <c r="DW109" i="71"/>
  <c r="BU64" i="71"/>
  <c r="BU95" i="71" s="1"/>
  <c r="DW116" i="71"/>
  <c r="DI95" i="71"/>
  <c r="DU71" i="71"/>
  <c r="DU92" i="71"/>
  <c r="DX102" i="71"/>
  <c r="DW92" i="71"/>
  <c r="DW57" i="71"/>
  <c r="DW61" i="71" s="1"/>
  <c r="BB94" i="71"/>
  <c r="EE212" i="71"/>
  <c r="DK67" i="71"/>
  <c r="DK220" i="71" s="1"/>
  <c r="AI92" i="71"/>
  <c r="AC91" i="71"/>
  <c r="DV71" i="71"/>
  <c r="DK97" i="71"/>
  <c r="AI102" i="71"/>
  <c r="BO91" i="71"/>
  <c r="BO61" i="71"/>
  <c r="EC207" i="71"/>
  <c r="EC212" i="71" s="1"/>
  <c r="EF116" i="71"/>
  <c r="EF102" i="71"/>
  <c r="K74" i="71"/>
  <c r="EE55" i="71"/>
  <c r="EE109" i="71" s="1"/>
  <c r="BI61" i="71"/>
  <c r="BI91" i="71"/>
  <c r="DX71" i="71"/>
  <c r="DX116" i="71"/>
  <c r="AJ71" i="71"/>
  <c r="AJ124" i="71" s="1"/>
  <c r="EB91" i="71"/>
  <c r="AM61" i="71"/>
  <c r="DX92" i="71"/>
  <c r="EB56" i="71"/>
  <c r="AA91" i="71"/>
  <c r="DX109" i="71"/>
  <c r="AF71" i="71"/>
  <c r="AF124" i="71" s="1"/>
  <c r="AP71" i="71"/>
  <c r="DR95" i="71"/>
  <c r="DR96" i="71"/>
  <c r="DR66" i="71"/>
  <c r="V95" i="71"/>
  <c r="V66" i="71"/>
  <c r="V96" i="71"/>
  <c r="DQ86" i="71"/>
  <c r="EB61" i="71"/>
  <c r="EB64" i="71" s="1"/>
  <c r="EB95" i="71" s="1"/>
  <c r="DY71" i="71"/>
  <c r="DY57" i="71"/>
  <c r="DY61" i="71" s="1"/>
  <c r="DY93" i="71"/>
  <c r="DY92" i="71"/>
  <c r="DY116" i="71"/>
  <c r="DY109" i="71"/>
  <c r="T96" i="71"/>
  <c r="T66" i="71"/>
  <c r="T95" i="71"/>
  <c r="AJ101" i="71"/>
  <c r="BE91" i="71"/>
  <c r="BE61" i="71"/>
  <c r="AO91" i="71"/>
  <c r="AO61" i="71"/>
  <c r="AM71" i="71"/>
  <c r="AM124" i="71" s="1"/>
  <c r="AI93" i="71"/>
  <c r="DY99" i="71"/>
  <c r="DY207" i="71" s="1"/>
  <c r="DY212" i="71" s="1"/>
  <c r="BA64" i="71"/>
  <c r="BA96" i="71" s="1"/>
  <c r="EF207" i="71"/>
  <c r="AI116" i="71"/>
  <c r="EF103" i="71"/>
  <c r="AI71" i="71"/>
  <c r="AI124" i="71" s="1"/>
  <c r="DT66" i="71"/>
  <c r="DT95" i="71"/>
  <c r="DT96" i="71"/>
  <c r="AX64" i="71"/>
  <c r="AX94" i="71"/>
  <c r="P74" i="71"/>
  <c r="AI109" i="71"/>
  <c r="W96" i="71"/>
  <c r="W95" i="71"/>
  <c r="N74" i="71"/>
  <c r="AH102" i="71"/>
  <c r="AK229" i="71"/>
  <c r="AO103" i="71"/>
  <c r="AK102" i="71"/>
  <c r="DQ87" i="71"/>
  <c r="AH101" i="71"/>
  <c r="AM101" i="71"/>
  <c r="AM229" i="71"/>
  <c r="DV92" i="71"/>
  <c r="DH97" i="71"/>
  <c r="DH67" i="71"/>
  <c r="DH220" i="71" s="1"/>
  <c r="DZ99" i="71"/>
  <c r="DZ55" i="71"/>
  <c r="EI4" i="71"/>
  <c r="EH76" i="71"/>
  <c r="AA94" i="71"/>
  <c r="AA64" i="71"/>
  <c r="AQ57" i="71"/>
  <c r="AQ116" i="71"/>
  <c r="AQ92" i="71"/>
  <c r="AQ242" i="71"/>
  <c r="AQ71" i="71"/>
  <c r="AQ109" i="71"/>
  <c r="AQ93" i="71"/>
  <c r="AQ138" i="71"/>
  <c r="AQ103" i="71"/>
  <c r="AQ102" i="71"/>
  <c r="AF93" i="71"/>
  <c r="AF116" i="71"/>
  <c r="AF57" i="71"/>
  <c r="AF102" i="71"/>
  <c r="AF92" i="71"/>
  <c r="AD61" i="71"/>
  <c r="AD91" i="71"/>
  <c r="AT61" i="71"/>
  <c r="AT91" i="71"/>
  <c r="BK93" i="71"/>
  <c r="BK57" i="71"/>
  <c r="BK92" i="71"/>
  <c r="BK138" i="71"/>
  <c r="BK71" i="71"/>
  <c r="BO71" i="71"/>
  <c r="AP61" i="71"/>
  <c r="AP91" i="71"/>
  <c r="I97" i="71"/>
  <c r="I67" i="71"/>
  <c r="M74" i="71" s="1"/>
  <c r="X97" i="71"/>
  <c r="X67" i="71"/>
  <c r="DH221" i="71"/>
  <c r="BK102" i="71"/>
  <c r="EI6" i="71"/>
  <c r="EH77" i="71"/>
  <c r="BT91" i="71"/>
  <c r="BT61" i="71"/>
  <c r="BQ94" i="71"/>
  <c r="BQ64" i="71"/>
  <c r="AU102" i="71"/>
  <c r="AU229" i="71"/>
  <c r="AU103" i="71"/>
  <c r="AY103" i="71"/>
  <c r="AU57" i="71"/>
  <c r="AU93" i="71"/>
  <c r="AU92" i="71"/>
  <c r="AU109" i="71"/>
  <c r="AU242" i="71"/>
  <c r="AU138" i="71"/>
  <c r="AU116" i="71"/>
  <c r="AY71" i="71"/>
  <c r="AY124" i="71" s="1"/>
  <c r="AU71" i="71"/>
  <c r="AU124" i="71" s="1"/>
  <c r="BV61" i="71"/>
  <c r="BV56" i="71"/>
  <c r="BD96" i="71"/>
  <c r="BD95" i="71"/>
  <c r="BD66" i="71"/>
  <c r="DO96" i="71"/>
  <c r="DO66" i="71"/>
  <c r="DO95" i="71"/>
  <c r="BP91" i="71"/>
  <c r="BP61" i="71"/>
  <c r="AE67" i="71"/>
  <c r="AE97" i="71"/>
  <c r="C67" i="71"/>
  <c r="C97" i="71"/>
  <c r="W97" i="71"/>
  <c r="DI221" i="71"/>
  <c r="DI97" i="71"/>
  <c r="DI67" i="71"/>
  <c r="BH91" i="71"/>
  <c r="BH61" i="71"/>
  <c r="BJ94" i="71"/>
  <c r="AI61" i="71"/>
  <c r="AI91" i="71"/>
  <c r="DQ66" i="71"/>
  <c r="DQ96" i="71"/>
  <c r="DQ95" i="71"/>
  <c r="BM64" i="71"/>
  <c r="BM94" i="71"/>
  <c r="BF180" i="71"/>
  <c r="BF197" i="71"/>
  <c r="AK61" i="71"/>
  <c r="AK91" i="71"/>
  <c r="EG57" i="71"/>
  <c r="EG56" i="71" s="1"/>
  <c r="EG71" i="71"/>
  <c r="EG58" i="71"/>
  <c r="EG73" i="71" s="1"/>
  <c r="EG116" i="71"/>
  <c r="BN64" i="71"/>
  <c r="BN94" i="71"/>
  <c r="BL91" i="71"/>
  <c r="BL61" i="71"/>
  <c r="BB66" i="71"/>
  <c r="BB96" i="71"/>
  <c r="BB95" i="71"/>
  <c r="ED207" i="71"/>
  <c r="ED212" i="71" s="1"/>
  <c r="ED102" i="71"/>
  <c r="EE103" i="71"/>
  <c r="ED103" i="71"/>
  <c r="BS91" i="71"/>
  <c r="BS61" i="71"/>
  <c r="DS97" i="71"/>
  <c r="DS67" i="71"/>
  <c r="DS221" i="71"/>
  <c r="BF64" i="71"/>
  <c r="BF94" i="71"/>
  <c r="ED71" i="71"/>
  <c r="ED116" i="71"/>
  <c r="ED109" i="71"/>
  <c r="BX71" i="71"/>
  <c r="BX57" i="71"/>
  <c r="BX61" i="71" s="1"/>
  <c r="BX64" i="71" s="1"/>
  <c r="DX213" i="71"/>
  <c r="DX214" i="71" s="1"/>
  <c r="DX61" i="71"/>
  <c r="DX91" i="71"/>
  <c r="Z95" i="71"/>
  <c r="Z96" i="71"/>
  <c r="Z66" i="71"/>
  <c r="BZ71" i="71"/>
  <c r="BZ57" i="71"/>
  <c r="BZ61" i="71" s="1"/>
  <c r="BZ64" i="71" s="1"/>
  <c r="EC213" i="71"/>
  <c r="EC91" i="71"/>
  <c r="EC61" i="71"/>
  <c r="BW71" i="71"/>
  <c r="BW57" i="71"/>
  <c r="BW61" i="71" s="1"/>
  <c r="BW64" i="71" s="1"/>
  <c r="EF209" i="71"/>
  <c r="EF109" i="71"/>
  <c r="O74" i="71"/>
  <c r="AG61" i="71"/>
  <c r="AG91" i="71"/>
  <c r="AB91" i="71"/>
  <c r="AB61" i="71"/>
  <c r="EH48" i="71"/>
  <c r="EH55" i="71" s="1"/>
  <c r="EH93" i="71" s="1"/>
  <c r="EG106" i="71"/>
  <c r="EG207" i="71"/>
  <c r="EG103" i="71"/>
  <c r="EG102" i="71"/>
  <c r="EF61" i="71"/>
  <c r="EF213" i="71"/>
  <c r="EF91" i="71"/>
  <c r="AC64" i="71"/>
  <c r="AC94" i="71"/>
  <c r="R67" i="71"/>
  <c r="R97" i="71"/>
  <c r="EI3" i="71"/>
  <c r="EH75" i="71"/>
  <c r="EH99" i="71"/>
  <c r="U74" i="71"/>
  <c r="DJ221" i="71"/>
  <c r="DJ67" i="71"/>
  <c r="DJ97" i="71"/>
  <c r="BY55" i="71"/>
  <c r="DV91" i="71"/>
  <c r="DV213" i="71"/>
  <c r="DV214" i="71" s="1"/>
  <c r="DV61" i="71"/>
  <c r="AJ61" i="71"/>
  <c r="AJ91" i="71"/>
  <c r="S74" i="71" l="1"/>
  <c r="AH64" i="71"/>
  <c r="DB73" i="71"/>
  <c r="EL29" i="71"/>
  <c r="EL81" i="71" s="1"/>
  <c r="DB92" i="71"/>
  <c r="EQ89" i="71"/>
  <c r="ER52" i="71"/>
  <c r="EW68" i="71"/>
  <c r="DC56" i="71"/>
  <c r="DU213" i="71"/>
  <c r="DU214" i="71" s="1"/>
  <c r="AN91" i="71"/>
  <c r="CZ65" i="71"/>
  <c r="CZ66" i="71" s="1"/>
  <c r="CZ67" i="71" s="1"/>
  <c r="CZ94" i="71"/>
  <c r="DC92" i="71"/>
  <c r="DC73" i="71"/>
  <c r="DC60" i="71"/>
  <c r="DC61" i="71" s="1"/>
  <c r="DD71" i="71"/>
  <c r="DD93" i="71"/>
  <c r="DD58" i="71"/>
  <c r="DD57" i="71"/>
  <c r="DD91" i="71" s="1"/>
  <c r="DA94" i="71"/>
  <c r="DA64" i="71"/>
  <c r="DB94" i="71"/>
  <c r="DB64" i="71"/>
  <c r="DD80" i="71"/>
  <c r="DU61" i="71"/>
  <c r="DU94" i="71" s="1"/>
  <c r="DF7" i="71"/>
  <c r="DE55" i="71"/>
  <c r="AY94" i="71"/>
  <c r="BR65" i="71"/>
  <c r="BR66" i="71" s="1"/>
  <c r="BR171" i="71" s="1"/>
  <c r="D67" i="71"/>
  <c r="H74" i="71" s="1"/>
  <c r="EA61" i="71"/>
  <c r="EA94" i="71" s="1"/>
  <c r="EA213" i="71"/>
  <c r="EA214" i="71" s="1"/>
  <c r="DM221" i="71"/>
  <c r="BG94" i="71"/>
  <c r="DM97" i="71"/>
  <c r="F67" i="71"/>
  <c r="J74" i="71" s="1"/>
  <c r="AL64" i="71"/>
  <c r="AL96" i="71" s="1"/>
  <c r="BC64" i="71"/>
  <c r="BC95" i="71" s="1"/>
  <c r="DZ103" i="71"/>
  <c r="AV66" i="71"/>
  <c r="AV97" i="71" s="1"/>
  <c r="AV96" i="71"/>
  <c r="DL97" i="71"/>
  <c r="DY102" i="71"/>
  <c r="DL67" i="71"/>
  <c r="DL74" i="71" s="1"/>
  <c r="BU65" i="71"/>
  <c r="BU96" i="71" s="1"/>
  <c r="EE116" i="71"/>
  <c r="AV124" i="71"/>
  <c r="EE71" i="71"/>
  <c r="EE102" i="71"/>
  <c r="EE57" i="71"/>
  <c r="EE213" i="71" s="1"/>
  <c r="EE214" i="71" s="1"/>
  <c r="AR91" i="71"/>
  <c r="AR61" i="71"/>
  <c r="ED56" i="71"/>
  <c r="AW94" i="71"/>
  <c r="AW64" i="71"/>
  <c r="AS94" i="71"/>
  <c r="AS64" i="71"/>
  <c r="ED91" i="71"/>
  <c r="ED213" i="71"/>
  <c r="ED214" i="71" s="1"/>
  <c r="BA95" i="71"/>
  <c r="BA66" i="71"/>
  <c r="BA67" i="71" s="1"/>
  <c r="EF71" i="71"/>
  <c r="DY103" i="71"/>
  <c r="DW213" i="71"/>
  <c r="DW214" i="71" s="1"/>
  <c r="DW91" i="71"/>
  <c r="EC214" i="71"/>
  <c r="BO94" i="71"/>
  <c r="BO64" i="71"/>
  <c r="EB66" i="71"/>
  <c r="EB67" i="71" s="1"/>
  <c r="EB96" i="71"/>
  <c r="BI94" i="71"/>
  <c r="BI64" i="71"/>
  <c r="DY213" i="71"/>
  <c r="DY214" i="71" s="1"/>
  <c r="AM94" i="71"/>
  <c r="AM64" i="71"/>
  <c r="DY91" i="71"/>
  <c r="V97" i="71"/>
  <c r="V67" i="71"/>
  <c r="V74" i="71" s="1"/>
  <c r="DN74" i="71"/>
  <c r="DR97" i="71"/>
  <c r="DR67" i="71"/>
  <c r="DR220" i="71" s="1"/>
  <c r="DR221" i="71"/>
  <c r="EB94" i="71"/>
  <c r="AX66" i="71"/>
  <c r="AX95" i="71"/>
  <c r="AX96" i="71"/>
  <c r="AY96" i="71"/>
  <c r="AY95" i="71"/>
  <c r="AY66" i="71"/>
  <c r="T67" i="71"/>
  <c r="T74" i="71" s="1"/>
  <c r="T97" i="71"/>
  <c r="DT67" i="71"/>
  <c r="DT220" i="71" s="1"/>
  <c r="DT97" i="71"/>
  <c r="DT221" i="71"/>
  <c r="BE94" i="71"/>
  <c r="BE64" i="71"/>
  <c r="AO64" i="71"/>
  <c r="AO94" i="71"/>
  <c r="EF212" i="71"/>
  <c r="EF214" i="71" s="1"/>
  <c r="BW56" i="71"/>
  <c r="BK61" i="71"/>
  <c r="BK91" i="71"/>
  <c r="AA66" i="71"/>
  <c r="AA96" i="71"/>
  <c r="AA95" i="71"/>
  <c r="AQ61" i="71"/>
  <c r="AQ91" i="71"/>
  <c r="AT94" i="71"/>
  <c r="AT64" i="71"/>
  <c r="EI76" i="71"/>
  <c r="EJ4" i="71"/>
  <c r="DZ92" i="71"/>
  <c r="DZ57" i="71"/>
  <c r="DZ116" i="71"/>
  <c r="DZ109" i="71"/>
  <c r="DZ93" i="71"/>
  <c r="DZ71" i="71"/>
  <c r="EA71" i="71"/>
  <c r="DZ207" i="71"/>
  <c r="DZ212" i="71" s="1"/>
  <c r="DZ102" i="71"/>
  <c r="EA103" i="71"/>
  <c r="AF91" i="71"/>
  <c r="AF61" i="71"/>
  <c r="AP64" i="71"/>
  <c r="AP94" i="71"/>
  <c r="AD94" i="71"/>
  <c r="AD64" i="71"/>
  <c r="I74" i="71"/>
  <c r="BJ95" i="71"/>
  <c r="BJ66" i="71"/>
  <c r="BJ96" i="71"/>
  <c r="AU91" i="71"/>
  <c r="AU61" i="71"/>
  <c r="AK94" i="71"/>
  <c r="AK64" i="71"/>
  <c r="BH64" i="71"/>
  <c r="BH94" i="71"/>
  <c r="DI74" i="71"/>
  <c r="DI220" i="71"/>
  <c r="BV94" i="71"/>
  <c r="BV64" i="71"/>
  <c r="BM95" i="71"/>
  <c r="BM96" i="71"/>
  <c r="BM66" i="71"/>
  <c r="BZ56" i="71"/>
  <c r="DQ221" i="71"/>
  <c r="DQ97" i="71"/>
  <c r="DQ67" i="71"/>
  <c r="BP64" i="71"/>
  <c r="BP94" i="71"/>
  <c r="EI77" i="71"/>
  <c r="EJ6" i="71"/>
  <c r="AI64" i="71"/>
  <c r="AI94" i="71"/>
  <c r="BQ96" i="71"/>
  <c r="BQ66" i="71"/>
  <c r="BQ95" i="71"/>
  <c r="AY243" i="71"/>
  <c r="AU243" i="71"/>
  <c r="BD171" i="71"/>
  <c r="BD67" i="71"/>
  <c r="BD74" i="71" s="1"/>
  <c r="BD183" i="71"/>
  <c r="BD97" i="71"/>
  <c r="DO97" i="71"/>
  <c r="DO67" i="71"/>
  <c r="DO221" i="71"/>
  <c r="BT64" i="71"/>
  <c r="BT94" i="71"/>
  <c r="R74" i="71"/>
  <c r="DS220" i="71"/>
  <c r="AH66" i="71"/>
  <c r="AH95" i="71"/>
  <c r="AH96" i="71"/>
  <c r="BX65" i="71"/>
  <c r="BX66" i="71" s="1"/>
  <c r="BX67" i="71" s="1"/>
  <c r="BG96" i="71"/>
  <c r="BG66" i="71"/>
  <c r="BG95" i="71"/>
  <c r="ED64" i="71"/>
  <c r="ED94" i="71"/>
  <c r="DW94" i="71"/>
  <c r="DW64" i="71"/>
  <c r="BY57" i="71"/>
  <c r="BY61" i="71" s="1"/>
  <c r="BY64" i="71" s="1"/>
  <c r="BY71" i="71"/>
  <c r="EF94" i="71"/>
  <c r="EF64" i="71"/>
  <c r="BS94" i="71"/>
  <c r="BS64" i="71"/>
  <c r="Z67" i="71"/>
  <c r="Z97" i="71"/>
  <c r="DU64" i="71"/>
  <c r="EC64" i="71"/>
  <c r="EC94" i="71"/>
  <c r="BL64" i="71"/>
  <c r="BL94" i="71"/>
  <c r="AB64" i="71"/>
  <c r="AB94" i="71"/>
  <c r="AG94" i="71"/>
  <c r="AG64" i="71"/>
  <c r="BX56" i="71"/>
  <c r="DK74" i="71"/>
  <c r="DJ220" i="71"/>
  <c r="DJ74" i="71"/>
  <c r="BW65" i="71"/>
  <c r="BW66" i="71" s="1"/>
  <c r="BW67" i="71" s="1"/>
  <c r="EH57" i="71"/>
  <c r="EH71" i="71"/>
  <c r="EH116" i="71"/>
  <c r="DV94" i="71"/>
  <c r="DV64" i="71"/>
  <c r="EJ3" i="71"/>
  <c r="EI75" i="71"/>
  <c r="EI99" i="71"/>
  <c r="BN96" i="71"/>
  <c r="BN66" i="71"/>
  <c r="BN95" i="71"/>
  <c r="BB183" i="71"/>
  <c r="BB67" i="71"/>
  <c r="BB97" i="71"/>
  <c r="BB171" i="71"/>
  <c r="EG109" i="71"/>
  <c r="EG209" i="71"/>
  <c r="EG212" i="71" s="1"/>
  <c r="DY94" i="71"/>
  <c r="DY64" i="71"/>
  <c r="BZ65" i="71"/>
  <c r="BZ66" i="71" s="1"/>
  <c r="BZ67" i="71" s="1"/>
  <c r="BF96" i="71"/>
  <c r="BF95" i="71"/>
  <c r="BF66" i="71"/>
  <c r="EG213" i="71"/>
  <c r="EG61" i="71"/>
  <c r="EG91" i="71"/>
  <c r="EH207" i="71"/>
  <c r="EH103" i="71"/>
  <c r="EH102" i="71"/>
  <c r="AJ64" i="71"/>
  <c r="AJ94" i="71"/>
  <c r="AC66" i="71"/>
  <c r="AC95" i="71"/>
  <c r="AC96" i="71"/>
  <c r="EI48" i="71"/>
  <c r="EH106" i="71"/>
  <c r="AN94" i="71"/>
  <c r="AN64" i="71"/>
  <c r="DX94" i="71"/>
  <c r="DX64" i="71"/>
  <c r="EH56" i="71" l="1"/>
  <c r="EH91" i="71"/>
  <c r="ER89" i="71"/>
  <c r="ES52" i="71"/>
  <c r="EF65" i="71"/>
  <c r="BR183" i="71"/>
  <c r="BR67" i="71"/>
  <c r="CZ74" i="71"/>
  <c r="DD92" i="71"/>
  <c r="DD73" i="71"/>
  <c r="DD60" i="71"/>
  <c r="DD61" i="71" s="1"/>
  <c r="DD56" i="71"/>
  <c r="DE71" i="71"/>
  <c r="DE93" i="71"/>
  <c r="DE58" i="71"/>
  <c r="DE57" i="71"/>
  <c r="DE91" i="71" s="1"/>
  <c r="DC94" i="71"/>
  <c r="DC64" i="71"/>
  <c r="DB65" i="71"/>
  <c r="DB66" i="71" s="1"/>
  <c r="DB67" i="71" s="1"/>
  <c r="DB74" i="71" s="1"/>
  <c r="EA64" i="71"/>
  <c r="EA95" i="71" s="1"/>
  <c r="DA65" i="71"/>
  <c r="DA66" i="71" s="1"/>
  <c r="DA67" i="71" s="1"/>
  <c r="DA74" i="71" s="1"/>
  <c r="DF80" i="71"/>
  <c r="DE80" i="71"/>
  <c r="BR97" i="71"/>
  <c r="BR96" i="71"/>
  <c r="BC66" i="71"/>
  <c r="BC183" i="71" s="1"/>
  <c r="AV67" i="71"/>
  <c r="AZ74" i="71" s="1"/>
  <c r="BC96" i="71"/>
  <c r="AL95" i="71"/>
  <c r="AV183" i="71"/>
  <c r="AV171" i="71"/>
  <c r="AL66" i="71"/>
  <c r="AL67" i="71" s="1"/>
  <c r="EB97" i="71"/>
  <c r="EB221" i="71"/>
  <c r="BU66" i="71"/>
  <c r="BU97" i="71" s="1"/>
  <c r="EM81" i="71"/>
  <c r="DM74" i="71"/>
  <c r="EE91" i="71"/>
  <c r="EE61" i="71"/>
  <c r="EE94" i="71" s="1"/>
  <c r="DL220" i="71"/>
  <c r="EB170" i="71"/>
  <c r="BA97" i="71"/>
  <c r="BA183" i="71"/>
  <c r="BA171" i="71"/>
  <c r="AR94" i="71"/>
  <c r="AR64" i="71"/>
  <c r="AS95" i="71"/>
  <c r="AS65" i="71"/>
  <c r="AS96" i="71" s="1"/>
  <c r="AW66" i="71"/>
  <c r="AW95" i="71"/>
  <c r="AW96" i="71"/>
  <c r="BI96" i="71"/>
  <c r="BI95" i="71"/>
  <c r="BI66" i="71"/>
  <c r="BO66" i="71"/>
  <c r="BO95" i="71"/>
  <c r="BO96" i="71"/>
  <c r="AM95" i="71"/>
  <c r="AM66" i="71"/>
  <c r="AM96" i="71"/>
  <c r="DS74" i="71"/>
  <c r="DT74" i="71"/>
  <c r="AY171" i="71"/>
  <c r="AY67" i="71"/>
  <c r="AY97" i="71"/>
  <c r="AY183" i="71"/>
  <c r="AO66" i="71"/>
  <c r="AO95" i="71"/>
  <c r="AO96" i="71"/>
  <c r="X74" i="71"/>
  <c r="BE95" i="71"/>
  <c r="BE66" i="71"/>
  <c r="BE96" i="71"/>
  <c r="AX67" i="71"/>
  <c r="BB74" i="71" s="1"/>
  <c r="AX97" i="71"/>
  <c r="AX171" i="71"/>
  <c r="AX183" i="71"/>
  <c r="EG214" i="71"/>
  <c r="AP65" i="71"/>
  <c r="AP95" i="71"/>
  <c r="AD66" i="71"/>
  <c r="AD96" i="71"/>
  <c r="AD95" i="71"/>
  <c r="AF94" i="71"/>
  <c r="AF64" i="71"/>
  <c r="AQ94" i="71"/>
  <c r="AQ64" i="71"/>
  <c r="DZ91" i="71"/>
  <c r="DZ61" i="71"/>
  <c r="DZ213" i="71"/>
  <c r="DZ214" i="71" s="1"/>
  <c r="BY56" i="71"/>
  <c r="EK4" i="71"/>
  <c r="EJ76" i="71"/>
  <c r="AA97" i="71"/>
  <c r="AA67" i="71"/>
  <c r="AT65" i="71"/>
  <c r="AT95" i="71"/>
  <c r="BK94" i="71"/>
  <c r="BK64" i="71"/>
  <c r="AI96" i="71"/>
  <c r="AI66" i="71"/>
  <c r="AI95" i="71"/>
  <c r="BM97" i="71"/>
  <c r="BM183" i="71"/>
  <c r="BM67" i="71"/>
  <c r="BM171" i="71"/>
  <c r="EK6" i="71"/>
  <c r="EJ77" i="71"/>
  <c r="BT96" i="71"/>
  <c r="BT95" i="71"/>
  <c r="BT66" i="71"/>
  <c r="BV65" i="71"/>
  <c r="BV96" i="71" s="1"/>
  <c r="BV95" i="71"/>
  <c r="BH95" i="71"/>
  <c r="BH66" i="71"/>
  <c r="BH96" i="71"/>
  <c r="BP95" i="71"/>
  <c r="BP66" i="71"/>
  <c r="BP96" i="71"/>
  <c r="AK95" i="71"/>
  <c r="AK96" i="71"/>
  <c r="AK66" i="71"/>
  <c r="DO74" i="71"/>
  <c r="DO220" i="71"/>
  <c r="DP74" i="71"/>
  <c r="DR74" i="71"/>
  <c r="DQ220" i="71"/>
  <c r="DQ74" i="71"/>
  <c r="AU64" i="71"/>
  <c r="AU94" i="71"/>
  <c r="BQ171" i="71"/>
  <c r="BQ97" i="71"/>
  <c r="BQ67" i="71"/>
  <c r="BQ183" i="71"/>
  <c r="BJ97" i="71"/>
  <c r="BJ171" i="71"/>
  <c r="BJ67" i="71"/>
  <c r="BJ183" i="71"/>
  <c r="DX96" i="71"/>
  <c r="DX66" i="71"/>
  <c r="DX95" i="71"/>
  <c r="EC95" i="71"/>
  <c r="EC66" i="71"/>
  <c r="EC96" i="71"/>
  <c r="DW95" i="71"/>
  <c r="DW66" i="71"/>
  <c r="DW96" i="71"/>
  <c r="DY65" i="71"/>
  <c r="DY96" i="71" s="1"/>
  <c r="DY95" i="71"/>
  <c r="AG66" i="71"/>
  <c r="AG95" i="71"/>
  <c r="AG96" i="71"/>
  <c r="ED95" i="71"/>
  <c r="ED66" i="71"/>
  <c r="ED96" i="71"/>
  <c r="EE96" i="71" s="1"/>
  <c r="EF96" i="71" s="1"/>
  <c r="EG96" i="71" s="1"/>
  <c r="EF66" i="71"/>
  <c r="EF95" i="71"/>
  <c r="Z74" i="71"/>
  <c r="EH109" i="71"/>
  <c r="EH209" i="71"/>
  <c r="EH212" i="71" s="1"/>
  <c r="EJ48" i="71"/>
  <c r="EK48" i="71" s="1"/>
  <c r="EL48" i="71" s="1"/>
  <c r="EP48" i="71" s="1"/>
  <c r="EQ48" i="71" s="1"/>
  <c r="ER48" i="71" s="1"/>
  <c r="ES48" i="71" s="1"/>
  <c r="ET48" i="71" s="1"/>
  <c r="EU48" i="71" s="1"/>
  <c r="EV48" i="71" s="1"/>
  <c r="EW48" i="71" s="1"/>
  <c r="EI106" i="71"/>
  <c r="EI209" i="71" s="1"/>
  <c r="BN67" i="71"/>
  <c r="BR74" i="71" s="1"/>
  <c r="BN97" i="71"/>
  <c r="BN171" i="71"/>
  <c r="BN183" i="71"/>
  <c r="EH213" i="71"/>
  <c r="BG183" i="71"/>
  <c r="BG171" i="71"/>
  <c r="BG67" i="71"/>
  <c r="BG97" i="71"/>
  <c r="AB96" i="71"/>
  <c r="AB95" i="71"/>
  <c r="AB66" i="71"/>
  <c r="BY65" i="71"/>
  <c r="BY66" i="71" s="1"/>
  <c r="BY67" i="71" s="1"/>
  <c r="EI103" i="71"/>
  <c r="EI207" i="71"/>
  <c r="EI55" i="71"/>
  <c r="EI93" i="71" s="1"/>
  <c r="EB220" i="71"/>
  <c r="EG94" i="71"/>
  <c r="BF97" i="71"/>
  <c r="BF67" i="71"/>
  <c r="BF171" i="71"/>
  <c r="BF183" i="71"/>
  <c r="AH67" i="71"/>
  <c r="AH97" i="71"/>
  <c r="DU65" i="71"/>
  <c r="DU96" i="71" s="1"/>
  <c r="DU95" i="71"/>
  <c r="AJ95" i="71"/>
  <c r="AJ66" i="71"/>
  <c r="AJ96" i="71"/>
  <c r="EJ75" i="71"/>
  <c r="EK3" i="71"/>
  <c r="BL66" i="71"/>
  <c r="BL95" i="71"/>
  <c r="BL96" i="71"/>
  <c r="BS96" i="71"/>
  <c r="BS95" i="71"/>
  <c r="BS66" i="71"/>
  <c r="AN95" i="71"/>
  <c r="AN96" i="71"/>
  <c r="AN66" i="71"/>
  <c r="EA66" i="71"/>
  <c r="EA96" i="71"/>
  <c r="AC97" i="71"/>
  <c r="AC67" i="71"/>
  <c r="AC74" i="71" s="1"/>
  <c r="DV95" i="71"/>
  <c r="DV96" i="71"/>
  <c r="DV66" i="71"/>
  <c r="EN81" i="71"/>
  <c r="ES89" i="71" l="1"/>
  <c r="ET52" i="71"/>
  <c r="BC67" i="71"/>
  <c r="BC74" i="71" s="1"/>
  <c r="BC171" i="71"/>
  <c r="DE73" i="71"/>
  <c r="DE60" i="71"/>
  <c r="DE61" i="71" s="1"/>
  <c r="DE92" i="71"/>
  <c r="DD94" i="71"/>
  <c r="DD64" i="71"/>
  <c r="BC97" i="71"/>
  <c r="DE56" i="71"/>
  <c r="DC65" i="71"/>
  <c r="DC66" i="71" s="1"/>
  <c r="DC67" i="71" s="1"/>
  <c r="DC74" i="71" s="1"/>
  <c r="DF55" i="71"/>
  <c r="AL97" i="71"/>
  <c r="BU67" i="71"/>
  <c r="BY74" i="71" s="1"/>
  <c r="EE64" i="71"/>
  <c r="EE66" i="71" s="1"/>
  <c r="AS66" i="71"/>
  <c r="AS171" i="71" s="1"/>
  <c r="AR66" i="71"/>
  <c r="AR95" i="71"/>
  <c r="AR96" i="71"/>
  <c r="AW67" i="71"/>
  <c r="AW97" i="71"/>
  <c r="AW171" i="71"/>
  <c r="AW183" i="71"/>
  <c r="BO97" i="71"/>
  <c r="BO183" i="71"/>
  <c r="BO171" i="71"/>
  <c r="BO67" i="71"/>
  <c r="BI67" i="71"/>
  <c r="BM74" i="71" s="1"/>
  <c r="BI171" i="71"/>
  <c r="BI97" i="71"/>
  <c r="BI183" i="71"/>
  <c r="AM67" i="71"/>
  <c r="AM97" i="71"/>
  <c r="AM171" i="71"/>
  <c r="EH214" i="71"/>
  <c r="AO97" i="71"/>
  <c r="AO67" i="71"/>
  <c r="BV66" i="71"/>
  <c r="BV97" i="71" s="1"/>
  <c r="BE171" i="71"/>
  <c r="BE67" i="71"/>
  <c r="BE183" i="71"/>
  <c r="BE97" i="71"/>
  <c r="EJ55" i="71"/>
  <c r="AA74" i="71"/>
  <c r="AE74" i="71"/>
  <c r="DZ64" i="71"/>
  <c r="DZ94" i="71"/>
  <c r="EL4" i="71"/>
  <c r="EK76" i="71"/>
  <c r="AF66" i="71"/>
  <c r="AF96" i="71"/>
  <c r="AF95" i="71"/>
  <c r="AQ95" i="71"/>
  <c r="AQ66" i="71"/>
  <c r="AQ96" i="71"/>
  <c r="BK66" i="71"/>
  <c r="BK95" i="71"/>
  <c r="BK96" i="71"/>
  <c r="AD67" i="71"/>
  <c r="AD74" i="71" s="1"/>
  <c r="AD97" i="71"/>
  <c r="BQ74" i="71"/>
  <c r="AT66" i="71"/>
  <c r="DZ65" i="71"/>
  <c r="AT96" i="71"/>
  <c r="AP66" i="71"/>
  <c r="AP96" i="71"/>
  <c r="AU95" i="71"/>
  <c r="AU96" i="71"/>
  <c r="AU66" i="71"/>
  <c r="EK77" i="71"/>
  <c r="EL6" i="71"/>
  <c r="BH97" i="71"/>
  <c r="BH67" i="71"/>
  <c r="BH74" i="71" s="1"/>
  <c r="BH183" i="71"/>
  <c r="BH171" i="71"/>
  <c r="BN74" i="71"/>
  <c r="EI212" i="71"/>
  <c r="AK67" i="71"/>
  <c r="AK97" i="71"/>
  <c r="BT67" i="71"/>
  <c r="BT97" i="71"/>
  <c r="AI97" i="71"/>
  <c r="AI67" i="71"/>
  <c r="BP183" i="71"/>
  <c r="BP67" i="71"/>
  <c r="BP171" i="71"/>
  <c r="BP97" i="71"/>
  <c r="BL97" i="71"/>
  <c r="BL67" i="71"/>
  <c r="BL183" i="71"/>
  <c r="BL171" i="71"/>
  <c r="BF74" i="71"/>
  <c r="BJ74" i="71"/>
  <c r="AB97" i="71"/>
  <c r="AB67" i="71"/>
  <c r="EI57" i="71"/>
  <c r="EI71" i="71"/>
  <c r="EC221" i="71"/>
  <c r="EC97" i="71"/>
  <c r="EC67" i="71"/>
  <c r="EC141" i="71"/>
  <c r="ED141" i="71" s="1"/>
  <c r="EF97" i="71"/>
  <c r="EF67" i="71"/>
  <c r="AN67" i="71"/>
  <c r="AN97" i="71"/>
  <c r="EK75" i="71"/>
  <c r="EK55" i="71"/>
  <c r="EK93" i="71" s="1"/>
  <c r="EL3" i="71"/>
  <c r="EA97" i="71"/>
  <c r="EA221" i="71"/>
  <c r="EA67" i="71"/>
  <c r="BS67" i="71"/>
  <c r="BS97" i="71"/>
  <c r="DV221" i="71"/>
  <c r="DV97" i="71"/>
  <c r="DV67" i="71"/>
  <c r="DU66" i="71"/>
  <c r="AG67" i="71"/>
  <c r="AG97" i="71"/>
  <c r="ED67" i="71"/>
  <c r="ED97" i="71"/>
  <c r="DX97" i="71"/>
  <c r="DX67" i="71"/>
  <c r="DX221" i="71"/>
  <c r="DX69" i="71"/>
  <c r="AJ97" i="71"/>
  <c r="AJ67" i="71"/>
  <c r="DW221" i="71"/>
  <c r="DW67" i="71"/>
  <c r="DW97" i="71"/>
  <c r="EP29" i="71"/>
  <c r="EO81" i="71"/>
  <c r="AL74" i="71"/>
  <c r="EI102" i="71"/>
  <c r="DY66" i="71"/>
  <c r="EI56" i="71" l="1"/>
  <c r="EI91" i="71"/>
  <c r="EJ57" i="71"/>
  <c r="EJ91" i="71" s="1"/>
  <c r="EJ93" i="71"/>
  <c r="BV67" i="71"/>
  <c r="ET89" i="71"/>
  <c r="EU52" i="71"/>
  <c r="BG74" i="71"/>
  <c r="DF71" i="71"/>
  <c r="DF93" i="71"/>
  <c r="DF58" i="71"/>
  <c r="DF57" i="71"/>
  <c r="DF91" i="71" s="1"/>
  <c r="DD65" i="71"/>
  <c r="DD66" i="71" s="1"/>
  <c r="DD67" i="71" s="1"/>
  <c r="DD74" i="71" s="1"/>
  <c r="DE94" i="71"/>
  <c r="DE64" i="71"/>
  <c r="BU74" i="71"/>
  <c r="EE95" i="71"/>
  <c r="AS183" i="71"/>
  <c r="AS97" i="71"/>
  <c r="AS67" i="71"/>
  <c r="AS74" i="71" s="1"/>
  <c r="AR171" i="71"/>
  <c r="AR183" i="71"/>
  <c r="AR97" i="71"/>
  <c r="AR67" i="71"/>
  <c r="AV74" i="71" s="1"/>
  <c r="BA74" i="71"/>
  <c r="AO74" i="71"/>
  <c r="BI74" i="71"/>
  <c r="BE74" i="71"/>
  <c r="DZ96" i="71"/>
  <c r="EJ71" i="71"/>
  <c r="AQ183" i="71"/>
  <c r="AQ67" i="71"/>
  <c r="AQ74" i="71" s="1"/>
  <c r="AQ171" i="71"/>
  <c r="AQ97" i="71"/>
  <c r="AT183" i="71"/>
  <c r="AT97" i="71"/>
  <c r="AT67" i="71"/>
  <c r="AT171" i="71"/>
  <c r="AF97" i="71"/>
  <c r="AF67" i="71"/>
  <c r="AF74" i="71" s="1"/>
  <c r="AH74" i="71"/>
  <c r="EL76" i="71"/>
  <c r="DZ95" i="71"/>
  <c r="DZ66" i="71"/>
  <c r="AP171" i="71"/>
  <c r="AP67" i="71"/>
  <c r="AP74" i="71" s="1"/>
  <c r="AP97" i="71"/>
  <c r="BK183" i="71"/>
  <c r="BK97" i="71"/>
  <c r="BK67" i="71"/>
  <c r="BK171" i="71"/>
  <c r="BV74" i="71"/>
  <c r="BZ74" i="71"/>
  <c r="AI74" i="71"/>
  <c r="AM74" i="71"/>
  <c r="EE67" i="71"/>
  <c r="EE74" i="71" s="1"/>
  <c r="EE97" i="71"/>
  <c r="EL77" i="71"/>
  <c r="EE141" i="71"/>
  <c r="EF141" i="71" s="1"/>
  <c r="EG62" i="71" s="1"/>
  <c r="EG64" i="71" s="1"/>
  <c r="BT74" i="71"/>
  <c r="BX74" i="71"/>
  <c r="AU171" i="71"/>
  <c r="AU183" i="71"/>
  <c r="AU67" i="71"/>
  <c r="AU97" i="71"/>
  <c r="EK71" i="71"/>
  <c r="EK57" i="71"/>
  <c r="EK91" i="71" s="1"/>
  <c r="DV220" i="71"/>
  <c r="EQ29" i="71"/>
  <c r="EP81" i="71"/>
  <c r="BS74" i="71"/>
  <c r="BW74" i="71"/>
  <c r="EI213" i="71"/>
  <c r="EI214" i="71" s="1"/>
  <c r="AN74" i="71"/>
  <c r="DW74" i="71"/>
  <c r="DW220" i="71"/>
  <c r="ED74" i="71"/>
  <c r="EC220" i="71"/>
  <c r="EC74" i="71"/>
  <c r="DX220" i="71"/>
  <c r="DX74" i="71"/>
  <c r="AB74" i="71"/>
  <c r="EA220" i="71"/>
  <c r="EB74" i="71"/>
  <c r="AG74" i="71"/>
  <c r="AK74" i="71"/>
  <c r="BL74" i="71"/>
  <c r="BP74" i="71"/>
  <c r="EL75" i="71"/>
  <c r="EL55" i="71"/>
  <c r="EL93" i="71" s="1"/>
  <c r="DY221" i="71"/>
  <c r="DY67" i="71"/>
  <c r="DY170" i="71"/>
  <c r="DY97" i="71"/>
  <c r="EJ56" i="71"/>
  <c r="DU221" i="71"/>
  <c r="DU67" i="71"/>
  <c r="DV74" i="71" s="1"/>
  <c r="DU97" i="71"/>
  <c r="EU89" i="71" l="1"/>
  <c r="EV52" i="71"/>
  <c r="EQ81" i="71"/>
  <c r="ER29" i="71"/>
  <c r="ES29" i="71" s="1"/>
  <c r="ET29" i="71" s="1"/>
  <c r="EU29" i="71" s="1"/>
  <c r="EV29" i="71" s="1"/>
  <c r="EW29" i="71" s="1"/>
  <c r="AW74" i="71"/>
  <c r="DF92" i="71"/>
  <c r="DF73" i="71"/>
  <c r="DF60" i="71"/>
  <c r="DF61" i="71" s="1"/>
  <c r="DE65" i="71"/>
  <c r="DE66" i="71" s="1"/>
  <c r="DE67" i="71" s="1"/>
  <c r="DE74" i="71" s="1"/>
  <c r="DF56" i="71"/>
  <c r="AJ74" i="71"/>
  <c r="AR74" i="71"/>
  <c r="EF74" i="71"/>
  <c r="EM76" i="71"/>
  <c r="AT74" i="71"/>
  <c r="AX74" i="71"/>
  <c r="BO74" i="71"/>
  <c r="BK74" i="71"/>
  <c r="DZ67" i="71"/>
  <c r="DZ74" i="71" s="1"/>
  <c r="DZ221" i="71"/>
  <c r="DZ97" i="71"/>
  <c r="EM77" i="71"/>
  <c r="AU74" i="71"/>
  <c r="AY74" i="71"/>
  <c r="EG65" i="71"/>
  <c r="EG66" i="71" s="1"/>
  <c r="EG95" i="71"/>
  <c r="DY74" i="71"/>
  <c r="DY220" i="71"/>
  <c r="EM75" i="71"/>
  <c r="EM55" i="71"/>
  <c r="EM93" i="71" s="1"/>
  <c r="EL57" i="71"/>
  <c r="EL71" i="71"/>
  <c r="DU220" i="71"/>
  <c r="DU74" i="71"/>
  <c r="EK56" i="71"/>
  <c r="EL56" i="71" l="1"/>
  <c r="EL91" i="71"/>
  <c r="EW52" i="71"/>
  <c r="EW89" i="71" s="1"/>
  <c r="EV89" i="71"/>
  <c r="DF94" i="71"/>
  <c r="DF64" i="71"/>
  <c r="DZ220" i="71"/>
  <c r="EA74" i="71"/>
  <c r="EN76" i="71"/>
  <c r="EN77" i="71"/>
  <c r="EG97" i="71"/>
  <c r="EG67" i="71"/>
  <c r="EG141" i="71"/>
  <c r="EN55" i="71"/>
  <c r="EN75" i="71"/>
  <c r="EM57" i="71"/>
  <c r="EM71" i="71"/>
  <c r="EN57" i="71" l="1"/>
  <c r="EN93" i="71"/>
  <c r="EN92" i="71"/>
  <c r="EM56" i="71"/>
  <c r="EM91" i="71"/>
  <c r="DF65" i="71"/>
  <c r="DF66" i="71" s="1"/>
  <c r="DF67" i="71" s="1"/>
  <c r="DF74" i="71" s="1"/>
  <c r="EO76" i="71"/>
  <c r="EO77" i="71"/>
  <c r="EP3" i="71"/>
  <c r="EP75" i="71" s="1"/>
  <c r="EO55" i="71"/>
  <c r="C75" i="71"/>
  <c r="C74" i="71"/>
  <c r="EG74" i="71"/>
  <c r="C71" i="71"/>
  <c r="EN71" i="71"/>
  <c r="EH62" i="71"/>
  <c r="EO93" i="71" l="1"/>
  <c r="EO58" i="71"/>
  <c r="EO92" i="71" s="1"/>
  <c r="EN91" i="71"/>
  <c r="EN61" i="71"/>
  <c r="EN94" i="71" s="1"/>
  <c r="EQ76" i="71"/>
  <c r="EP76" i="71"/>
  <c r="EP77" i="71"/>
  <c r="EQ77" i="71"/>
  <c r="EO71" i="71"/>
  <c r="EO57" i="71"/>
  <c r="EQ3" i="71"/>
  <c r="EP55" i="71"/>
  <c r="ER3" i="71" l="1"/>
  <c r="EQ75" i="71"/>
  <c r="EP93" i="71"/>
  <c r="EP58" i="71"/>
  <c r="EO56" i="71"/>
  <c r="EO91" i="71"/>
  <c r="EQ55" i="71"/>
  <c r="EO60" i="71"/>
  <c r="EO61" i="71" s="1"/>
  <c r="EO94" i="71" s="1"/>
  <c r="EP71" i="71"/>
  <c r="EP57" i="71"/>
  <c r="EP56" i="71" l="1"/>
  <c r="EP91" i="71"/>
  <c r="EQ93" i="71"/>
  <c r="EQ58" i="71"/>
  <c r="ES3" i="71"/>
  <c r="ER75" i="71"/>
  <c r="ER55" i="71"/>
  <c r="EO73" i="71"/>
  <c r="EQ71" i="71"/>
  <c r="EQ57" i="71"/>
  <c r="ER57" i="71" l="1"/>
  <c r="ER91" i="71" s="1"/>
  <c r="ER93" i="71"/>
  <c r="ER58" i="71"/>
  <c r="ER56" i="71"/>
  <c r="ER71" i="71"/>
  <c r="EQ56" i="71"/>
  <c r="EQ91" i="71"/>
  <c r="ET3" i="71"/>
  <c r="ES75" i="71"/>
  <c r="ES55" i="71"/>
  <c r="EP60" i="71"/>
  <c r="EP61" i="71" s="1"/>
  <c r="EP94" i="71" s="1"/>
  <c r="EP92" i="71"/>
  <c r="EP73" i="71"/>
  <c r="ES58" i="71" l="1"/>
  <c r="ES93" i="71"/>
  <c r="ES71" i="71"/>
  <c r="ES57" i="71"/>
  <c r="ES56" i="71"/>
  <c r="EU3" i="71"/>
  <c r="ET75" i="71"/>
  <c r="ET55" i="71"/>
  <c r="ER60" i="71"/>
  <c r="ER61" i="71" s="1"/>
  <c r="ER94" i="71" s="1"/>
  <c r="ER92" i="71"/>
  <c r="EQ60" i="71"/>
  <c r="EQ61" i="71" s="1"/>
  <c r="EQ94" i="71" s="1"/>
  <c r="EQ92" i="71"/>
  <c r="EQ73" i="71"/>
  <c r="EV3" i="71" l="1"/>
  <c r="EU75" i="71"/>
  <c r="EU55" i="71"/>
  <c r="ET58" i="71"/>
  <c r="ET93" i="71"/>
  <c r="ET71" i="71"/>
  <c r="ET57" i="71"/>
  <c r="ET91" i="71" s="1"/>
  <c r="ES91" i="71"/>
  <c r="ES60" i="71"/>
  <c r="ES61" i="71" s="1"/>
  <c r="ES92" i="71"/>
  <c r="EN64" i="71"/>
  <c r="ET56" i="71" l="1"/>
  <c r="ES94" i="71"/>
  <c r="ES64" i="71"/>
  <c r="EU93" i="71"/>
  <c r="EU58" i="71"/>
  <c r="EU71" i="71"/>
  <c r="EU57" i="71"/>
  <c r="EU91" i="71" s="1"/>
  <c r="EU56" i="71"/>
  <c r="EN95" i="71"/>
  <c r="EN96" i="71"/>
  <c r="ET92" i="71"/>
  <c r="ET60" i="71"/>
  <c r="ET61" i="71" s="1"/>
  <c r="EW3" i="71"/>
  <c r="EV75" i="71"/>
  <c r="EV55" i="71"/>
  <c r="EN66" i="71"/>
  <c r="EN97" i="71" s="1"/>
  <c r="EW75" i="71" l="1"/>
  <c r="EW55" i="71"/>
  <c r="EU92" i="71"/>
  <c r="EU60" i="71"/>
  <c r="EU61" i="71" s="1"/>
  <c r="ET94" i="71"/>
  <c r="ET64" i="71"/>
  <c r="ES95" i="71"/>
  <c r="ES65" i="71"/>
  <c r="ES96" i="71" s="1"/>
  <c r="EV58" i="71"/>
  <c r="EV60" i="71" s="1"/>
  <c r="EV61" i="71" s="1"/>
  <c r="EV71" i="71"/>
  <c r="EV57" i="71"/>
  <c r="EN67" i="71"/>
  <c r="EI61" i="71"/>
  <c r="EI94" i="71" s="1"/>
  <c r="EI92" i="71"/>
  <c r="EJ58" i="71"/>
  <c r="EJ61" i="71" s="1"/>
  <c r="ES66" i="71" l="1"/>
  <c r="ES67" i="71"/>
  <c r="ES97" i="71"/>
  <c r="EU94" i="71"/>
  <c r="EU64" i="71"/>
  <c r="EV64" i="71"/>
  <c r="EV65" i="71" s="1"/>
  <c r="EV66" i="71" s="1"/>
  <c r="EV67" i="71" s="1"/>
  <c r="ET95" i="71"/>
  <c r="ET65" i="71"/>
  <c r="ET96" i="71" s="1"/>
  <c r="EJ73" i="71"/>
  <c r="EW58" i="71"/>
  <c r="EW60" i="71" s="1"/>
  <c r="EW71" i="71"/>
  <c r="EW57" i="71"/>
  <c r="EJ92" i="71"/>
  <c r="EV56" i="71"/>
  <c r="EJ94" i="71"/>
  <c r="EK58" i="71"/>
  <c r="EW61" i="71" l="1"/>
  <c r="ET66" i="71"/>
  <c r="EW64" i="71"/>
  <c r="EW65" i="71" s="1"/>
  <c r="EW66" i="71" s="1"/>
  <c r="EU95" i="71"/>
  <c r="EU65" i="71"/>
  <c r="EU96" i="71" s="1"/>
  <c r="EW56" i="71"/>
  <c r="EK92" i="71"/>
  <c r="EK61" i="71"/>
  <c r="EK60" i="71"/>
  <c r="EL58" i="71"/>
  <c r="EK73" i="71"/>
  <c r="ET67" i="71" l="1"/>
  <c r="ET97" i="71"/>
  <c r="EU66" i="71"/>
  <c r="EW67" i="71"/>
  <c r="EX66" i="71"/>
  <c r="EY66" i="71" s="1"/>
  <c r="EZ66" i="71" s="1"/>
  <c r="FA66" i="71" s="1"/>
  <c r="FB66" i="71" s="1"/>
  <c r="FC66" i="71" s="1"/>
  <c r="FD66" i="71" s="1"/>
  <c r="FE66" i="71" s="1"/>
  <c r="FF66" i="71" s="1"/>
  <c r="FG66" i="71" s="1"/>
  <c r="FH66" i="71" s="1"/>
  <c r="FI66" i="71" s="1"/>
  <c r="FJ66" i="71" s="1"/>
  <c r="FK66" i="71" s="1"/>
  <c r="FL66" i="71" s="1"/>
  <c r="FM66" i="71" s="1"/>
  <c r="FN66" i="71" s="1"/>
  <c r="FO66" i="71" s="1"/>
  <c r="FP66" i="71" s="1"/>
  <c r="FQ66" i="71" s="1"/>
  <c r="FR66" i="71" s="1"/>
  <c r="FS66" i="71" s="1"/>
  <c r="FT66" i="71" s="1"/>
  <c r="FU66" i="71" s="1"/>
  <c r="FV66" i="71" s="1"/>
  <c r="FW66" i="71" s="1"/>
  <c r="FX66" i="71" s="1"/>
  <c r="FY66" i="71" s="1"/>
  <c r="FZ66" i="71" s="1"/>
  <c r="GA66" i="71" s="1"/>
  <c r="GB66" i="71" s="1"/>
  <c r="GC66" i="71" s="1"/>
  <c r="GD66" i="71" s="1"/>
  <c r="GE66" i="71" s="1"/>
  <c r="GF66" i="71" s="1"/>
  <c r="GG66" i="71" s="1"/>
  <c r="GH66" i="71" s="1"/>
  <c r="GI66" i="71" s="1"/>
  <c r="GJ66" i="71" s="1"/>
  <c r="GK66" i="71" s="1"/>
  <c r="GL66" i="71" s="1"/>
  <c r="GM66" i="71" s="1"/>
  <c r="GN66" i="71" s="1"/>
  <c r="GO66" i="71" s="1"/>
  <c r="GP66" i="71" s="1"/>
  <c r="GQ66" i="71" s="1"/>
  <c r="GR66" i="71" s="1"/>
  <c r="GS66" i="71" s="1"/>
  <c r="GT66" i="71" s="1"/>
  <c r="GU66" i="71" s="1"/>
  <c r="GV66" i="71" s="1"/>
  <c r="GW66" i="71" s="1"/>
  <c r="GX66" i="71" s="1"/>
  <c r="GY66" i="71" s="1"/>
  <c r="GZ66" i="71" s="1"/>
  <c r="HA66" i="71" s="1"/>
  <c r="HB66" i="71" s="1"/>
  <c r="HC66" i="71" s="1"/>
  <c r="HD66" i="71" s="1"/>
  <c r="HE66" i="71" s="1"/>
  <c r="HF66" i="71" s="1"/>
  <c r="HG66" i="71" s="1"/>
  <c r="HH66" i="71" s="1"/>
  <c r="HI66" i="71" s="1"/>
  <c r="HJ66" i="71" s="1"/>
  <c r="HK66" i="71" s="1"/>
  <c r="HL66" i="71" s="1"/>
  <c r="HM66" i="71" s="1"/>
  <c r="HN66" i="71" s="1"/>
  <c r="HO66" i="71" s="1"/>
  <c r="HP66" i="71" s="1"/>
  <c r="HQ66" i="71" s="1"/>
  <c r="HR66" i="71" s="1"/>
  <c r="HS66" i="71" s="1"/>
  <c r="HT66" i="71" s="1"/>
  <c r="HU66" i="71" s="1"/>
  <c r="HV66" i="71" s="1"/>
  <c r="HW66" i="71" s="1"/>
  <c r="HX66" i="71" s="1"/>
  <c r="HY66" i="71" s="1"/>
  <c r="HZ66" i="71" s="1"/>
  <c r="IA66" i="71" s="1"/>
  <c r="IB66" i="71" s="1"/>
  <c r="IC66" i="71" s="1"/>
  <c r="ID66" i="71" s="1"/>
  <c r="IE66" i="71" s="1"/>
  <c r="IF66" i="71" s="1"/>
  <c r="IG66" i="71" s="1"/>
  <c r="IH66" i="71" s="1"/>
  <c r="II66" i="71" s="1"/>
  <c r="IJ66" i="71" s="1"/>
  <c r="IK66" i="71" s="1"/>
  <c r="IL66" i="71" s="1"/>
  <c r="IM66" i="71" s="1"/>
  <c r="IN66" i="71" s="1"/>
  <c r="IO66" i="71" s="1"/>
  <c r="IP66" i="71" s="1"/>
  <c r="IQ66" i="71" s="1"/>
  <c r="IR66" i="71" s="1"/>
  <c r="IS66" i="71" s="1"/>
  <c r="IT66" i="71" s="1"/>
  <c r="IU66" i="71" s="1"/>
  <c r="IV66" i="71" s="1"/>
  <c r="IW66" i="71" s="1"/>
  <c r="EM58" i="71"/>
  <c r="EL73" i="71"/>
  <c r="EL60" i="71"/>
  <c r="EL61" i="71"/>
  <c r="EL92" i="71"/>
  <c r="EK94" i="71"/>
  <c r="EU67" i="71" l="1"/>
  <c r="EU97" i="71"/>
  <c r="EL94" i="71"/>
  <c r="EM61" i="71"/>
  <c r="EN73" i="71"/>
  <c r="EM60" i="71"/>
  <c r="EM73" i="71"/>
  <c r="EM92" i="71"/>
  <c r="EM94" i="71" l="1"/>
  <c r="EI73" i="71"/>
  <c r="EH73" i="71"/>
  <c r="EH92" i="71"/>
  <c r="EH61" i="71"/>
  <c r="EH94" i="71" s="1"/>
  <c r="EH64" i="71" l="1"/>
  <c r="EH95" i="71" l="1"/>
  <c r="EH96" i="71"/>
  <c r="EH66" i="71"/>
  <c r="EH67" i="71" s="1"/>
  <c r="EH74" i="71" s="1"/>
  <c r="EH97" i="71" l="1"/>
  <c r="EH141" i="71"/>
  <c r="EI62" i="71" l="1"/>
  <c r="EI64" i="71" s="1"/>
  <c r="EI95" i="71" l="1"/>
  <c r="EI96" i="71"/>
  <c r="EI66" i="71"/>
  <c r="EI97" i="71" s="1"/>
  <c r="EI67" i="71" l="1"/>
  <c r="EI74" i="71" s="1"/>
  <c r="EI141" i="71"/>
  <c r="EJ62" i="71" s="1"/>
  <c r="EJ64" i="71" s="1"/>
  <c r="EJ95" i="71" s="1"/>
  <c r="EJ65" i="71" l="1"/>
  <c r="EJ96" i="71" s="1"/>
  <c r="EJ66" i="71" l="1"/>
  <c r="EJ67" i="71" s="1"/>
  <c r="EJ74" i="71" s="1"/>
  <c r="EJ97" i="71"/>
  <c r="EJ141" i="71"/>
  <c r="EK62" i="71" l="1"/>
  <c r="EK64" i="71" s="1"/>
  <c r="EK95" i="71" l="1"/>
  <c r="EK65" i="71"/>
  <c r="EK96" i="71" s="1"/>
  <c r="EK66" i="71" l="1"/>
  <c r="EK67" i="71" l="1"/>
  <c r="EK74" i="71" s="1"/>
  <c r="EK97" i="71"/>
  <c r="EK141" i="71"/>
  <c r="EL62" i="71" l="1"/>
  <c r="EL64" i="71" s="1"/>
  <c r="EL65" i="71" l="1"/>
  <c r="EL96" i="71" s="1"/>
  <c r="EL95" i="71"/>
  <c r="EL66" i="71"/>
  <c r="EL67" i="71" l="1"/>
  <c r="EL74" i="71" s="1"/>
  <c r="EL97" i="71"/>
  <c r="EL141" i="71"/>
  <c r="EM62" i="71" l="1"/>
  <c r="EM64" i="71" s="1"/>
  <c r="EM95" i="71" l="1"/>
  <c r="EM65" i="71"/>
  <c r="EM96" i="71" s="1"/>
  <c r="EM66" i="71" l="1"/>
  <c r="EM97" i="71" s="1"/>
  <c r="EM141" i="71"/>
  <c r="EN141" i="71" s="1"/>
  <c r="EM67" i="71" l="1"/>
  <c r="EM74" i="71" s="1"/>
  <c r="EN74" i="71"/>
  <c r="EO62" i="71"/>
  <c r="EO64" i="71" s="1"/>
  <c r="EO95" i="71" l="1"/>
  <c r="EO65" i="71"/>
  <c r="EO96" i="71" s="1"/>
  <c r="EO66" i="71" l="1"/>
  <c r="EO97" i="71"/>
  <c r="EO67" i="71"/>
  <c r="EO74" i="71" s="1"/>
  <c r="EO141" i="71"/>
  <c r="EP62" i="71" l="1"/>
  <c r="EP64" i="71" s="1"/>
  <c r="EP95" i="71" l="1"/>
  <c r="EP65" i="71"/>
  <c r="EP96" i="71" s="1"/>
  <c r="EP66" i="71" l="1"/>
  <c r="EP97" i="71" l="1"/>
  <c r="EP67" i="71"/>
  <c r="EP74" i="71" s="1"/>
  <c r="EP141" i="71"/>
  <c r="EQ62" i="71" l="1"/>
  <c r="EQ64" i="71" s="1"/>
  <c r="EQ65" i="71" l="1"/>
  <c r="EQ96" i="71" s="1"/>
  <c r="EQ95" i="71"/>
  <c r="EQ66" i="71" l="1"/>
  <c r="EQ97" i="71" l="1"/>
  <c r="EQ67" i="71"/>
  <c r="EQ74" i="71" s="1"/>
  <c r="EQ141" i="71"/>
  <c r="ER62" i="71" l="1"/>
  <c r="ER64" i="71" s="1"/>
  <c r="ER95" i="71" l="1"/>
  <c r="ER65" i="71"/>
  <c r="ER96" i="71" s="1"/>
  <c r="ER66" i="71" l="1"/>
  <c r="ER67" i="71"/>
  <c r="ER97" i="71"/>
  <c r="FA74" i="71"/>
  <c r="FA75" i="71" s="1"/>
  <c r="FA76"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MLB</author>
    <author>Martin</author>
  </authors>
  <commentList>
    <comment ref="O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I6"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 ref="E18" authorId="2" shapeId="0" xr:uid="{00000000-0006-0000-0600-000002000000}">
      <text>
        <r>
          <rPr>
            <b/>
            <sz val="9"/>
            <color indexed="81"/>
            <rFont val="Tahoma"/>
            <family val="2"/>
          </rPr>
          <t>Martin:</t>
        </r>
        <r>
          <rPr>
            <sz val="9"/>
            <color indexed="81"/>
            <rFont val="Tahoma"/>
            <family val="2"/>
          </rPr>
          <t xml:space="preserve">
Approved 11/4/11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 xml:space="preserve"> </author>
    <author>Marek Biestek</author>
    <author>tc={CDD2B99A-00BA-4EA8-B675-536C08C434B4}</author>
    <author>RBC</author>
    <author>tc={E7F0D7A6-EE22-43A1-B4A6-C9D75BE5A1EB}</author>
    <author>tc={D4AB6CA5-1D56-4651-98CE-4220E7D81D4C}</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5"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5" shapeId="0" xr:uid="{00000000-0006-0000-0700-000014000000}">
      <text>
        <r>
          <rPr>
            <sz val="8"/>
            <color indexed="81"/>
            <rFont val="Tahoma"/>
            <family val="2"/>
          </rPr>
          <t>970m ML estimate</t>
        </r>
      </text>
    </comment>
    <comment ref="EE4" authorId="5"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6"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7"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8"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8"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9"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6"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B41" authorId="1" shapeId="0" xr:uid="{00000000-0006-0000-0700-0000DD000000}">
      <text>
        <r>
          <rPr>
            <b/>
            <sz val="8"/>
            <color indexed="81"/>
            <rFont val="Tahoma"/>
            <family val="2"/>
          </rPr>
          <t>Martin Shkreli:</t>
        </r>
        <r>
          <rPr>
            <sz val="8"/>
            <color indexed="81"/>
            <rFont val="Tahoma"/>
            <family val="2"/>
          </rPr>
          <t xml:space="preserve">
UBS $50m estimate</t>
        </r>
      </text>
    </comment>
    <comment ref="EC41"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1" authorId="1" shapeId="0" xr:uid="{00000000-0006-0000-0700-0000DF000000}">
      <text>
        <r>
          <rPr>
            <b/>
            <sz val="8"/>
            <color indexed="81"/>
            <rFont val="Tahoma"/>
            <family val="2"/>
          </rPr>
          <t>Martin Shkreli:</t>
        </r>
        <r>
          <rPr>
            <sz val="8"/>
            <color indexed="81"/>
            <rFont val="Tahoma"/>
            <family val="2"/>
          </rPr>
          <t xml:space="preserve">
$403m UBS
$550m ML</t>
        </r>
      </text>
    </comment>
    <comment ref="EE41"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1" authorId="1" shapeId="0" xr:uid="{00000000-0006-0000-0700-0000E1000000}">
      <text>
        <r>
          <rPr>
            <b/>
            <sz val="8"/>
            <color indexed="81"/>
            <rFont val="Tahoma"/>
            <family val="2"/>
          </rPr>
          <t>Martin Shkreli:</t>
        </r>
        <r>
          <rPr>
            <sz val="8"/>
            <color indexed="81"/>
            <rFont val="Tahoma"/>
            <family val="2"/>
          </rPr>
          <t xml:space="preserve">
496m Piper est</t>
        </r>
      </text>
    </comment>
    <comment ref="S43" authorId="1" shapeId="0" xr:uid="{00000000-0006-0000-0700-0000E2000000}">
      <text>
        <r>
          <rPr>
            <b/>
            <sz val="8"/>
            <color indexed="81"/>
            <rFont val="Tahoma"/>
            <family val="2"/>
          </rPr>
          <t>Martin Shkreli:</t>
        </r>
        <r>
          <rPr>
            <sz val="8"/>
            <color indexed="81"/>
            <rFont val="Tahoma"/>
            <family val="2"/>
          </rPr>
          <t xml:space="preserve">
675 MS2</t>
        </r>
      </text>
    </comment>
    <comment ref="T43" authorId="1" shapeId="0" xr:uid="{00000000-0006-0000-0700-0000E3000000}">
      <text>
        <r>
          <rPr>
            <b/>
            <sz val="8"/>
            <color indexed="81"/>
            <rFont val="Tahoma"/>
            <family val="2"/>
          </rPr>
          <t>Martin Shkreli:</t>
        </r>
        <r>
          <rPr>
            <sz val="8"/>
            <color indexed="81"/>
            <rFont val="Tahoma"/>
            <family val="2"/>
          </rPr>
          <t xml:space="preserve">
737 MS2</t>
        </r>
      </text>
    </comment>
    <comment ref="U43" authorId="1" shapeId="0" xr:uid="{00000000-0006-0000-0700-0000E4000000}">
      <text>
        <r>
          <rPr>
            <b/>
            <sz val="8"/>
            <color indexed="81"/>
            <rFont val="Tahoma"/>
            <family val="2"/>
          </rPr>
          <t>Martin Shkreli:</t>
        </r>
        <r>
          <rPr>
            <sz val="8"/>
            <color indexed="81"/>
            <rFont val="Tahoma"/>
            <family val="2"/>
          </rPr>
          <t xml:space="preserve">
573 MS2</t>
        </r>
      </text>
    </comment>
    <comment ref="AP43"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DN43" authorId="1" shapeId="0" xr:uid="{00000000-0006-0000-0700-0000E6000000}">
      <text>
        <r>
          <rPr>
            <b/>
            <sz val="8"/>
            <color indexed="81"/>
            <rFont val="Tahoma"/>
            <family val="2"/>
          </rPr>
          <t>Martin Shkreli:</t>
        </r>
        <r>
          <rPr>
            <sz val="8"/>
            <color indexed="81"/>
            <rFont val="Tahoma"/>
            <family val="2"/>
          </rPr>
          <t xml:space="preserve">
1382 JPM 225/1157</t>
        </r>
      </text>
    </comment>
    <comment ref="DO43"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3"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3"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3"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3"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3"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4" authorId="1" shapeId="0" xr:uid="{00000000-0006-0000-0700-0000ED000000}">
      <text>
        <r>
          <rPr>
            <b/>
            <sz val="8"/>
            <color indexed="81"/>
            <rFont val="Tahoma"/>
            <family val="2"/>
          </rPr>
          <t>Martin Shkreli:</t>
        </r>
        <r>
          <rPr>
            <sz val="8"/>
            <color indexed="81"/>
            <rFont val="Tahoma"/>
            <family val="2"/>
          </rPr>
          <t xml:space="preserve">
18m DES Bear</t>
        </r>
      </text>
    </comment>
    <comment ref="Y44" authorId="1" shapeId="0" xr:uid="{00000000-0006-0000-0700-0000EE000000}">
      <text>
        <r>
          <rPr>
            <b/>
            <sz val="8"/>
            <color indexed="81"/>
            <rFont val="Tahoma"/>
            <family val="2"/>
          </rPr>
          <t>Martin Shkreli:</t>
        </r>
        <r>
          <rPr>
            <sz val="8"/>
            <color indexed="81"/>
            <rFont val="Tahoma"/>
            <family val="2"/>
          </rPr>
          <t xml:space="preserve">
44m DES Bear</t>
        </r>
      </text>
    </comment>
    <comment ref="Z44" authorId="1" shapeId="0" xr:uid="{00000000-0006-0000-0700-0000EF000000}">
      <text>
        <r>
          <rPr>
            <b/>
            <sz val="8"/>
            <color indexed="81"/>
            <rFont val="Tahoma"/>
            <family val="2"/>
          </rPr>
          <t>Martin Shkreli:</t>
        </r>
        <r>
          <rPr>
            <sz val="8"/>
            <color indexed="81"/>
            <rFont val="Tahoma"/>
            <family val="2"/>
          </rPr>
          <t xml:space="preserve">
50m DES Bear</t>
        </r>
      </text>
    </comment>
    <comment ref="AA44" authorId="1" shapeId="0" xr:uid="{00000000-0006-0000-0700-0000F0000000}">
      <text>
        <r>
          <rPr>
            <b/>
            <sz val="8"/>
            <color indexed="81"/>
            <rFont val="Tahoma"/>
            <family val="2"/>
          </rPr>
          <t>Martin Shkreli:</t>
        </r>
        <r>
          <rPr>
            <sz val="8"/>
            <color indexed="81"/>
            <rFont val="Tahoma"/>
            <family val="2"/>
          </rPr>
          <t xml:space="preserve">
75m DES Bear</t>
        </r>
      </text>
    </comment>
    <comment ref="AB44" authorId="1" shapeId="0" xr:uid="{00000000-0006-0000-0700-0000F1000000}">
      <text>
        <r>
          <rPr>
            <b/>
            <sz val="8"/>
            <color indexed="81"/>
            <rFont val="Tahoma"/>
            <family val="2"/>
          </rPr>
          <t>Martin Shkreli:</t>
        </r>
        <r>
          <rPr>
            <sz val="8"/>
            <color indexed="81"/>
            <rFont val="Tahoma"/>
            <family val="2"/>
          </rPr>
          <t xml:space="preserve">
198m DES Bear</t>
        </r>
      </text>
    </comment>
    <comment ref="AC44" authorId="1" shapeId="0" xr:uid="{00000000-0006-0000-0700-0000F2000000}">
      <text>
        <r>
          <rPr>
            <b/>
            <sz val="8"/>
            <color indexed="81"/>
            <rFont val="Tahoma"/>
            <family val="2"/>
          </rPr>
          <t>Martin Shkreli:</t>
        </r>
        <r>
          <rPr>
            <sz val="8"/>
            <color indexed="81"/>
            <rFont val="Tahoma"/>
            <family val="2"/>
          </rPr>
          <t xml:space="preserve">
489m DES Bear</t>
        </r>
      </text>
    </comment>
    <comment ref="AD44" authorId="1" shapeId="0" xr:uid="{00000000-0006-0000-0700-0000F3000000}">
      <text>
        <r>
          <rPr>
            <b/>
            <sz val="8"/>
            <color indexed="81"/>
            <rFont val="Tahoma"/>
            <family val="2"/>
          </rPr>
          <t>Martin Shkreli:</t>
        </r>
        <r>
          <rPr>
            <sz val="8"/>
            <color indexed="81"/>
            <rFont val="Tahoma"/>
            <family val="2"/>
          </rPr>
          <t xml:space="preserve">
550m DES Bear</t>
        </r>
      </text>
    </comment>
    <comment ref="AE44" authorId="1" shapeId="0" xr:uid="{00000000-0006-0000-0700-0000F4000000}">
      <text>
        <r>
          <rPr>
            <b/>
            <sz val="8"/>
            <color indexed="81"/>
            <rFont val="Tahoma"/>
            <family val="2"/>
          </rPr>
          <t>Martin Shkreli:</t>
        </r>
        <r>
          <rPr>
            <sz val="8"/>
            <color indexed="81"/>
            <rFont val="Tahoma"/>
            <family val="2"/>
          </rPr>
          <t xml:space="preserve">
532m DES Bear</t>
        </r>
      </text>
    </comment>
    <comment ref="AF44" authorId="1" shapeId="0" xr:uid="{00000000-0006-0000-0700-0000F5000000}">
      <text>
        <r>
          <rPr>
            <b/>
            <sz val="8"/>
            <color indexed="81"/>
            <rFont val="Tahoma"/>
            <family val="2"/>
          </rPr>
          <t>Martin Shkreli:</t>
        </r>
        <r>
          <rPr>
            <sz val="8"/>
            <color indexed="81"/>
            <rFont val="Tahoma"/>
            <family val="2"/>
          </rPr>
          <t xml:space="preserve">
331m DES Bear</t>
        </r>
      </text>
    </comment>
    <comment ref="AG44" authorId="1" shapeId="0" xr:uid="{00000000-0006-0000-0700-0000F6000000}">
      <text>
        <r>
          <rPr>
            <b/>
            <sz val="8"/>
            <color indexed="81"/>
            <rFont val="Tahoma"/>
            <family val="2"/>
          </rPr>
          <t>Martin Shkreli:</t>
        </r>
        <r>
          <rPr>
            <sz val="8"/>
            <color indexed="81"/>
            <rFont val="Tahoma"/>
            <family val="2"/>
          </rPr>
          <t xml:space="preserve">
439m DES Bear</t>
        </r>
      </text>
    </comment>
    <comment ref="AH44" authorId="1" shapeId="0" xr:uid="{00000000-0006-0000-0700-0000F7000000}">
      <text>
        <r>
          <rPr>
            <b/>
            <sz val="8"/>
            <color indexed="81"/>
            <rFont val="Tahoma"/>
            <family val="2"/>
          </rPr>
          <t>Martin Shkreli:</t>
        </r>
        <r>
          <rPr>
            <sz val="8"/>
            <color indexed="81"/>
            <rFont val="Tahoma"/>
            <family val="2"/>
          </rPr>
          <t xml:space="preserve">
561m DES Bear</t>
        </r>
      </text>
    </comment>
    <comment ref="AI44" authorId="1" shapeId="0" xr:uid="{00000000-0006-0000-0700-0000F8000000}">
      <text>
        <r>
          <rPr>
            <b/>
            <sz val="8"/>
            <color indexed="81"/>
            <rFont val="Tahoma"/>
            <family val="2"/>
          </rPr>
          <t>Martin Shkreli:</t>
        </r>
        <r>
          <rPr>
            <sz val="8"/>
            <color indexed="81"/>
            <rFont val="Tahoma"/>
            <family val="2"/>
          </rPr>
          <t xml:space="preserve">
617 DES bear actual</t>
        </r>
      </text>
    </comment>
    <comment ref="AJ44" authorId="1" shapeId="0" xr:uid="{00000000-0006-0000-0700-0000F9000000}">
      <text>
        <r>
          <rPr>
            <b/>
            <sz val="8"/>
            <color indexed="81"/>
            <rFont val="Tahoma"/>
            <family val="2"/>
          </rPr>
          <t>Martin Shkreli:</t>
        </r>
        <r>
          <rPr>
            <sz val="8"/>
            <color indexed="81"/>
            <rFont val="Tahoma"/>
            <family val="2"/>
          </rPr>
          <t xml:space="preserve">
659 bear des actual</t>
        </r>
      </text>
    </comment>
    <comment ref="AK44" authorId="1" shapeId="0" xr:uid="{00000000-0006-0000-0700-0000FA000000}">
      <text>
        <r>
          <rPr>
            <b/>
            <sz val="8"/>
            <color indexed="81"/>
            <rFont val="Tahoma"/>
            <family val="2"/>
          </rPr>
          <t>Martin Shkreli:</t>
        </r>
        <r>
          <rPr>
            <sz val="8"/>
            <color indexed="81"/>
            <rFont val="Tahoma"/>
            <family val="2"/>
          </rPr>
          <t xml:space="preserve">
656 bear actual des</t>
        </r>
      </text>
    </comment>
    <comment ref="AL44" authorId="1" shapeId="0" xr:uid="{00000000-0006-0000-0700-0000FB000000}">
      <text>
        <r>
          <rPr>
            <b/>
            <sz val="8"/>
            <color indexed="81"/>
            <rFont val="Tahoma"/>
            <family val="2"/>
          </rPr>
          <t>Martin Shkreli:</t>
        </r>
        <r>
          <rPr>
            <sz val="8"/>
            <color indexed="81"/>
            <rFont val="Tahoma"/>
            <family val="2"/>
          </rPr>
          <t xml:space="preserve">
670 bear des actual</t>
        </r>
      </text>
    </comment>
    <comment ref="AM44" authorId="1" shapeId="0" xr:uid="{00000000-0006-0000-0700-0000FC000000}">
      <text>
        <r>
          <rPr>
            <b/>
            <sz val="8"/>
            <color indexed="81"/>
            <rFont val="Tahoma"/>
            <family val="2"/>
          </rPr>
          <t>Martin Shkreli:</t>
        </r>
        <r>
          <rPr>
            <sz val="8"/>
            <color indexed="81"/>
            <rFont val="Tahoma"/>
            <family val="2"/>
          </rPr>
          <t xml:space="preserve">
717 Bear DES actual</t>
        </r>
      </text>
    </comment>
    <comment ref="AN44" authorId="1" shapeId="0" xr:uid="{00000000-0006-0000-0700-0000FD000000}">
      <text>
        <r>
          <rPr>
            <b/>
            <sz val="8"/>
            <color indexed="81"/>
            <rFont val="Tahoma"/>
            <family val="2"/>
          </rPr>
          <t>Martin Shkreli:</t>
        </r>
        <r>
          <rPr>
            <sz val="8"/>
            <color indexed="81"/>
            <rFont val="Tahoma"/>
            <family val="2"/>
          </rPr>
          <t xml:space="preserve">
695 DES Bear actual</t>
        </r>
      </text>
    </comment>
    <comment ref="BA44" authorId="6" shapeId="0" xr:uid="{00000000-0006-0000-0700-0000FE000000}">
      <text>
        <r>
          <rPr>
            <b/>
            <sz val="8"/>
            <color indexed="81"/>
            <rFont val="Tahoma"/>
            <family val="2"/>
          </rPr>
          <t>Marek Biestek:</t>
        </r>
        <r>
          <rPr>
            <sz val="8"/>
            <color indexed="81"/>
            <rFont val="Tahoma"/>
            <family val="2"/>
          </rPr>
          <t xml:space="preserve">
Well below expectations</t>
        </r>
      </text>
    </comment>
    <comment ref="BC44" authorId="0" shapeId="0" xr:uid="{00000000-0006-0000-0700-0000FF000000}">
      <text>
        <r>
          <rPr>
            <b/>
            <sz val="9"/>
            <color indexed="81"/>
            <rFont val="Tahoma"/>
            <family val="2"/>
          </rPr>
          <t>MSMB - Andre:</t>
        </r>
        <r>
          <rPr>
            <sz val="9"/>
            <color indexed="81"/>
            <rFont val="Tahoma"/>
            <family val="2"/>
          </rPr>
          <t xml:space="preserve">
Cypher 190m, -27%</t>
        </r>
      </text>
    </comment>
    <comment ref="BD44" authorId="3" shapeId="0" xr:uid="{00000000-0006-0000-0700-000000010000}">
      <text>
        <r>
          <rPr>
            <b/>
            <sz val="9"/>
            <color indexed="81"/>
            <rFont val="Tahoma"/>
            <family val="2"/>
          </rPr>
          <t>MSMB:</t>
        </r>
        <r>
          <rPr>
            <sz val="9"/>
            <color indexed="81"/>
            <rFont val="Tahoma"/>
            <family val="2"/>
          </rPr>
          <t xml:space="preserve">
Cypher 170m, -29% y/y</t>
        </r>
      </text>
    </comment>
    <comment ref="DQ44" authorId="1" shapeId="0" xr:uid="{00000000-0006-0000-0700-000001010000}">
      <text>
        <r>
          <rPr>
            <b/>
            <sz val="8"/>
            <color indexed="81"/>
            <rFont val="Tahoma"/>
            <family val="2"/>
          </rPr>
          <t>Martin Shkreli:</t>
        </r>
        <r>
          <rPr>
            <sz val="8"/>
            <color indexed="81"/>
            <rFont val="Tahoma"/>
            <family val="2"/>
          </rPr>
          <t xml:space="preserve">
914 Cowen</t>
        </r>
      </text>
    </comment>
    <comment ref="DR44" authorId="1" shapeId="0" xr:uid="{00000000-0006-0000-0700-000002010000}">
      <text>
        <r>
          <rPr>
            <b/>
            <sz val="8"/>
            <color indexed="81"/>
            <rFont val="Tahoma"/>
            <family val="2"/>
          </rPr>
          <t>Martin Shkreli:</t>
        </r>
        <r>
          <rPr>
            <sz val="8"/>
            <color indexed="81"/>
            <rFont val="Tahoma"/>
            <family val="2"/>
          </rPr>
          <t xml:space="preserve">
Bear 935 actual</t>
        </r>
      </text>
    </comment>
    <comment ref="DS44" authorId="1" shapeId="0" xr:uid="{00000000-0006-0000-0700-000003010000}">
      <text>
        <r>
          <rPr>
            <b/>
            <sz val="8"/>
            <color indexed="81"/>
            <rFont val="Tahoma"/>
            <family val="2"/>
          </rPr>
          <t>Martin Shkreli:</t>
        </r>
        <r>
          <rPr>
            <sz val="8"/>
            <color indexed="81"/>
            <rFont val="Tahoma"/>
            <family val="2"/>
          </rPr>
          <t xml:space="preserve">
Bear actual 1056</t>
        </r>
      </text>
    </comment>
    <comment ref="DU44" authorId="1" shapeId="0" xr:uid="{00000000-0006-0000-0700-000004010000}">
      <text>
        <r>
          <rPr>
            <b/>
            <sz val="8"/>
            <color indexed="81"/>
            <rFont val="Tahoma"/>
            <family val="2"/>
          </rPr>
          <t>Martin Shkreli:</t>
        </r>
        <r>
          <rPr>
            <sz val="8"/>
            <color indexed="81"/>
            <rFont val="Tahoma"/>
            <family val="2"/>
          </rPr>
          <t xml:space="preserve">
112 DES Bear</t>
        </r>
      </text>
    </comment>
    <comment ref="DW44" authorId="1" shapeId="0" xr:uid="{00000000-0006-0000-0700-000005010000}">
      <text>
        <r>
          <rPr>
            <b/>
            <sz val="8"/>
            <color indexed="81"/>
            <rFont val="Tahoma"/>
            <family val="2"/>
          </rPr>
          <t>Martin Shkreli:</t>
        </r>
        <r>
          <rPr>
            <sz val="8"/>
            <color indexed="81"/>
            <rFont val="Tahoma"/>
            <family val="2"/>
          </rPr>
          <t xml:space="preserve">
1863 DES bear</t>
        </r>
      </text>
    </comment>
    <comment ref="DX44" authorId="1" shapeId="0" xr:uid="{00000000-0006-0000-0700-000006010000}">
      <text>
        <r>
          <rPr>
            <b/>
            <sz val="8"/>
            <color indexed="81"/>
            <rFont val="Tahoma"/>
            <family val="2"/>
          </rPr>
          <t>Martin Shkreli:</t>
        </r>
        <r>
          <rPr>
            <sz val="8"/>
            <color indexed="81"/>
            <rFont val="Tahoma"/>
            <family val="2"/>
          </rPr>
          <t xml:space="preserve">
2606 DES Bear actual</t>
        </r>
      </text>
    </comment>
    <comment ref="EA44"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5" authorId="1" shapeId="0" xr:uid="{00000000-0006-0000-0700-000008010000}">
      <text>
        <r>
          <rPr>
            <b/>
            <sz val="8"/>
            <color indexed="81"/>
            <rFont val="Tahoma"/>
            <family val="2"/>
          </rPr>
          <t>Martin Shkreli:</t>
        </r>
        <r>
          <rPr>
            <sz val="8"/>
            <color indexed="81"/>
            <rFont val="Tahoma"/>
            <family val="2"/>
          </rPr>
          <t xml:space="preserve">
Bear 1702 actual</t>
        </r>
      </text>
    </comment>
    <comment ref="B46"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6"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6" authorId="1" shapeId="0" xr:uid="{00000000-0006-0000-0700-00000B010000}">
      <text>
        <r>
          <rPr>
            <b/>
            <sz val="8"/>
            <color indexed="81"/>
            <rFont val="Tahoma"/>
            <family val="2"/>
          </rPr>
          <t>Martin Shkreli:</t>
        </r>
        <r>
          <rPr>
            <sz val="8"/>
            <color indexed="81"/>
            <rFont val="Tahoma"/>
            <family val="2"/>
          </rPr>
          <t xml:space="preserve">
594 MS 2</t>
        </r>
      </text>
    </comment>
    <comment ref="U46" authorId="1" shapeId="0" xr:uid="{00000000-0006-0000-0700-00000C010000}">
      <text>
        <r>
          <rPr>
            <b/>
            <sz val="8"/>
            <color indexed="81"/>
            <rFont val="Tahoma"/>
            <family val="2"/>
          </rPr>
          <t>Martin Shkreli:</t>
        </r>
        <r>
          <rPr>
            <sz val="8"/>
            <color indexed="81"/>
            <rFont val="Tahoma"/>
            <family val="2"/>
          </rPr>
          <t xml:space="preserve">
597 MS 2</t>
        </r>
      </text>
    </comment>
    <comment ref="V46" authorId="1" shapeId="0" xr:uid="{00000000-0006-0000-0700-00000D010000}">
      <text>
        <r>
          <rPr>
            <b/>
            <sz val="8"/>
            <color indexed="81"/>
            <rFont val="Tahoma"/>
            <family val="2"/>
          </rPr>
          <t>Martin Shkreli:</t>
        </r>
        <r>
          <rPr>
            <sz val="8"/>
            <color indexed="81"/>
            <rFont val="Tahoma"/>
            <family val="2"/>
          </rPr>
          <t xml:space="preserve">
Bear 607 actual</t>
        </r>
      </text>
    </comment>
    <comment ref="BC4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6" authorId="1" shapeId="0" xr:uid="{00000000-0006-0000-0700-00000F010000}">
      <text>
        <r>
          <rPr>
            <b/>
            <sz val="8"/>
            <color indexed="81"/>
            <rFont val="Tahoma"/>
            <family val="2"/>
          </rPr>
          <t>Martin Shkreli:</t>
        </r>
        <r>
          <rPr>
            <sz val="8"/>
            <color indexed="81"/>
            <rFont val="Tahoma"/>
            <family val="2"/>
          </rPr>
          <t xml:space="preserve">
1608 JPM
1800 Cowen</t>
        </r>
      </text>
    </comment>
    <comment ref="DR46"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6" authorId="1" shapeId="0" xr:uid="{00000000-0006-0000-0700-000011010000}">
      <text>
        <r>
          <rPr>
            <b/>
            <sz val="8"/>
            <color indexed="81"/>
            <rFont val="Tahoma"/>
            <family val="2"/>
          </rPr>
          <t>Martin Shkreli:</t>
        </r>
        <r>
          <rPr>
            <sz val="8"/>
            <color indexed="81"/>
            <rFont val="Tahoma"/>
            <family val="2"/>
          </rPr>
          <t xml:space="preserve">
2246 Bear actual</t>
        </r>
      </text>
    </comment>
    <comment ref="DQ47" authorId="1" shapeId="0" xr:uid="{00000000-0006-0000-0700-000012010000}">
      <text>
        <r>
          <rPr>
            <b/>
            <sz val="8"/>
            <color indexed="81"/>
            <rFont val="Tahoma"/>
            <family val="2"/>
          </rPr>
          <t>Martin Shkreli:</t>
        </r>
        <r>
          <rPr>
            <sz val="8"/>
            <color indexed="81"/>
            <rFont val="Tahoma"/>
            <family val="2"/>
          </rPr>
          <t xml:space="preserve">
1144 Cowen</t>
        </r>
      </text>
    </comment>
    <comment ref="DR47"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8" authorId="4" shapeId="0" xr:uid="{00000000-0006-0000-0700-000014010000}">
      <text>
        <r>
          <rPr>
            <b/>
            <sz val="9"/>
            <color indexed="81"/>
            <rFont val="Tahoma"/>
            <family val="2"/>
          </rPr>
          <t>Martin:</t>
        </r>
        <r>
          <rPr>
            <sz val="9"/>
            <color indexed="81"/>
            <rFont val="Tahoma"/>
            <family val="2"/>
          </rPr>
          <t xml:space="preserve">
Infection prevention</t>
        </r>
      </text>
    </comment>
    <comment ref="S50"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0"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0"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0" authorId="1" shapeId="0" xr:uid="{00000000-0006-0000-0700-000018010000}">
      <text>
        <r>
          <rPr>
            <b/>
            <sz val="8"/>
            <color indexed="81"/>
            <rFont val="Tahoma"/>
            <family val="2"/>
          </rPr>
          <t>Martin Shkreli:</t>
        </r>
        <r>
          <rPr>
            <sz val="8"/>
            <color indexed="81"/>
            <rFont val="Tahoma"/>
            <family val="2"/>
          </rPr>
          <t xml:space="preserve">
FDA Warning Letter</t>
        </r>
      </text>
    </comment>
    <comment ref="AM50" authorId="2" shapeId="0" xr:uid="{00000000-0006-0000-0700-000019010000}">
      <text>
        <r>
          <rPr>
            <sz val="8"/>
            <color indexed="8"/>
            <rFont val="Times New Roman"/>
            <family val="1"/>
          </rPr>
          <t>Animus acquisition completed</t>
        </r>
      </text>
    </comment>
    <comment ref="DQ50" authorId="1" shapeId="0" xr:uid="{00000000-0006-0000-0700-00001A010000}">
      <text>
        <r>
          <rPr>
            <b/>
            <sz val="8"/>
            <color indexed="81"/>
            <rFont val="Tahoma"/>
            <family val="2"/>
          </rPr>
          <t>Martin Shkreli:</t>
        </r>
        <r>
          <rPr>
            <sz val="8"/>
            <color indexed="81"/>
            <rFont val="Tahoma"/>
            <family val="2"/>
          </rPr>
          <t xml:space="preserve">
996 JPM
988 Cowen</t>
        </r>
      </text>
    </comment>
    <comment ref="DR50"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0" authorId="1" shapeId="0" xr:uid="{00000000-0006-0000-0700-00001C010000}">
      <text>
        <r>
          <rPr>
            <b/>
            <sz val="8"/>
            <color indexed="81"/>
            <rFont val="Tahoma"/>
            <family val="2"/>
          </rPr>
          <t>Martin Shkreli:</t>
        </r>
        <r>
          <rPr>
            <sz val="8"/>
            <color indexed="81"/>
            <rFont val="Tahoma"/>
            <family val="2"/>
          </rPr>
          <t xml:space="preserve">
1095 Bear actual</t>
        </r>
      </text>
    </comment>
    <comment ref="DQ51" authorId="1" shapeId="0" xr:uid="{00000000-0006-0000-0700-00001D010000}">
      <text>
        <r>
          <rPr>
            <b/>
            <sz val="8"/>
            <color indexed="81"/>
            <rFont val="Tahoma"/>
            <family val="2"/>
          </rPr>
          <t>Martin Shkreli:</t>
        </r>
        <r>
          <rPr>
            <sz val="8"/>
            <color indexed="81"/>
            <rFont val="Tahoma"/>
            <family val="2"/>
          </rPr>
          <t xml:space="preserve">
972 Cowen
988 JPM</t>
        </r>
      </text>
    </comment>
    <comment ref="DR51"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2"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2"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2"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2" authorId="1" shapeId="0" xr:uid="{00000000-0006-0000-0700-000022010000}">
      <text>
        <r>
          <rPr>
            <b/>
            <sz val="8"/>
            <color indexed="81"/>
            <rFont val="Tahoma"/>
            <family val="2"/>
          </rPr>
          <t>Martin Shkreli:</t>
        </r>
        <r>
          <rPr>
            <sz val="8"/>
            <color indexed="81"/>
            <rFont val="Tahoma"/>
            <family val="2"/>
          </rPr>
          <t xml:space="preserve">
866 Cowen</t>
        </r>
      </text>
    </comment>
    <comment ref="DR52" authorId="1" shapeId="0" xr:uid="{00000000-0006-0000-0700-000023010000}">
      <text>
        <r>
          <rPr>
            <b/>
            <sz val="8"/>
            <color indexed="81"/>
            <rFont val="Tahoma"/>
            <family val="2"/>
          </rPr>
          <t>Martin Shkreli:</t>
        </r>
        <r>
          <rPr>
            <sz val="8"/>
            <color indexed="81"/>
            <rFont val="Tahoma"/>
            <family val="2"/>
          </rPr>
          <t xml:space="preserve">
937 Bear actual</t>
        </r>
      </text>
    </comment>
    <comment ref="DT52" authorId="1" shapeId="0" xr:uid="{00000000-0006-0000-0700-000024010000}">
      <text>
        <r>
          <rPr>
            <b/>
            <sz val="8"/>
            <color indexed="81"/>
            <rFont val="Tahoma"/>
            <family val="2"/>
          </rPr>
          <t>Martin Shkreli:</t>
        </r>
        <r>
          <rPr>
            <sz val="8"/>
            <color indexed="81"/>
            <rFont val="Tahoma"/>
            <family val="2"/>
          </rPr>
          <t xml:space="preserve">
1044 Bear actual</t>
        </r>
      </text>
    </comment>
    <comment ref="O53" authorId="1" shapeId="0" xr:uid="{00000000-0006-0000-0700-000025010000}">
      <text>
        <r>
          <rPr>
            <b/>
            <sz val="8"/>
            <color indexed="81"/>
            <rFont val="Tahoma"/>
            <family val="2"/>
          </rPr>
          <t>Martin Shkreli:</t>
        </r>
        <r>
          <rPr>
            <sz val="8"/>
            <color indexed="81"/>
            <rFont val="Tahoma"/>
            <family val="2"/>
          </rPr>
          <t xml:space="preserve">
142 Bear actual</t>
        </r>
      </text>
    </comment>
    <comment ref="P53" authorId="1" shapeId="0" xr:uid="{00000000-0006-0000-0700-000026010000}">
      <text>
        <r>
          <rPr>
            <b/>
            <sz val="8"/>
            <color indexed="81"/>
            <rFont val="Tahoma"/>
            <family val="2"/>
          </rPr>
          <t>Martin Shkreli:</t>
        </r>
        <r>
          <rPr>
            <sz val="8"/>
            <color indexed="81"/>
            <rFont val="Tahoma"/>
            <family val="2"/>
          </rPr>
          <t xml:space="preserve">
137 Bear actual</t>
        </r>
      </text>
    </comment>
    <comment ref="Q53" authorId="1" shapeId="0" xr:uid="{00000000-0006-0000-0700-000027010000}">
      <text>
        <r>
          <rPr>
            <b/>
            <sz val="8"/>
            <color indexed="81"/>
            <rFont val="Tahoma"/>
            <family val="2"/>
          </rPr>
          <t>Martin Shkreli:</t>
        </r>
        <r>
          <rPr>
            <sz val="8"/>
            <color indexed="81"/>
            <rFont val="Tahoma"/>
            <family val="2"/>
          </rPr>
          <t xml:space="preserve">
143 Bear actual</t>
        </r>
      </text>
    </comment>
    <comment ref="R53" authorId="1" shapeId="0" xr:uid="{00000000-0006-0000-0700-000028010000}">
      <text>
        <r>
          <rPr>
            <b/>
            <sz val="8"/>
            <color indexed="81"/>
            <rFont val="Tahoma"/>
            <family val="2"/>
          </rPr>
          <t>Martin Shkreli:</t>
        </r>
        <r>
          <rPr>
            <sz val="8"/>
            <color indexed="81"/>
            <rFont val="Tahoma"/>
            <family val="2"/>
          </rPr>
          <t xml:space="preserve">
133 Bear actual</t>
        </r>
      </text>
    </comment>
    <comment ref="S53" authorId="1" shapeId="0" xr:uid="{00000000-0006-0000-0700-000029010000}">
      <text>
        <r>
          <rPr>
            <b/>
            <sz val="8"/>
            <color indexed="81"/>
            <rFont val="Tahoma"/>
            <family val="2"/>
          </rPr>
          <t>Martin Shkreli:</t>
        </r>
        <r>
          <rPr>
            <sz val="8"/>
            <color indexed="81"/>
            <rFont val="Tahoma"/>
            <family val="2"/>
          </rPr>
          <t xml:space="preserve">
83 MS2
83 Bear actual</t>
        </r>
      </text>
    </comment>
    <comment ref="T53" authorId="1" shapeId="0" xr:uid="{00000000-0006-0000-0700-00002A010000}">
      <text>
        <r>
          <rPr>
            <b/>
            <sz val="8"/>
            <color indexed="81"/>
            <rFont val="Tahoma"/>
            <family val="2"/>
          </rPr>
          <t>Martin Shkreli:</t>
        </r>
        <r>
          <rPr>
            <sz val="8"/>
            <color indexed="81"/>
            <rFont val="Tahoma"/>
            <family val="2"/>
          </rPr>
          <t xml:space="preserve">
67 MS2
131 Bear actual</t>
        </r>
      </text>
    </comment>
    <comment ref="U53" authorId="1" shapeId="0" xr:uid="{00000000-0006-0000-0700-00002B010000}">
      <text>
        <r>
          <rPr>
            <b/>
            <sz val="8"/>
            <color indexed="81"/>
            <rFont val="Tahoma"/>
            <family val="2"/>
          </rPr>
          <t>Martin Shkreli:</t>
        </r>
        <r>
          <rPr>
            <sz val="8"/>
            <color indexed="81"/>
            <rFont val="Tahoma"/>
            <family val="2"/>
          </rPr>
          <t xml:space="preserve">
34 MS2
98 Bear actual</t>
        </r>
      </text>
    </comment>
    <comment ref="V53" authorId="1" shapeId="0" xr:uid="{00000000-0006-0000-0700-00002C010000}">
      <text>
        <r>
          <rPr>
            <b/>
            <sz val="8"/>
            <color indexed="81"/>
            <rFont val="Tahoma"/>
            <family val="2"/>
          </rPr>
          <t>Martin Shkreli:</t>
        </r>
        <r>
          <rPr>
            <sz val="8"/>
            <color indexed="81"/>
            <rFont val="Tahoma"/>
            <family val="2"/>
          </rPr>
          <t xml:space="preserve">
30 Bear actual</t>
        </r>
      </text>
    </comment>
    <comment ref="W53" authorId="1" shapeId="0" xr:uid="{00000000-0006-0000-0700-00002D010000}">
      <text>
        <r>
          <rPr>
            <b/>
            <sz val="8"/>
            <color indexed="81"/>
            <rFont val="Tahoma"/>
            <family val="2"/>
          </rPr>
          <t>Martin Shkreli:</t>
        </r>
        <r>
          <rPr>
            <sz val="8"/>
            <color indexed="81"/>
            <rFont val="Tahoma"/>
            <family val="2"/>
          </rPr>
          <t xml:space="preserve">
29 Bear actual</t>
        </r>
      </text>
    </comment>
    <comment ref="Y53" authorId="1" shapeId="0" xr:uid="{00000000-0006-0000-0700-00002E010000}">
      <text>
        <r>
          <rPr>
            <b/>
            <sz val="8"/>
            <color indexed="81"/>
            <rFont val="Tahoma"/>
            <family val="2"/>
          </rPr>
          <t>Martin Shkreli:</t>
        </r>
        <r>
          <rPr>
            <sz val="8"/>
            <color indexed="81"/>
            <rFont val="Tahoma"/>
            <family val="2"/>
          </rPr>
          <t xml:space="preserve">
32 Bear actual</t>
        </r>
      </text>
    </comment>
    <comment ref="Z53" authorId="1" shapeId="0" xr:uid="{00000000-0006-0000-0700-00002F010000}">
      <text>
        <r>
          <rPr>
            <b/>
            <sz val="8"/>
            <color indexed="81"/>
            <rFont val="Tahoma"/>
            <family val="2"/>
          </rPr>
          <t>Martin Shkreli:</t>
        </r>
        <r>
          <rPr>
            <sz val="8"/>
            <color indexed="81"/>
            <rFont val="Tahoma"/>
            <family val="2"/>
          </rPr>
          <t xml:space="preserve">
24 Bear actual</t>
        </r>
      </text>
    </comment>
    <comment ref="AA53" authorId="1" shapeId="0" xr:uid="{00000000-0006-0000-0700-000030010000}">
      <text>
        <r>
          <rPr>
            <b/>
            <sz val="8"/>
            <color indexed="81"/>
            <rFont val="Tahoma"/>
            <family val="2"/>
          </rPr>
          <t>Martin Shkreli:</t>
        </r>
        <r>
          <rPr>
            <sz val="8"/>
            <color indexed="81"/>
            <rFont val="Tahoma"/>
            <family val="2"/>
          </rPr>
          <t xml:space="preserve">
17m Bear actual</t>
        </r>
      </text>
    </comment>
    <comment ref="AB53" authorId="1" shapeId="0" xr:uid="{00000000-0006-0000-0700-000031010000}">
      <text>
        <r>
          <rPr>
            <b/>
            <sz val="8"/>
            <color indexed="81"/>
            <rFont val="Tahoma"/>
            <family val="2"/>
          </rPr>
          <t>Martin Shkreli:</t>
        </r>
        <r>
          <rPr>
            <sz val="8"/>
            <color indexed="81"/>
            <rFont val="Tahoma"/>
            <family val="2"/>
          </rPr>
          <t xml:space="preserve">
17m Bear actual</t>
        </r>
      </text>
    </comment>
    <comment ref="DR53" authorId="1" shapeId="0" xr:uid="{00000000-0006-0000-0700-000032010000}">
      <text>
        <r>
          <rPr>
            <b/>
            <sz val="8"/>
            <color indexed="81"/>
            <rFont val="Tahoma"/>
            <family val="2"/>
          </rPr>
          <t>Martin Shkreli:</t>
        </r>
        <r>
          <rPr>
            <sz val="8"/>
            <color indexed="81"/>
            <rFont val="Tahoma"/>
            <family val="2"/>
          </rPr>
          <t xml:space="preserve">
1156 Bear actual</t>
        </r>
      </text>
    </comment>
    <comment ref="DS53" authorId="1" shapeId="0" xr:uid="{00000000-0006-0000-0700-000033010000}">
      <text>
        <r>
          <rPr>
            <b/>
            <sz val="8"/>
            <color indexed="81"/>
            <rFont val="Tahoma"/>
            <family val="2"/>
          </rPr>
          <t>Martin Shkreli:</t>
        </r>
        <r>
          <rPr>
            <sz val="8"/>
            <color indexed="81"/>
            <rFont val="Tahoma"/>
            <family val="2"/>
          </rPr>
          <t xml:space="preserve">
554 Bear actual</t>
        </r>
      </text>
    </comment>
    <comment ref="DT53" authorId="1" shapeId="0" xr:uid="{00000000-0006-0000-0700-000034010000}">
      <text>
        <r>
          <rPr>
            <b/>
            <sz val="8"/>
            <color indexed="81"/>
            <rFont val="Tahoma"/>
            <family val="2"/>
          </rPr>
          <t>Martin Shkreli:</t>
        </r>
        <r>
          <rPr>
            <sz val="8"/>
            <color indexed="81"/>
            <rFont val="Tahoma"/>
            <family val="2"/>
          </rPr>
          <t xml:space="preserve">
341 Bear actual</t>
        </r>
      </text>
    </comment>
    <comment ref="DU53" authorId="1" shapeId="0" xr:uid="{00000000-0006-0000-0700-000035010000}">
      <text>
        <r>
          <rPr>
            <b/>
            <sz val="8"/>
            <color indexed="81"/>
            <rFont val="Tahoma"/>
            <family val="2"/>
          </rPr>
          <t>Martin Shkreli:</t>
        </r>
        <r>
          <rPr>
            <sz val="8"/>
            <color indexed="81"/>
            <rFont val="Tahoma"/>
            <family val="2"/>
          </rPr>
          <t xml:space="preserve">
118 bear actual</t>
        </r>
      </text>
    </comment>
    <comment ref="DV53" authorId="1" shapeId="0" xr:uid="{00000000-0006-0000-0700-000036010000}">
      <text>
        <r>
          <rPr>
            <b/>
            <sz val="8"/>
            <color indexed="81"/>
            <rFont val="Tahoma"/>
            <family val="2"/>
          </rPr>
          <t>Martin Shkreli:</t>
        </r>
        <r>
          <rPr>
            <sz val="8"/>
            <color indexed="81"/>
            <rFont val="Tahoma"/>
            <family val="2"/>
          </rPr>
          <t xml:space="preserve">
Bear 68 actual</t>
        </r>
      </text>
    </comment>
    <comment ref="S54" authorId="1" shapeId="0" xr:uid="{00000000-0006-0000-0700-000037010000}">
      <text>
        <r>
          <rPr>
            <b/>
            <sz val="8"/>
            <color indexed="81"/>
            <rFont val="Tahoma"/>
            <family val="2"/>
          </rPr>
          <t>Martin Shkreli:</t>
        </r>
        <r>
          <rPr>
            <sz val="8"/>
            <color indexed="81"/>
            <rFont val="Tahoma"/>
            <family val="2"/>
          </rPr>
          <t xml:space="preserve">
1631 MS2</t>
        </r>
      </text>
    </comment>
    <comment ref="T54" authorId="1" shapeId="0" xr:uid="{00000000-0006-0000-0700-000038010000}">
      <text>
        <r>
          <rPr>
            <b/>
            <sz val="8"/>
            <color indexed="81"/>
            <rFont val="Tahoma"/>
            <family val="2"/>
          </rPr>
          <t>Martin Shkreli:</t>
        </r>
        <r>
          <rPr>
            <sz val="8"/>
            <color indexed="81"/>
            <rFont val="Tahoma"/>
            <family val="2"/>
          </rPr>
          <t xml:space="preserve">
1529 MS2</t>
        </r>
      </text>
    </comment>
    <comment ref="U54" authorId="1" shapeId="0" xr:uid="{00000000-0006-0000-0700-000039010000}">
      <text>
        <r>
          <rPr>
            <b/>
            <sz val="8"/>
            <color indexed="81"/>
            <rFont val="Tahoma"/>
            <family val="2"/>
          </rPr>
          <t>Martin Shkreli:</t>
        </r>
        <r>
          <rPr>
            <sz val="8"/>
            <color indexed="81"/>
            <rFont val="Tahoma"/>
            <family val="2"/>
          </rPr>
          <t xml:space="preserve">
1609 MS2</t>
        </r>
      </text>
    </comment>
    <comment ref="AU54" authorId="1" shapeId="0" xr:uid="{00000000-0006-0000-0700-00003A010000}">
      <text>
        <r>
          <rPr>
            <b/>
            <sz val="8"/>
            <color indexed="81"/>
            <rFont val="Tahoma"/>
            <family val="2"/>
          </rPr>
          <t>Martin Shkreli:</t>
        </r>
        <r>
          <rPr>
            <sz val="8"/>
            <color indexed="81"/>
            <rFont val="Tahoma"/>
            <family val="2"/>
          </rPr>
          <t xml:space="preserve">
Zyrtec build</t>
        </r>
      </text>
    </comment>
    <comment ref="AY54"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4" authorId="5" shapeId="0" xr:uid="{00000000-0006-0000-0700-00003C010000}">
      <text>
        <r>
          <rPr>
            <sz val="8"/>
            <color indexed="81"/>
            <rFont val="Tahoma"/>
            <family val="2"/>
          </rPr>
          <t>August Cowen meeting: not seeing economy improving</t>
        </r>
      </text>
    </comment>
    <comment ref="BD54"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U54" authorId="10"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DR54" authorId="1" shapeId="0" xr:uid="{00000000-0006-0000-0700-00003E010000}">
      <text>
        <r>
          <rPr>
            <b/>
            <sz val="8"/>
            <color indexed="81"/>
            <rFont val="Tahoma"/>
            <family val="2"/>
          </rPr>
          <t>Martin Shkreli:</t>
        </r>
        <r>
          <rPr>
            <sz val="8"/>
            <color indexed="81"/>
            <rFont val="Tahoma"/>
            <family val="2"/>
          </rPr>
          <t xml:space="preserve">
6248 bear
6862 cowen</t>
        </r>
      </text>
    </comment>
    <comment ref="DS54" authorId="1" shapeId="0" xr:uid="{00000000-0006-0000-0700-00003F010000}">
      <text>
        <r>
          <rPr>
            <b/>
            <sz val="8"/>
            <color indexed="81"/>
            <rFont val="Tahoma"/>
            <family val="2"/>
          </rPr>
          <t>Martin Shkreli:</t>
        </r>
        <r>
          <rPr>
            <sz val="8"/>
            <color indexed="81"/>
            <rFont val="Tahoma"/>
            <family val="2"/>
          </rPr>
          <t xml:space="preserve">
6271 bear</t>
        </r>
      </text>
    </comment>
    <comment ref="DT54" authorId="1" shapeId="0" xr:uid="{00000000-0006-0000-0700-000040010000}">
      <text>
        <r>
          <rPr>
            <b/>
            <sz val="8"/>
            <color indexed="81"/>
            <rFont val="Tahoma"/>
            <family val="2"/>
          </rPr>
          <t>Martin Shkreli:</t>
        </r>
        <r>
          <rPr>
            <sz val="8"/>
            <color indexed="81"/>
            <rFont val="Tahoma"/>
            <family val="2"/>
          </rPr>
          <t xml:space="preserve">
6321 bear</t>
        </r>
      </text>
    </comment>
    <comment ref="EC54"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5" authorId="1" shapeId="0" xr:uid="{00000000-0006-0000-0700-000042010000}">
      <text>
        <r>
          <rPr>
            <b/>
            <sz val="8"/>
            <color indexed="81"/>
            <rFont val="Tahoma"/>
            <family val="2"/>
          </rPr>
          <t>Martin Shkreli:</t>
        </r>
        <r>
          <rPr>
            <sz val="8"/>
            <color indexed="81"/>
            <rFont val="Tahoma"/>
            <family val="2"/>
          </rPr>
          <t xml:space="preserve">
6859? jpm</t>
        </r>
      </text>
    </comment>
    <comment ref="L55" authorId="1" shapeId="0" xr:uid="{00000000-0006-0000-0700-000043010000}">
      <text>
        <r>
          <rPr>
            <b/>
            <sz val="8"/>
            <color indexed="81"/>
            <rFont val="Tahoma"/>
            <family val="2"/>
          </rPr>
          <t>Martin Shkreli:</t>
        </r>
        <r>
          <rPr>
            <sz val="8"/>
            <color indexed="81"/>
            <rFont val="Tahoma"/>
            <family val="2"/>
          </rPr>
          <t xml:space="preserve">
7099 jpm</t>
        </r>
      </text>
    </comment>
    <comment ref="M55" authorId="1" shapeId="0" xr:uid="{00000000-0006-0000-0700-000044010000}">
      <text>
        <r>
          <rPr>
            <b/>
            <sz val="8"/>
            <color indexed="81"/>
            <rFont val="Tahoma"/>
            <family val="2"/>
          </rPr>
          <t>Martin Shkreli:</t>
        </r>
        <r>
          <rPr>
            <sz val="8"/>
            <color indexed="81"/>
            <rFont val="Tahoma"/>
            <family val="2"/>
          </rPr>
          <t xml:space="preserve">
7085 jpm</t>
        </r>
      </text>
    </comment>
    <comment ref="N55" authorId="1" shapeId="0" xr:uid="{00000000-0006-0000-0700-000045010000}">
      <text>
        <r>
          <rPr>
            <b/>
            <sz val="8"/>
            <color indexed="81"/>
            <rFont val="Tahoma"/>
            <family val="2"/>
          </rPr>
          <t>Martin Shkreli:</t>
        </r>
        <r>
          <rPr>
            <sz val="8"/>
            <color indexed="81"/>
            <rFont val="Tahoma"/>
            <family val="2"/>
          </rPr>
          <t xml:space="preserve">
6964 jpm</t>
        </r>
      </text>
    </comment>
    <comment ref="O55" authorId="1" shapeId="0" xr:uid="{00000000-0006-0000-0700-000046010000}">
      <text>
        <r>
          <rPr>
            <b/>
            <sz val="8"/>
            <color indexed="81"/>
            <rFont val="Tahoma"/>
            <family val="2"/>
          </rPr>
          <t>Martin Shkreli:</t>
        </r>
        <r>
          <rPr>
            <sz val="8"/>
            <color indexed="81"/>
            <rFont val="Tahoma"/>
            <family val="2"/>
          </rPr>
          <t xml:space="preserve">
7440 jpm
7440 bear</t>
        </r>
      </text>
    </comment>
    <comment ref="P55" authorId="1" shapeId="0" xr:uid="{00000000-0006-0000-0700-000047010000}">
      <text>
        <r>
          <rPr>
            <b/>
            <sz val="8"/>
            <color indexed="81"/>
            <rFont val="Tahoma"/>
            <family val="2"/>
          </rPr>
          <t>Martin Shkreli:</t>
        </r>
        <r>
          <rPr>
            <sz val="8"/>
            <color indexed="81"/>
            <rFont val="Tahoma"/>
            <family val="2"/>
          </rPr>
          <t xml:space="preserve">
7670 jpm
7670 bear</t>
        </r>
      </text>
    </comment>
    <comment ref="Q55" authorId="1" shapeId="0" xr:uid="{00000000-0006-0000-0700-000048010000}">
      <text>
        <r>
          <rPr>
            <b/>
            <sz val="8"/>
            <color indexed="81"/>
            <rFont val="Tahoma"/>
            <family val="2"/>
          </rPr>
          <t>Martin Shkreli:</t>
        </r>
        <r>
          <rPr>
            <sz val="8"/>
            <color indexed="81"/>
            <rFont val="Tahoma"/>
            <family val="2"/>
          </rPr>
          <t xml:space="preserve">
7438 jpm
7438 bear</t>
        </r>
      </text>
    </comment>
    <comment ref="R55" authorId="1" shapeId="0" xr:uid="{00000000-0006-0000-0700-000049010000}">
      <text>
        <r>
          <rPr>
            <b/>
            <sz val="8"/>
            <color indexed="81"/>
            <rFont val="Tahoma"/>
            <family val="2"/>
          </rPr>
          <t>Martin Shkreli:</t>
        </r>
        <r>
          <rPr>
            <sz val="8"/>
            <color indexed="81"/>
            <rFont val="Tahoma"/>
            <family val="2"/>
          </rPr>
          <t xml:space="preserve">
7298 jpm
7298 bear</t>
        </r>
      </text>
    </comment>
    <comment ref="S55"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5"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5"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5"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5" authorId="1" shapeId="0" xr:uid="{00000000-0006-0000-0700-00004E010000}">
      <text>
        <r>
          <rPr>
            <b/>
            <sz val="8"/>
            <color indexed="81"/>
            <rFont val="Tahoma"/>
            <family val="2"/>
          </rPr>
          <t>Martin Shkreli:</t>
        </r>
        <r>
          <rPr>
            <sz val="8"/>
            <color indexed="81"/>
            <rFont val="Tahoma"/>
            <family val="2"/>
          </rPr>
          <t xml:space="preserve">
Inventory +80m
FX -365m</t>
        </r>
      </text>
    </comment>
    <comment ref="AB55"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5"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5" authorId="1" shapeId="0" xr:uid="{00000000-0006-0000-0700-000051010000}">
      <text>
        <r>
          <rPr>
            <b/>
            <sz val="8"/>
            <color indexed="81"/>
            <rFont val="Tahoma"/>
            <family val="2"/>
          </rPr>
          <t>Martin Shkreli:</t>
        </r>
        <r>
          <rPr>
            <sz val="8"/>
            <color indexed="81"/>
            <rFont val="Tahoma"/>
            <family val="2"/>
          </rPr>
          <t xml:space="preserve">
11254 JPM
FX -525</t>
        </r>
      </text>
    </comment>
    <comment ref="AL55"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5" authorId="2" shapeId="0" xr:uid="{00000000-0006-0000-0700-000053010000}">
      <text>
        <r>
          <rPr>
            <b/>
            <sz val="8"/>
            <color indexed="8"/>
            <rFont val="Times New Roman"/>
            <family val="1"/>
          </rPr>
          <t xml:space="preserve">Martin Shkreli:
</t>
        </r>
        <r>
          <rPr>
            <sz val="8"/>
            <color indexed="8"/>
            <rFont val="Times New Roman"/>
            <family val="1"/>
          </rPr>
          <t>10-11%</t>
        </r>
      </text>
    </comment>
    <comment ref="AZ55" authorId="1" shapeId="0" xr:uid="{00000000-0006-0000-0700-000054010000}">
      <text>
        <r>
          <rPr>
            <b/>
            <sz val="8"/>
            <color indexed="81"/>
            <rFont val="Tahoma"/>
            <family val="2"/>
          </rPr>
          <t>Martin Shkreli:</t>
        </r>
        <r>
          <rPr>
            <sz val="8"/>
            <color indexed="81"/>
            <rFont val="Tahoma"/>
            <family val="2"/>
          </rPr>
          <t xml:space="preserve">
7/4: 14.980bn consensus</t>
        </r>
      </text>
    </comment>
    <comment ref="BC55" authorId="0" shapeId="0" xr:uid="{00000000-0006-0000-0700-000055010000}">
      <text>
        <r>
          <rPr>
            <b/>
            <sz val="9"/>
            <color indexed="81"/>
            <rFont val="Tahoma"/>
            <family val="2"/>
          </rPr>
          <t>MSMB - Andre:</t>
        </r>
        <r>
          <rPr>
            <sz val="9"/>
            <color indexed="81"/>
            <rFont val="Tahoma"/>
            <family val="2"/>
          </rPr>
          <t xml:space="preserve">
60m impact from reform</t>
        </r>
      </text>
    </comment>
    <comment ref="BD55"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DI55" authorId="1" shapeId="0" xr:uid="{00000000-0006-0000-0700-000057010000}">
      <text>
        <r>
          <rPr>
            <b/>
            <sz val="8"/>
            <color indexed="81"/>
            <rFont val="Tahoma"/>
            <family val="2"/>
          </rPr>
          <t>Martin Shkreli:</t>
        </r>
        <r>
          <rPr>
            <sz val="8"/>
            <color indexed="81"/>
            <rFont val="Tahoma"/>
            <family val="2"/>
          </rPr>
          <t xml:space="preserve">
11331 bear</t>
        </r>
      </text>
    </comment>
    <comment ref="DJ55" authorId="1" shapeId="0" xr:uid="{00000000-0006-0000-0700-000058010000}">
      <text>
        <r>
          <rPr>
            <b/>
            <sz val="8"/>
            <color indexed="81"/>
            <rFont val="Tahoma"/>
            <family val="2"/>
          </rPr>
          <t>Martin Shkreli:</t>
        </r>
        <r>
          <rPr>
            <sz val="8"/>
            <color indexed="81"/>
            <rFont val="Tahoma"/>
            <family val="2"/>
          </rPr>
          <t xml:space="preserve">
12571 bear</t>
        </r>
      </text>
    </comment>
    <comment ref="DK55" authorId="1" shapeId="0" xr:uid="{00000000-0006-0000-0700-000059010000}">
      <text>
        <r>
          <rPr>
            <b/>
            <sz val="8"/>
            <color indexed="81"/>
            <rFont val="Tahoma"/>
            <family val="2"/>
          </rPr>
          <t>Martin Shkreli:</t>
        </r>
        <r>
          <rPr>
            <sz val="8"/>
            <color indexed="81"/>
            <rFont val="Tahoma"/>
            <family val="2"/>
          </rPr>
          <t xml:space="preserve">
13985 bear</t>
        </r>
      </text>
    </comment>
    <comment ref="DL55" authorId="1" shapeId="0" xr:uid="{00000000-0006-0000-0700-00005A010000}">
      <text>
        <r>
          <rPr>
            <b/>
            <sz val="8"/>
            <color indexed="81"/>
            <rFont val="Tahoma"/>
            <family val="2"/>
          </rPr>
          <t>Martin Shkreli:</t>
        </r>
        <r>
          <rPr>
            <sz val="8"/>
            <color indexed="81"/>
            <rFont val="Tahoma"/>
            <family val="2"/>
          </rPr>
          <t xml:space="preserve">
14302 bear</t>
        </r>
      </text>
    </comment>
    <comment ref="DM55" authorId="1" shapeId="0" xr:uid="{00000000-0006-0000-0700-00005B010000}">
      <text>
        <r>
          <rPr>
            <b/>
            <sz val="8"/>
            <color indexed="81"/>
            <rFont val="Tahoma"/>
            <family val="2"/>
          </rPr>
          <t>Martin Shkreli:</t>
        </r>
        <r>
          <rPr>
            <sz val="8"/>
            <color indexed="81"/>
            <rFont val="Tahoma"/>
            <family val="2"/>
          </rPr>
          <t xml:space="preserve">
15916 bear</t>
        </r>
      </text>
    </comment>
    <comment ref="DN55" authorId="1" shapeId="0" xr:uid="{00000000-0006-0000-0700-00005C010000}">
      <text>
        <r>
          <rPr>
            <b/>
            <sz val="8"/>
            <color indexed="81"/>
            <rFont val="Tahoma"/>
            <family val="2"/>
          </rPr>
          <t>Martin Shkreli:</t>
        </r>
        <r>
          <rPr>
            <sz val="8"/>
            <color indexed="81"/>
            <rFont val="Tahoma"/>
            <family val="2"/>
          </rPr>
          <t xml:space="preserve">
19068 bear</t>
        </r>
      </text>
    </comment>
    <comment ref="DO55" authorId="1" shapeId="0" xr:uid="{00000000-0006-0000-0700-00005D010000}">
      <text>
        <r>
          <rPr>
            <b/>
            <sz val="8"/>
            <color indexed="81"/>
            <rFont val="Tahoma"/>
            <family val="2"/>
          </rPr>
          <t>Martin Shkreli:</t>
        </r>
        <r>
          <rPr>
            <sz val="8"/>
            <color indexed="81"/>
            <rFont val="Tahoma"/>
            <family val="2"/>
          </rPr>
          <t xml:space="preserve">
21984 bear</t>
        </r>
      </text>
    </comment>
    <comment ref="DP55" authorId="1" shapeId="0" xr:uid="{00000000-0006-0000-0700-00005E010000}">
      <text>
        <r>
          <rPr>
            <b/>
            <sz val="8"/>
            <color indexed="81"/>
            <rFont val="Tahoma"/>
            <family val="2"/>
          </rPr>
          <t>Martin Shkreli:</t>
        </r>
        <r>
          <rPr>
            <sz val="8"/>
            <color indexed="81"/>
            <rFont val="Tahoma"/>
            <family val="2"/>
          </rPr>
          <t xml:space="preserve">
23118 bear</t>
        </r>
      </text>
    </comment>
    <comment ref="DQ55" authorId="1" shapeId="0" xr:uid="{00000000-0006-0000-0700-00005F010000}">
      <text>
        <r>
          <rPr>
            <b/>
            <sz val="8"/>
            <color indexed="81"/>
            <rFont val="Tahoma"/>
            <family val="2"/>
          </rPr>
          <t>Martin Shkreli:</t>
        </r>
        <r>
          <rPr>
            <sz val="8"/>
            <color indexed="81"/>
            <rFont val="Tahoma"/>
            <family val="2"/>
          </rPr>
          <t xml:space="preserve">
24398 bear</t>
        </r>
      </text>
    </comment>
    <comment ref="DR55"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5"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5" authorId="1" shapeId="0" xr:uid="{00000000-0006-0000-0700-000062010000}">
      <text>
        <r>
          <rPr>
            <b/>
            <sz val="8"/>
            <color indexed="81"/>
            <rFont val="Tahoma"/>
            <family val="2"/>
          </rPr>
          <t>Martin Shkreli:</t>
        </r>
        <r>
          <rPr>
            <sz val="8"/>
            <color indexed="81"/>
            <rFont val="Tahoma"/>
            <family val="2"/>
          </rPr>
          <t xml:space="preserve">
32318 bear
</t>
        </r>
      </text>
    </comment>
    <comment ref="DY55" authorId="2" shapeId="0" xr:uid="{00000000-0006-0000-0700-000063010000}">
      <text>
        <r>
          <rPr>
            <b/>
            <sz val="8"/>
            <color indexed="8"/>
            <rFont val="Times New Roman"/>
            <family val="1"/>
          </rPr>
          <t xml:space="preserve">Bloomberg:
</t>
        </r>
        <r>
          <rPr>
            <sz val="8"/>
            <color indexed="8"/>
            <rFont val="Times New Roman"/>
            <family val="1"/>
          </rPr>
          <t>was 52.887</t>
        </r>
      </text>
    </comment>
    <comment ref="DZ55"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5" authorId="2" shapeId="0" xr:uid="{00000000-0006-0000-0700-000065010000}">
      <text>
        <r>
          <rPr>
            <sz val="8"/>
            <color indexed="8"/>
            <rFont val="Times New Roman"/>
            <family val="1"/>
          </rPr>
          <t>Estimate was 62.604
Official result was 63.747b</t>
        </r>
      </text>
    </comment>
    <comment ref="EB55"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5"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6" authorId="1" shapeId="0" xr:uid="{00000000-0006-0000-0700-000068010000}">
      <text>
        <r>
          <rPr>
            <b/>
            <sz val="8"/>
            <color indexed="81"/>
            <rFont val="Tahoma"/>
            <family val="2"/>
          </rPr>
          <t>Martin Shkreli:</t>
        </r>
        <r>
          <rPr>
            <sz val="8"/>
            <color indexed="81"/>
            <rFont val="Tahoma"/>
            <family val="2"/>
          </rPr>
          <t xml:space="preserve">
2080? jpm</t>
        </r>
      </text>
    </comment>
    <comment ref="L56" authorId="1" shapeId="0" xr:uid="{00000000-0006-0000-0700-000069010000}">
      <text>
        <r>
          <rPr>
            <b/>
            <sz val="8"/>
            <color indexed="81"/>
            <rFont val="Tahoma"/>
            <family val="2"/>
          </rPr>
          <t>Martin Shkreli:</t>
        </r>
        <r>
          <rPr>
            <sz val="8"/>
            <color indexed="81"/>
            <rFont val="Tahoma"/>
            <family val="2"/>
          </rPr>
          <t xml:space="preserve">
2135 jpm</t>
        </r>
      </text>
    </comment>
    <comment ref="M56" authorId="1" shapeId="0" xr:uid="{00000000-0006-0000-0700-00006A010000}">
      <text>
        <r>
          <rPr>
            <b/>
            <sz val="8"/>
            <color indexed="81"/>
            <rFont val="Tahoma"/>
            <family val="2"/>
          </rPr>
          <t>Martin Shkreli:</t>
        </r>
        <r>
          <rPr>
            <sz val="8"/>
            <color indexed="81"/>
            <rFont val="Tahoma"/>
            <family val="2"/>
          </rPr>
          <t xml:space="preserve">
2087 jpm</t>
        </r>
      </text>
    </comment>
    <comment ref="N56" authorId="1" shapeId="0" xr:uid="{00000000-0006-0000-0700-00006B010000}">
      <text>
        <r>
          <rPr>
            <b/>
            <sz val="8"/>
            <color indexed="81"/>
            <rFont val="Tahoma"/>
            <family val="2"/>
          </rPr>
          <t>Martin Shkreli:</t>
        </r>
        <r>
          <rPr>
            <sz val="8"/>
            <color indexed="81"/>
            <rFont val="Tahoma"/>
            <family val="2"/>
          </rPr>
          <t xml:space="preserve">
2196 jpm</t>
        </r>
      </text>
    </comment>
    <comment ref="O56" authorId="1" shapeId="0" xr:uid="{00000000-0006-0000-0700-00006C010000}">
      <text>
        <r>
          <rPr>
            <b/>
            <sz val="8"/>
            <color indexed="81"/>
            <rFont val="Tahoma"/>
            <family val="2"/>
          </rPr>
          <t>Martin Shkreli:</t>
        </r>
        <r>
          <rPr>
            <sz val="8"/>
            <color indexed="81"/>
            <rFont val="Tahoma"/>
            <family val="2"/>
          </rPr>
          <t xml:space="preserve">
2242 jpm
2242 bear</t>
        </r>
      </text>
    </comment>
    <comment ref="P56" authorId="1" shapeId="0" xr:uid="{00000000-0006-0000-0700-00006D010000}">
      <text>
        <r>
          <rPr>
            <b/>
            <sz val="8"/>
            <color indexed="81"/>
            <rFont val="Tahoma"/>
            <family val="2"/>
          </rPr>
          <t>Martin Shkreli:</t>
        </r>
        <r>
          <rPr>
            <sz val="8"/>
            <color indexed="81"/>
            <rFont val="Tahoma"/>
            <family val="2"/>
          </rPr>
          <t xml:space="preserve">
2261 jpm
2261 bear</t>
        </r>
      </text>
    </comment>
    <comment ref="Q56" authorId="1" shapeId="0" xr:uid="{00000000-0006-0000-0700-00006E010000}">
      <text>
        <r>
          <rPr>
            <b/>
            <sz val="8"/>
            <color indexed="81"/>
            <rFont val="Tahoma"/>
            <family val="2"/>
          </rPr>
          <t>Martin Shkreli:</t>
        </r>
        <r>
          <rPr>
            <sz val="8"/>
            <color indexed="81"/>
            <rFont val="Tahoma"/>
            <family val="2"/>
          </rPr>
          <t xml:space="preserve">
2191 jpm
2191 bear</t>
        </r>
      </text>
    </comment>
    <comment ref="R56" authorId="1" shapeId="0" xr:uid="{00000000-0006-0000-0700-00006F010000}">
      <text>
        <r>
          <rPr>
            <b/>
            <sz val="8"/>
            <color indexed="81"/>
            <rFont val="Tahoma"/>
            <family val="2"/>
          </rPr>
          <t>Martin Shkreli:</t>
        </r>
        <r>
          <rPr>
            <sz val="8"/>
            <color indexed="81"/>
            <rFont val="Tahoma"/>
            <family val="2"/>
          </rPr>
          <t xml:space="preserve">
2214 jpm
2214 bear</t>
        </r>
      </text>
    </comment>
    <comment ref="S56" authorId="1" shapeId="0" xr:uid="{00000000-0006-0000-0700-000070010000}">
      <text>
        <r>
          <rPr>
            <b/>
            <sz val="8"/>
            <color indexed="81"/>
            <rFont val="Tahoma"/>
            <family val="2"/>
          </rPr>
          <t>Martin Shkreli:</t>
        </r>
        <r>
          <rPr>
            <sz val="8"/>
            <color indexed="81"/>
            <rFont val="Tahoma"/>
            <family val="2"/>
          </rPr>
          <t xml:space="preserve">
2311 bear
2311 jpm</t>
        </r>
      </text>
    </comment>
    <comment ref="T56" authorId="1" shapeId="0" xr:uid="{00000000-0006-0000-0700-000071010000}">
      <text>
        <r>
          <rPr>
            <b/>
            <sz val="8"/>
            <color indexed="81"/>
            <rFont val="Tahoma"/>
            <family val="2"/>
          </rPr>
          <t>Martin Shkreli:</t>
        </r>
        <r>
          <rPr>
            <sz val="8"/>
            <color indexed="81"/>
            <rFont val="Tahoma"/>
            <family val="2"/>
          </rPr>
          <t xml:space="preserve">
2372 bear</t>
        </r>
      </text>
    </comment>
    <comment ref="U56" authorId="1" shapeId="0" xr:uid="{00000000-0006-0000-0700-000072010000}">
      <text>
        <r>
          <rPr>
            <b/>
            <sz val="8"/>
            <color indexed="81"/>
            <rFont val="Tahoma"/>
            <family val="2"/>
          </rPr>
          <t>Martin Shkreli:</t>
        </r>
        <r>
          <rPr>
            <sz val="8"/>
            <color indexed="81"/>
            <rFont val="Tahoma"/>
            <family val="2"/>
          </rPr>
          <t xml:space="preserve">
2396 bear</t>
        </r>
      </text>
    </comment>
    <comment ref="V56" authorId="1" shapeId="0" xr:uid="{00000000-0006-0000-0700-000073010000}">
      <text>
        <r>
          <rPr>
            <b/>
            <sz val="8"/>
            <color indexed="81"/>
            <rFont val="Tahoma"/>
            <family val="2"/>
          </rPr>
          <t>Martin Shkreli:</t>
        </r>
        <r>
          <rPr>
            <sz val="8"/>
            <color indexed="81"/>
            <rFont val="Tahoma"/>
            <family val="2"/>
          </rPr>
          <t xml:space="preserve">
2502 bear</t>
        </r>
      </text>
    </comment>
    <comment ref="AI56" authorId="1" shapeId="0" xr:uid="{00000000-0006-0000-0700-000074010000}">
      <text>
        <r>
          <rPr>
            <b/>
            <sz val="8"/>
            <color indexed="81"/>
            <rFont val="Tahoma"/>
            <family val="2"/>
          </rPr>
          <t>Martin Shkreli:</t>
        </r>
        <r>
          <rPr>
            <sz val="8"/>
            <color indexed="81"/>
            <rFont val="Tahoma"/>
            <family val="2"/>
          </rPr>
          <t xml:space="preserve">
3482 bear</t>
        </r>
      </text>
    </comment>
    <comment ref="AJ56" authorId="1" shapeId="0" xr:uid="{00000000-0006-0000-0700-000075010000}">
      <text>
        <r>
          <rPr>
            <b/>
            <sz val="8"/>
            <color indexed="81"/>
            <rFont val="Tahoma"/>
            <family val="2"/>
          </rPr>
          <t>Martin Shkreli:</t>
        </r>
        <r>
          <rPr>
            <sz val="8"/>
            <color indexed="81"/>
            <rFont val="Tahoma"/>
            <family val="2"/>
          </rPr>
          <t xml:space="preserve">
3508 bear</t>
        </r>
      </text>
    </comment>
    <comment ref="AK56" authorId="1" shapeId="0" xr:uid="{00000000-0006-0000-0700-000076010000}">
      <text>
        <r>
          <rPr>
            <b/>
            <sz val="8"/>
            <color indexed="81"/>
            <rFont val="Tahoma"/>
            <family val="2"/>
          </rPr>
          <t>Martin Shkreli:</t>
        </r>
        <r>
          <rPr>
            <sz val="8"/>
            <color indexed="81"/>
            <rFont val="Tahoma"/>
            <family val="2"/>
          </rPr>
          <t xml:space="preserve">
3340 bear</t>
        </r>
      </text>
    </comment>
    <comment ref="AL56" authorId="1" shapeId="0" xr:uid="{00000000-0006-0000-0700-000077010000}">
      <text>
        <r>
          <rPr>
            <b/>
            <sz val="8"/>
            <color indexed="81"/>
            <rFont val="Tahoma"/>
            <family val="2"/>
          </rPr>
          <t>Martin Shkreli:</t>
        </r>
        <r>
          <rPr>
            <sz val="8"/>
            <color indexed="81"/>
            <rFont val="Tahoma"/>
            <family val="2"/>
          </rPr>
          <t xml:space="preserve">
3624 bear</t>
        </r>
      </text>
    </comment>
    <comment ref="DI56" authorId="1" shapeId="0" xr:uid="{00000000-0006-0000-0700-000078010000}">
      <text>
        <r>
          <rPr>
            <b/>
            <sz val="8"/>
            <color indexed="81"/>
            <rFont val="Tahoma"/>
            <family val="2"/>
          </rPr>
          <t>Martin Shkreli:</t>
        </r>
        <r>
          <rPr>
            <sz val="8"/>
            <color indexed="81"/>
            <rFont val="Tahoma"/>
            <family val="2"/>
          </rPr>
          <t xml:space="preserve">
3957 bear</t>
        </r>
      </text>
    </comment>
    <comment ref="DJ56" authorId="1" shapeId="0" xr:uid="{00000000-0006-0000-0700-000079010000}">
      <text>
        <r>
          <rPr>
            <b/>
            <sz val="8"/>
            <color indexed="81"/>
            <rFont val="Tahoma"/>
            <family val="2"/>
          </rPr>
          <t>Martin Shkreli:</t>
        </r>
        <r>
          <rPr>
            <sz val="8"/>
            <color indexed="81"/>
            <rFont val="Tahoma"/>
            <family val="2"/>
          </rPr>
          <t xml:space="preserve">
4248 bear</t>
        </r>
      </text>
    </comment>
    <comment ref="DK56" authorId="1" shapeId="0" xr:uid="{00000000-0006-0000-0700-00007A010000}">
      <text>
        <r>
          <rPr>
            <b/>
            <sz val="8"/>
            <color indexed="81"/>
            <rFont val="Tahoma"/>
            <family val="2"/>
          </rPr>
          <t>Martin Shkreli:</t>
        </r>
        <r>
          <rPr>
            <sz val="8"/>
            <color indexed="81"/>
            <rFont val="Tahoma"/>
            <family val="2"/>
          </rPr>
          <t xml:space="preserve">
4748 bear</t>
        </r>
      </text>
    </comment>
    <comment ref="DL56" authorId="1" shapeId="0" xr:uid="{00000000-0006-0000-0700-00007B010000}">
      <text>
        <r>
          <rPr>
            <b/>
            <sz val="8"/>
            <color indexed="81"/>
            <rFont val="Tahoma"/>
            <family val="2"/>
          </rPr>
          <t>Martin Shkreli:</t>
        </r>
        <r>
          <rPr>
            <sz val="8"/>
            <color indexed="81"/>
            <rFont val="Tahoma"/>
            <family val="2"/>
          </rPr>
          <t xml:space="preserve">
4869 bear</t>
        </r>
      </text>
    </comment>
    <comment ref="DM56" authorId="1" shapeId="0" xr:uid="{00000000-0006-0000-0700-00007C010000}">
      <text>
        <r>
          <rPr>
            <b/>
            <sz val="8"/>
            <color indexed="81"/>
            <rFont val="Tahoma"/>
            <family val="2"/>
          </rPr>
          <t>Martin Shkreli:</t>
        </r>
        <r>
          <rPr>
            <sz val="8"/>
            <color indexed="81"/>
            <rFont val="Tahoma"/>
            <family val="2"/>
          </rPr>
          <t xml:space="preserve">
5350 bear</t>
        </r>
      </text>
    </comment>
    <comment ref="DN56" authorId="1" shapeId="0" xr:uid="{00000000-0006-0000-0700-00007D010000}">
      <text>
        <r>
          <rPr>
            <b/>
            <sz val="8"/>
            <color indexed="81"/>
            <rFont val="Tahoma"/>
            <family val="2"/>
          </rPr>
          <t>Martin Shkreli:</t>
        </r>
        <r>
          <rPr>
            <sz val="8"/>
            <color indexed="81"/>
            <rFont val="Tahoma"/>
            <family val="2"/>
          </rPr>
          <t xml:space="preserve">
6303 bear</t>
        </r>
      </text>
    </comment>
    <comment ref="DO56" authorId="1" shapeId="0" xr:uid="{00000000-0006-0000-0700-00007E010000}">
      <text>
        <r>
          <rPr>
            <b/>
            <sz val="8"/>
            <color indexed="81"/>
            <rFont val="Tahoma"/>
            <family val="2"/>
          </rPr>
          <t>Martin Shkreli:</t>
        </r>
        <r>
          <rPr>
            <sz val="8"/>
            <color indexed="81"/>
            <rFont val="Tahoma"/>
            <family val="2"/>
          </rPr>
          <t xml:space="preserve">
7130 bear</t>
        </r>
      </text>
    </comment>
    <comment ref="DP56" authorId="1" shapeId="0" xr:uid="{00000000-0006-0000-0700-00007F010000}">
      <text>
        <r>
          <rPr>
            <b/>
            <sz val="8"/>
            <color indexed="81"/>
            <rFont val="Tahoma"/>
            <family val="2"/>
          </rPr>
          <t>Martin Shkreli:</t>
        </r>
        <r>
          <rPr>
            <sz val="8"/>
            <color indexed="81"/>
            <rFont val="Tahoma"/>
            <family val="2"/>
          </rPr>
          <t xml:space="preserve">
7291 bear</t>
        </r>
      </text>
    </comment>
    <comment ref="DQ56" authorId="1" shapeId="0" xr:uid="{00000000-0006-0000-0700-000080010000}">
      <text>
        <r>
          <rPr>
            <b/>
            <sz val="8"/>
            <color indexed="81"/>
            <rFont val="Tahoma"/>
            <family val="2"/>
          </rPr>
          <t>Martin Shkreli:</t>
        </r>
        <r>
          <rPr>
            <sz val="8"/>
            <color indexed="81"/>
            <rFont val="Tahoma"/>
            <family val="2"/>
          </rPr>
          <t xml:space="preserve">
7646 bear</t>
        </r>
      </text>
    </comment>
    <comment ref="DR56" authorId="1" shapeId="0" xr:uid="{00000000-0006-0000-0700-000081010000}">
      <text>
        <r>
          <rPr>
            <b/>
            <sz val="8"/>
            <color indexed="81"/>
            <rFont val="Tahoma"/>
            <family val="2"/>
          </rPr>
          <t>Martin Shkreli:</t>
        </r>
        <r>
          <rPr>
            <sz val="8"/>
            <color indexed="81"/>
            <rFont val="Tahoma"/>
            <family val="2"/>
          </rPr>
          <t xml:space="preserve">
8498 jpm
8498 bear</t>
        </r>
      </text>
    </comment>
    <comment ref="DS56" authorId="1" shapeId="0" xr:uid="{00000000-0006-0000-0700-000082010000}">
      <text>
        <r>
          <rPr>
            <b/>
            <sz val="8"/>
            <color indexed="81"/>
            <rFont val="Tahoma"/>
            <family val="2"/>
          </rPr>
          <t>Martin Shkreli:</t>
        </r>
        <r>
          <rPr>
            <sz val="8"/>
            <color indexed="81"/>
            <rFont val="Tahoma"/>
            <family val="2"/>
          </rPr>
          <t xml:space="preserve">
8908 jpm
8908 bear</t>
        </r>
      </text>
    </comment>
    <comment ref="DT56" authorId="1" shapeId="0" xr:uid="{00000000-0006-0000-0700-000083010000}">
      <text>
        <r>
          <rPr>
            <b/>
            <sz val="8"/>
            <color indexed="81"/>
            <rFont val="Tahoma"/>
            <family val="2"/>
          </rPr>
          <t>Martin Shkreli:</t>
        </r>
        <r>
          <rPr>
            <sz val="8"/>
            <color indexed="81"/>
            <rFont val="Tahoma"/>
            <family val="2"/>
          </rPr>
          <t xml:space="preserve">
9581 bear</t>
        </r>
      </text>
    </comment>
    <comment ref="K57" authorId="1" shapeId="0" xr:uid="{00000000-0006-0000-0700-000084010000}">
      <text>
        <r>
          <rPr>
            <b/>
            <sz val="8"/>
            <color indexed="81"/>
            <rFont val="Tahoma"/>
            <family val="2"/>
          </rPr>
          <t>Martin Shkreli:</t>
        </r>
        <r>
          <rPr>
            <sz val="8"/>
            <color indexed="81"/>
            <rFont val="Tahoma"/>
            <family val="2"/>
          </rPr>
          <t xml:space="preserve">
4779 jpm?</t>
        </r>
      </text>
    </comment>
    <comment ref="L57" authorId="1" shapeId="0" xr:uid="{00000000-0006-0000-0700-000085010000}">
      <text>
        <r>
          <rPr>
            <b/>
            <sz val="8"/>
            <color indexed="81"/>
            <rFont val="Tahoma"/>
            <family val="2"/>
          </rPr>
          <t>Martin Shkreli:</t>
        </r>
        <r>
          <rPr>
            <sz val="8"/>
            <color indexed="81"/>
            <rFont val="Tahoma"/>
            <family val="2"/>
          </rPr>
          <t xml:space="preserve">
4964 jpm</t>
        </r>
      </text>
    </comment>
    <comment ref="M57" authorId="1" shapeId="0" xr:uid="{00000000-0006-0000-0700-000086010000}">
      <text>
        <r>
          <rPr>
            <b/>
            <sz val="8"/>
            <color indexed="81"/>
            <rFont val="Tahoma"/>
            <family val="2"/>
          </rPr>
          <t>Martin Shkreli:</t>
        </r>
        <r>
          <rPr>
            <sz val="8"/>
            <color indexed="81"/>
            <rFont val="Tahoma"/>
            <family val="2"/>
          </rPr>
          <t xml:space="preserve">
4998 jp</t>
        </r>
      </text>
    </comment>
    <comment ref="N57" authorId="1" shapeId="0" xr:uid="{00000000-0006-0000-0700-000087010000}">
      <text>
        <r>
          <rPr>
            <b/>
            <sz val="8"/>
            <color indexed="81"/>
            <rFont val="Tahoma"/>
            <family val="2"/>
          </rPr>
          <t>Martin Shkreli:</t>
        </r>
        <r>
          <rPr>
            <sz val="8"/>
            <color indexed="81"/>
            <rFont val="Tahoma"/>
            <family val="2"/>
          </rPr>
          <t xml:space="preserve">
4768 jpm</t>
        </r>
      </text>
    </comment>
    <comment ref="O57" authorId="1" shapeId="0" xr:uid="{00000000-0006-0000-0700-000088010000}">
      <text>
        <r>
          <rPr>
            <b/>
            <sz val="8"/>
            <color indexed="81"/>
            <rFont val="Tahoma"/>
            <family val="2"/>
          </rPr>
          <t>Martin Shkreli:</t>
        </r>
        <r>
          <rPr>
            <sz val="8"/>
            <color indexed="81"/>
            <rFont val="Tahoma"/>
            <family val="2"/>
          </rPr>
          <t xml:space="preserve">
5198 jpm
5198 bear</t>
        </r>
      </text>
    </comment>
    <comment ref="P57" authorId="1" shapeId="0" xr:uid="{00000000-0006-0000-0700-000089010000}">
      <text>
        <r>
          <rPr>
            <b/>
            <sz val="8"/>
            <color indexed="81"/>
            <rFont val="Tahoma"/>
            <family val="2"/>
          </rPr>
          <t>Martin Shkreli:</t>
        </r>
        <r>
          <rPr>
            <sz val="8"/>
            <color indexed="81"/>
            <rFont val="Tahoma"/>
            <family val="2"/>
          </rPr>
          <t xml:space="preserve">
5409 jpm
5409 bear</t>
        </r>
      </text>
    </comment>
    <comment ref="Q57" authorId="1" shapeId="0" xr:uid="{00000000-0006-0000-0700-00008A010000}">
      <text>
        <r>
          <rPr>
            <b/>
            <sz val="8"/>
            <color indexed="81"/>
            <rFont val="Tahoma"/>
            <family val="2"/>
          </rPr>
          <t>Martin Shkreli:</t>
        </r>
        <r>
          <rPr>
            <sz val="8"/>
            <color indexed="81"/>
            <rFont val="Tahoma"/>
            <family val="2"/>
          </rPr>
          <t xml:space="preserve">
5247 jpm
5247 bear</t>
        </r>
      </text>
    </comment>
    <comment ref="R57" authorId="1" shapeId="0" xr:uid="{00000000-0006-0000-0700-00008B010000}">
      <text>
        <r>
          <rPr>
            <b/>
            <sz val="8"/>
            <color indexed="81"/>
            <rFont val="Tahoma"/>
            <family val="2"/>
          </rPr>
          <t>Martin Shkreli:</t>
        </r>
        <r>
          <rPr>
            <sz val="8"/>
            <color indexed="81"/>
            <rFont val="Tahoma"/>
            <family val="2"/>
          </rPr>
          <t xml:space="preserve">
5084 jpm
5084 bear</t>
        </r>
      </text>
    </comment>
    <comment ref="S57" authorId="1" shapeId="0" xr:uid="{00000000-0006-0000-0700-00008C010000}">
      <text>
        <r>
          <rPr>
            <b/>
            <sz val="8"/>
            <color indexed="81"/>
            <rFont val="Tahoma"/>
            <family val="2"/>
          </rPr>
          <t>Martin Shkreli:</t>
        </r>
        <r>
          <rPr>
            <sz val="8"/>
            <color indexed="81"/>
            <rFont val="Tahoma"/>
            <family val="2"/>
          </rPr>
          <t xml:space="preserve">
5545 bear</t>
        </r>
      </text>
    </comment>
    <comment ref="T57" authorId="1" shapeId="0" xr:uid="{00000000-0006-0000-0700-00008D010000}">
      <text>
        <r>
          <rPr>
            <b/>
            <sz val="8"/>
            <color indexed="81"/>
            <rFont val="Tahoma"/>
            <family val="2"/>
          </rPr>
          <t>Martin Shkreli:</t>
        </r>
        <r>
          <rPr>
            <sz val="8"/>
            <color indexed="81"/>
            <rFont val="Tahoma"/>
            <family val="2"/>
          </rPr>
          <t xml:space="preserve">
5807 bear</t>
        </r>
      </text>
    </comment>
    <comment ref="U57" authorId="1" shapeId="0" xr:uid="{00000000-0006-0000-0700-00008E010000}">
      <text>
        <r>
          <rPr>
            <b/>
            <sz val="8"/>
            <color indexed="81"/>
            <rFont val="Tahoma"/>
            <family val="2"/>
          </rPr>
          <t>Martin Shkreli:</t>
        </r>
        <r>
          <rPr>
            <sz val="8"/>
            <color indexed="81"/>
            <rFont val="Tahoma"/>
            <family val="2"/>
          </rPr>
          <t xml:space="preserve">
5662 bear</t>
        </r>
      </text>
    </comment>
    <comment ref="V57" authorId="1" shapeId="0" xr:uid="{00000000-0006-0000-0700-00008F010000}">
      <text>
        <r>
          <rPr>
            <b/>
            <sz val="8"/>
            <color indexed="81"/>
            <rFont val="Tahoma"/>
            <family val="2"/>
          </rPr>
          <t>Martin Shkreli:</t>
        </r>
        <r>
          <rPr>
            <sz val="8"/>
            <color indexed="81"/>
            <rFont val="Tahoma"/>
            <family val="2"/>
          </rPr>
          <t xml:space="preserve">
5723 bear</t>
        </r>
      </text>
    </comment>
    <comment ref="AI57" authorId="1" shapeId="0" xr:uid="{00000000-0006-0000-0700-000090010000}">
      <text>
        <r>
          <rPr>
            <b/>
            <sz val="8"/>
            <color indexed="81"/>
            <rFont val="Tahoma"/>
            <family val="2"/>
          </rPr>
          <t>Martin Shkreli:</t>
        </r>
        <r>
          <rPr>
            <sz val="8"/>
            <color indexed="81"/>
            <rFont val="Tahoma"/>
            <family val="2"/>
          </rPr>
          <t xml:space="preserve">
9350 bear</t>
        </r>
      </text>
    </comment>
    <comment ref="AJ57" authorId="1" shapeId="0" xr:uid="{00000000-0006-0000-0700-000091010000}">
      <text>
        <r>
          <rPr>
            <b/>
            <sz val="8"/>
            <color indexed="81"/>
            <rFont val="Tahoma"/>
            <family val="2"/>
          </rPr>
          <t>Martin Shkreli:</t>
        </r>
        <r>
          <rPr>
            <sz val="8"/>
            <color indexed="81"/>
            <rFont val="Tahoma"/>
            <family val="2"/>
          </rPr>
          <t xml:space="preserve">
9254 bear</t>
        </r>
      </text>
    </comment>
    <comment ref="AK57" authorId="1" shapeId="0" xr:uid="{00000000-0006-0000-0700-000092010000}">
      <text>
        <r>
          <rPr>
            <b/>
            <sz val="8"/>
            <color indexed="81"/>
            <rFont val="Tahoma"/>
            <family val="2"/>
          </rPr>
          <t>Martin Shkreli:</t>
        </r>
        <r>
          <rPr>
            <sz val="8"/>
            <color indexed="81"/>
            <rFont val="Tahoma"/>
            <family val="2"/>
          </rPr>
          <t xml:space="preserve">
8970 bear</t>
        </r>
      </text>
    </comment>
    <comment ref="AL57" authorId="1" shapeId="0" xr:uid="{00000000-0006-0000-0700-000093010000}">
      <text>
        <r>
          <rPr>
            <b/>
            <sz val="8"/>
            <color indexed="81"/>
            <rFont val="Tahoma"/>
            <family val="2"/>
          </rPr>
          <t>Martin Shkreli:</t>
        </r>
        <r>
          <rPr>
            <sz val="8"/>
            <color indexed="81"/>
            <rFont val="Tahoma"/>
            <family val="2"/>
          </rPr>
          <t xml:space="preserve">
8986 bear</t>
        </r>
      </text>
    </comment>
    <comment ref="DI57" authorId="1" shapeId="0" xr:uid="{00000000-0006-0000-0700-000094010000}">
      <text>
        <r>
          <rPr>
            <b/>
            <sz val="8"/>
            <color indexed="81"/>
            <rFont val="Tahoma"/>
            <family val="2"/>
          </rPr>
          <t>Martin Shkreli:</t>
        </r>
        <r>
          <rPr>
            <sz val="8"/>
            <color indexed="81"/>
            <rFont val="Tahoma"/>
            <family val="2"/>
          </rPr>
          <t xml:space="preserve">
7374 bear</t>
        </r>
      </text>
    </comment>
    <comment ref="DJ57" authorId="1" shapeId="0" xr:uid="{00000000-0006-0000-0700-000095010000}">
      <text>
        <r>
          <rPr>
            <b/>
            <sz val="8"/>
            <color indexed="81"/>
            <rFont val="Tahoma"/>
            <family val="2"/>
          </rPr>
          <t>Martin Shkreli:</t>
        </r>
        <r>
          <rPr>
            <sz val="8"/>
            <color indexed="81"/>
            <rFont val="Tahoma"/>
            <family val="2"/>
          </rPr>
          <t xml:space="preserve">
8323 bear</t>
        </r>
      </text>
    </comment>
    <comment ref="DK57" authorId="1" shapeId="0" xr:uid="{00000000-0006-0000-0700-000096010000}">
      <text>
        <r>
          <rPr>
            <b/>
            <sz val="8"/>
            <color indexed="81"/>
            <rFont val="Tahoma"/>
            <family val="2"/>
          </rPr>
          <t>Martin Shkreli:</t>
        </r>
        <r>
          <rPr>
            <sz val="8"/>
            <color indexed="81"/>
            <rFont val="Tahoma"/>
            <family val="2"/>
          </rPr>
          <t xml:space="preserve">
9237 bear</t>
        </r>
      </text>
    </comment>
    <comment ref="DL57" authorId="1" shapeId="0" xr:uid="{00000000-0006-0000-0700-000097010000}">
      <text>
        <r>
          <rPr>
            <b/>
            <sz val="8"/>
            <color indexed="81"/>
            <rFont val="Tahoma"/>
            <family val="2"/>
          </rPr>
          <t>Martin Shkreli:</t>
        </r>
        <r>
          <rPr>
            <sz val="8"/>
            <color indexed="81"/>
            <rFont val="Tahoma"/>
            <family val="2"/>
          </rPr>
          <t xml:space="preserve">
9433 bear</t>
        </r>
      </text>
    </comment>
    <comment ref="DM57" authorId="1" shapeId="0" xr:uid="{00000000-0006-0000-0700-000098010000}">
      <text>
        <r>
          <rPr>
            <b/>
            <sz val="8"/>
            <color indexed="81"/>
            <rFont val="Tahoma"/>
            <family val="2"/>
          </rPr>
          <t>Martin Shkreli:</t>
        </r>
        <r>
          <rPr>
            <sz val="8"/>
            <color indexed="81"/>
            <rFont val="Tahoma"/>
            <family val="2"/>
          </rPr>
          <t xml:space="preserve">
10566 bear</t>
        </r>
      </text>
    </comment>
    <comment ref="DN57" authorId="1" shapeId="0" xr:uid="{00000000-0006-0000-0700-000099010000}">
      <text>
        <r>
          <rPr>
            <b/>
            <sz val="8"/>
            <color indexed="81"/>
            <rFont val="Tahoma"/>
            <family val="2"/>
          </rPr>
          <t>Martin Shkreli:</t>
        </r>
        <r>
          <rPr>
            <sz val="8"/>
            <color indexed="81"/>
            <rFont val="Tahoma"/>
            <family val="2"/>
          </rPr>
          <t xml:space="preserve">
12765 bear</t>
        </r>
      </text>
    </comment>
    <comment ref="DO57" authorId="1" shapeId="0" xr:uid="{00000000-0006-0000-0700-00009A010000}">
      <text>
        <r>
          <rPr>
            <b/>
            <sz val="8"/>
            <color indexed="81"/>
            <rFont val="Tahoma"/>
            <family val="2"/>
          </rPr>
          <t>Martin Shkreli:</t>
        </r>
        <r>
          <rPr>
            <sz val="8"/>
            <color indexed="81"/>
            <rFont val="Tahoma"/>
            <family val="2"/>
          </rPr>
          <t xml:space="preserve">
14854 bear</t>
        </r>
      </text>
    </comment>
    <comment ref="DP57" authorId="1" shapeId="0" xr:uid="{00000000-0006-0000-0700-00009B010000}">
      <text>
        <r>
          <rPr>
            <b/>
            <sz val="8"/>
            <color indexed="81"/>
            <rFont val="Tahoma"/>
            <family val="2"/>
          </rPr>
          <t>Martin Shkreli:</t>
        </r>
        <r>
          <rPr>
            <sz val="8"/>
            <color indexed="81"/>
            <rFont val="Tahoma"/>
            <family val="2"/>
          </rPr>
          <t xml:space="preserve">
15827 bear</t>
        </r>
      </text>
    </comment>
    <comment ref="DQ57" authorId="1" shapeId="0" xr:uid="{00000000-0006-0000-0700-00009C010000}">
      <text>
        <r>
          <rPr>
            <b/>
            <sz val="8"/>
            <color indexed="81"/>
            <rFont val="Tahoma"/>
            <family val="2"/>
          </rPr>
          <t>Martin Shkreli:</t>
        </r>
        <r>
          <rPr>
            <sz val="8"/>
            <color indexed="81"/>
            <rFont val="Tahoma"/>
            <family val="2"/>
          </rPr>
          <t xml:space="preserve">
16752 bear</t>
        </r>
      </text>
    </comment>
    <comment ref="DR57" authorId="1" shapeId="0" xr:uid="{00000000-0006-0000-0700-00009D010000}">
      <text>
        <r>
          <rPr>
            <b/>
            <sz val="8"/>
            <color indexed="81"/>
            <rFont val="Tahoma"/>
            <family val="2"/>
          </rPr>
          <t>Martin Shkreli:</t>
        </r>
        <r>
          <rPr>
            <sz val="8"/>
            <color indexed="81"/>
            <rFont val="Tahoma"/>
            <family val="2"/>
          </rPr>
          <t xml:space="preserve">
19510 jpm
19509 bear</t>
        </r>
      </text>
    </comment>
    <comment ref="DS57" authorId="1" shapeId="0" xr:uid="{00000000-0006-0000-0700-00009E010000}">
      <text>
        <r>
          <rPr>
            <b/>
            <sz val="8"/>
            <color indexed="81"/>
            <rFont val="Tahoma"/>
            <family val="2"/>
          </rPr>
          <t>Martin Shkreli:</t>
        </r>
        <r>
          <rPr>
            <sz val="8"/>
            <color indexed="81"/>
            <rFont val="Tahoma"/>
            <family val="2"/>
          </rPr>
          <t xml:space="preserve">
20938 jpm
20938 bear</t>
        </r>
      </text>
    </comment>
    <comment ref="DT57" authorId="1" shapeId="0" xr:uid="{00000000-0006-0000-0700-00009F010000}">
      <text>
        <r>
          <rPr>
            <b/>
            <sz val="8"/>
            <color indexed="81"/>
            <rFont val="Tahoma"/>
            <family val="2"/>
          </rPr>
          <t>Martin Shkreli:</t>
        </r>
        <r>
          <rPr>
            <sz val="8"/>
            <color indexed="81"/>
            <rFont val="Tahoma"/>
            <family val="2"/>
          </rPr>
          <t xml:space="preserve">
22737 bear</t>
        </r>
      </text>
    </comment>
    <comment ref="K58" authorId="1" shapeId="0" xr:uid="{00000000-0006-0000-0700-0000A0010000}">
      <text>
        <r>
          <rPr>
            <b/>
            <sz val="8"/>
            <color indexed="81"/>
            <rFont val="Tahoma"/>
            <family val="2"/>
          </rPr>
          <t>Martin Shkreli:</t>
        </r>
        <r>
          <rPr>
            <sz val="8"/>
            <color indexed="81"/>
            <rFont val="Tahoma"/>
            <family val="2"/>
          </rPr>
          <t xml:space="preserve">
2491 jpm</t>
        </r>
      </text>
    </comment>
    <comment ref="L58" authorId="1" shapeId="0" xr:uid="{00000000-0006-0000-0700-0000A1010000}">
      <text>
        <r>
          <rPr>
            <b/>
            <sz val="8"/>
            <color indexed="81"/>
            <rFont val="Tahoma"/>
            <family val="2"/>
          </rPr>
          <t>Martin Shkreli:</t>
        </r>
        <r>
          <rPr>
            <sz val="8"/>
            <color indexed="81"/>
            <rFont val="Tahoma"/>
            <family val="2"/>
          </rPr>
          <t xml:space="preserve">
2646 jpm</t>
        </r>
      </text>
    </comment>
    <comment ref="M58" authorId="1" shapeId="0" xr:uid="{00000000-0006-0000-0700-0000A2010000}">
      <text>
        <r>
          <rPr>
            <b/>
            <sz val="8"/>
            <color indexed="81"/>
            <rFont val="Tahoma"/>
            <family val="2"/>
          </rPr>
          <t>Martin Shkreli:</t>
        </r>
        <r>
          <rPr>
            <sz val="8"/>
            <color indexed="81"/>
            <rFont val="Tahoma"/>
            <family val="2"/>
          </rPr>
          <t xml:space="preserve">
2682 jpm</t>
        </r>
      </text>
    </comment>
    <comment ref="N58" authorId="1" shapeId="0" xr:uid="{00000000-0006-0000-0700-0000A3010000}">
      <text>
        <r>
          <rPr>
            <b/>
            <sz val="8"/>
            <color indexed="81"/>
            <rFont val="Tahoma"/>
            <family val="2"/>
          </rPr>
          <t>Martin Shkreli:</t>
        </r>
        <r>
          <rPr>
            <sz val="8"/>
            <color indexed="81"/>
            <rFont val="Tahoma"/>
            <family val="2"/>
          </rPr>
          <t xml:space="preserve">
2937 jpm</t>
        </r>
      </text>
    </comment>
    <comment ref="O58" authorId="1" shapeId="0" xr:uid="{00000000-0006-0000-0700-0000A4010000}">
      <text>
        <r>
          <rPr>
            <b/>
            <sz val="8"/>
            <color indexed="81"/>
            <rFont val="Tahoma"/>
            <family val="2"/>
          </rPr>
          <t>Martin Shkreli:</t>
        </r>
        <r>
          <rPr>
            <sz val="8"/>
            <color indexed="81"/>
            <rFont val="Tahoma"/>
            <family val="2"/>
          </rPr>
          <t xml:space="preserve">
2679 jpm
2679 bear</t>
        </r>
      </text>
    </comment>
    <comment ref="P58" authorId="1" shapeId="0" xr:uid="{00000000-0006-0000-0700-0000A5010000}">
      <text>
        <r>
          <rPr>
            <b/>
            <sz val="8"/>
            <color indexed="81"/>
            <rFont val="Tahoma"/>
            <family val="2"/>
          </rPr>
          <t>Martin Shkreli:</t>
        </r>
        <r>
          <rPr>
            <sz val="8"/>
            <color indexed="81"/>
            <rFont val="Tahoma"/>
            <family val="2"/>
          </rPr>
          <t xml:space="preserve">
2829 jpm
2829 bear</t>
        </r>
      </text>
    </comment>
    <comment ref="Q58" authorId="1" shapeId="0" xr:uid="{00000000-0006-0000-0700-0000A6010000}">
      <text>
        <r>
          <rPr>
            <b/>
            <sz val="8"/>
            <color indexed="81"/>
            <rFont val="Tahoma"/>
            <family val="2"/>
          </rPr>
          <t>Martin Shkreli:</t>
        </r>
        <r>
          <rPr>
            <sz val="8"/>
            <color indexed="81"/>
            <rFont val="Tahoma"/>
            <family val="2"/>
          </rPr>
          <t xml:space="preserve">
2767 jpm
2767 bear</t>
        </r>
      </text>
    </comment>
    <comment ref="R58" authorId="1" shapeId="0" xr:uid="{00000000-0006-0000-0700-0000A7010000}">
      <text>
        <r>
          <rPr>
            <b/>
            <sz val="8"/>
            <color indexed="81"/>
            <rFont val="Tahoma"/>
            <family val="2"/>
          </rPr>
          <t>Martin Shkreli:</t>
        </r>
        <r>
          <rPr>
            <sz val="8"/>
            <color indexed="81"/>
            <rFont val="Tahoma"/>
            <family val="2"/>
          </rPr>
          <t xml:space="preserve">
2943 jpm
2943 bear</t>
        </r>
      </text>
    </comment>
    <comment ref="S58" authorId="1" shapeId="0" xr:uid="{00000000-0006-0000-0700-0000A8010000}">
      <text>
        <r>
          <rPr>
            <b/>
            <sz val="8"/>
            <color indexed="81"/>
            <rFont val="Tahoma"/>
            <family val="2"/>
          </rPr>
          <t>Martin Shkreli:</t>
        </r>
        <r>
          <rPr>
            <sz val="8"/>
            <color indexed="81"/>
            <rFont val="Tahoma"/>
            <family val="2"/>
          </rPr>
          <t xml:space="preserve">
2666 bear
2666 jpm</t>
        </r>
      </text>
    </comment>
    <comment ref="T58" authorId="1" shapeId="0" xr:uid="{00000000-0006-0000-0700-0000A9010000}">
      <text>
        <r>
          <rPr>
            <b/>
            <sz val="8"/>
            <color indexed="81"/>
            <rFont val="Tahoma"/>
            <family val="2"/>
          </rPr>
          <t>Martin Shkreli:</t>
        </r>
        <r>
          <rPr>
            <sz val="8"/>
            <color indexed="81"/>
            <rFont val="Tahoma"/>
            <family val="2"/>
          </rPr>
          <t xml:space="preserve">
2802 bear</t>
        </r>
      </text>
    </comment>
    <comment ref="U58" authorId="1" shapeId="0" xr:uid="{00000000-0006-0000-0700-0000AA010000}">
      <text>
        <r>
          <rPr>
            <b/>
            <sz val="8"/>
            <color indexed="81"/>
            <rFont val="Tahoma"/>
            <family val="2"/>
          </rPr>
          <t>Martin Shkreli:</t>
        </r>
        <r>
          <rPr>
            <sz val="8"/>
            <color indexed="81"/>
            <rFont val="Tahoma"/>
            <family val="2"/>
          </rPr>
          <t xml:space="preserve">
2703 bear</t>
        </r>
      </text>
    </comment>
    <comment ref="V58" authorId="1" shapeId="0" xr:uid="{00000000-0006-0000-0700-0000AB010000}">
      <text>
        <r>
          <rPr>
            <b/>
            <sz val="8"/>
            <color indexed="81"/>
            <rFont val="Tahoma"/>
            <family val="2"/>
          </rPr>
          <t>Martin Shkreli:</t>
        </r>
        <r>
          <rPr>
            <sz val="8"/>
            <color indexed="81"/>
            <rFont val="Tahoma"/>
            <family val="2"/>
          </rPr>
          <t xml:space="preserve">
3089 bear</t>
        </r>
      </text>
    </comment>
    <comment ref="AI58" authorId="1" shapeId="0" xr:uid="{00000000-0006-0000-0700-0000AC010000}">
      <text>
        <r>
          <rPr>
            <b/>
            <sz val="8"/>
            <color indexed="81"/>
            <rFont val="Tahoma"/>
            <family val="2"/>
          </rPr>
          <t>Martin Shkreli:</t>
        </r>
        <r>
          <rPr>
            <sz val="8"/>
            <color indexed="81"/>
            <rFont val="Tahoma"/>
            <family val="2"/>
          </rPr>
          <t xml:space="preserve">
4043 bear</t>
        </r>
      </text>
    </comment>
    <comment ref="AK58" authorId="1" shapeId="0" xr:uid="{00000000-0006-0000-0700-0000AD010000}">
      <text>
        <r>
          <rPr>
            <b/>
            <sz val="8"/>
            <color indexed="81"/>
            <rFont val="Tahoma"/>
            <family val="2"/>
          </rPr>
          <t>Martin Shkreli:</t>
        </r>
        <r>
          <rPr>
            <sz val="8"/>
            <color indexed="81"/>
            <rFont val="Tahoma"/>
            <family val="2"/>
          </rPr>
          <t xml:space="preserve">
4078 bear</t>
        </r>
      </text>
    </comment>
    <comment ref="AL58" authorId="1" shapeId="0" xr:uid="{00000000-0006-0000-0700-0000AE010000}">
      <text>
        <r>
          <rPr>
            <b/>
            <sz val="8"/>
            <color indexed="81"/>
            <rFont val="Tahoma"/>
            <family val="2"/>
          </rPr>
          <t>Martin Shkreli:</t>
        </r>
        <r>
          <rPr>
            <sz val="8"/>
            <color indexed="81"/>
            <rFont val="Tahoma"/>
            <family val="2"/>
          </rPr>
          <t xml:space="preserve">
4562 bear</t>
        </r>
      </text>
    </comment>
    <comment ref="BB58" authorId="0" shapeId="0" xr:uid="{00000000-0006-0000-0700-0000AF010000}">
      <text>
        <r>
          <rPr>
            <sz val="9"/>
            <color indexed="81"/>
            <rFont val="Tahoma"/>
            <family val="2"/>
          </rPr>
          <t>recall costs impacted 6c</t>
        </r>
      </text>
    </comment>
    <comment ref="DI58" authorId="1" shapeId="0" xr:uid="{00000000-0006-0000-0700-0000B0010000}">
      <text>
        <r>
          <rPr>
            <b/>
            <sz val="8"/>
            <color indexed="81"/>
            <rFont val="Tahoma"/>
            <family val="2"/>
          </rPr>
          <t>Martin Shkreli:</t>
        </r>
        <r>
          <rPr>
            <sz val="8"/>
            <color indexed="81"/>
            <rFont val="Tahoma"/>
            <family val="2"/>
          </rPr>
          <t xml:space="preserve">
4481 bear</t>
        </r>
      </text>
    </comment>
    <comment ref="DJ58" authorId="1" shapeId="0" xr:uid="{00000000-0006-0000-0700-0000B1010000}">
      <text>
        <r>
          <rPr>
            <b/>
            <sz val="8"/>
            <color indexed="81"/>
            <rFont val="Tahoma"/>
            <family val="2"/>
          </rPr>
          <t>Martin Shkreli:</t>
        </r>
        <r>
          <rPr>
            <sz val="8"/>
            <color indexed="81"/>
            <rFont val="Tahoma"/>
            <family val="2"/>
          </rPr>
          <t xml:space="preserve">
5202 bear</t>
        </r>
      </text>
    </comment>
    <comment ref="DK58" authorId="1" shapeId="0" xr:uid="{00000000-0006-0000-0700-0000B2010000}">
      <text>
        <r>
          <rPr>
            <b/>
            <sz val="8"/>
            <color indexed="81"/>
            <rFont val="Tahoma"/>
            <family val="2"/>
          </rPr>
          <t>Martin Shkreli:</t>
        </r>
        <r>
          <rPr>
            <sz val="8"/>
            <color indexed="81"/>
            <rFont val="Tahoma"/>
            <family val="2"/>
          </rPr>
          <t xml:space="preserve">
5776 bear</t>
        </r>
      </text>
    </comment>
    <comment ref="DL58" authorId="1" shapeId="0" xr:uid="{00000000-0006-0000-0700-0000B3010000}">
      <text>
        <r>
          <rPr>
            <b/>
            <sz val="8"/>
            <color indexed="81"/>
            <rFont val="Tahoma"/>
            <family val="2"/>
          </rPr>
          <t>Martin Shkreli:</t>
        </r>
        <r>
          <rPr>
            <sz val="8"/>
            <color indexed="81"/>
            <rFont val="Tahoma"/>
            <family val="2"/>
          </rPr>
          <t xml:space="preserve">
5828 bear</t>
        </r>
      </text>
    </comment>
    <comment ref="DM58" authorId="1" shapeId="0" xr:uid="{00000000-0006-0000-0700-0000B4010000}">
      <text>
        <r>
          <rPr>
            <b/>
            <sz val="8"/>
            <color indexed="81"/>
            <rFont val="Tahoma"/>
            <family val="2"/>
          </rPr>
          <t>Martin Shkreli:</t>
        </r>
        <r>
          <rPr>
            <sz val="8"/>
            <color indexed="81"/>
            <rFont val="Tahoma"/>
            <family val="2"/>
          </rPr>
          <t xml:space="preserve">
6406 bear</t>
        </r>
      </text>
    </comment>
    <comment ref="DN58" authorId="1" shapeId="0" xr:uid="{00000000-0006-0000-0700-0000B5010000}">
      <text>
        <r>
          <rPr>
            <b/>
            <sz val="8"/>
            <color indexed="81"/>
            <rFont val="Tahoma"/>
            <family val="2"/>
          </rPr>
          <t>Martin Shkreli:</t>
        </r>
        <r>
          <rPr>
            <sz val="8"/>
            <color indexed="81"/>
            <rFont val="Tahoma"/>
            <family val="2"/>
          </rPr>
          <t xml:space="preserve">
7530 bear</t>
        </r>
      </text>
    </comment>
    <comment ref="DO58" authorId="1" shapeId="0" xr:uid="{00000000-0006-0000-0700-0000B6010000}">
      <text>
        <r>
          <rPr>
            <b/>
            <sz val="8"/>
            <color indexed="81"/>
            <rFont val="Tahoma"/>
            <family val="2"/>
          </rPr>
          <t>Martin Shkreli:</t>
        </r>
        <r>
          <rPr>
            <sz val="8"/>
            <color indexed="81"/>
            <rFont val="Tahoma"/>
            <family val="2"/>
          </rPr>
          <t xml:space="preserve">
8500 bear</t>
        </r>
      </text>
    </comment>
    <comment ref="DP58" authorId="1" shapeId="0" xr:uid="{00000000-0006-0000-0700-0000B7010000}">
      <text>
        <r>
          <rPr>
            <b/>
            <sz val="8"/>
            <color indexed="81"/>
            <rFont val="Tahoma"/>
            <family val="2"/>
          </rPr>
          <t>Martin Shkreli:</t>
        </r>
        <r>
          <rPr>
            <sz val="8"/>
            <color indexed="81"/>
            <rFont val="Tahoma"/>
            <family val="2"/>
          </rPr>
          <t xml:space="preserve">
8840 bear</t>
        </r>
      </text>
    </comment>
    <comment ref="DQ58" authorId="1" shapeId="0" xr:uid="{00000000-0006-0000-0700-0000B8010000}">
      <text>
        <r>
          <rPr>
            <b/>
            <sz val="8"/>
            <color indexed="81"/>
            <rFont val="Tahoma"/>
            <family val="2"/>
          </rPr>
          <t>Martin Shkreli:</t>
        </r>
        <r>
          <rPr>
            <sz val="8"/>
            <color indexed="81"/>
            <rFont val="Tahoma"/>
            <family val="2"/>
          </rPr>
          <t xml:space="preserve">
9166 bear</t>
        </r>
      </text>
    </comment>
    <comment ref="DR58" authorId="1" shapeId="0" xr:uid="{00000000-0006-0000-0700-0000B9010000}">
      <text>
        <r>
          <rPr>
            <b/>
            <sz val="8"/>
            <color indexed="81"/>
            <rFont val="Tahoma"/>
            <family val="2"/>
          </rPr>
          <t>Martin Shkreli:</t>
        </r>
        <r>
          <rPr>
            <sz val="8"/>
            <color indexed="81"/>
            <rFont val="Tahoma"/>
            <family val="2"/>
          </rPr>
          <t xml:space="preserve">
10756 jpm
10756 bear</t>
        </r>
      </text>
    </comment>
    <comment ref="DS58" authorId="1" shapeId="0" xr:uid="{00000000-0006-0000-0700-0000BA010000}">
      <text>
        <r>
          <rPr>
            <b/>
            <sz val="8"/>
            <color indexed="81"/>
            <rFont val="Tahoma"/>
            <family val="2"/>
          </rPr>
          <t>Martin Shkreli:</t>
        </r>
        <r>
          <rPr>
            <sz val="8"/>
            <color indexed="81"/>
            <rFont val="Tahoma"/>
            <family val="2"/>
          </rPr>
          <t xml:space="preserve">
11218 jpm
11218 bear</t>
        </r>
      </text>
    </comment>
    <comment ref="DT58" authorId="1" shapeId="0" xr:uid="{00000000-0006-0000-0700-0000BB010000}">
      <text>
        <r>
          <rPr>
            <b/>
            <sz val="8"/>
            <color indexed="81"/>
            <rFont val="Tahoma"/>
            <family val="2"/>
          </rPr>
          <t>Martin Shkreli:</t>
        </r>
        <r>
          <rPr>
            <sz val="8"/>
            <color indexed="81"/>
            <rFont val="Tahoma"/>
            <family val="2"/>
          </rPr>
          <t xml:space="preserve">
11260 bear</t>
        </r>
      </text>
    </comment>
    <comment ref="K59" authorId="1" shapeId="0" xr:uid="{00000000-0006-0000-0700-0000BC010000}">
      <text>
        <r>
          <rPr>
            <b/>
            <sz val="8"/>
            <color indexed="81"/>
            <rFont val="Tahoma"/>
            <family val="2"/>
          </rPr>
          <t>Martin Shkreli:</t>
        </r>
        <r>
          <rPr>
            <sz val="8"/>
            <color indexed="81"/>
            <rFont val="Tahoma"/>
            <family val="2"/>
          </rPr>
          <t xml:space="preserve">
597 jpm</t>
        </r>
      </text>
    </comment>
    <comment ref="L59" authorId="1" shapeId="0" xr:uid="{00000000-0006-0000-0700-0000BD010000}">
      <text>
        <r>
          <rPr>
            <b/>
            <sz val="8"/>
            <color indexed="81"/>
            <rFont val="Tahoma"/>
            <family val="2"/>
          </rPr>
          <t>Martin Shkreli:</t>
        </r>
        <r>
          <rPr>
            <sz val="8"/>
            <color indexed="81"/>
            <rFont val="Tahoma"/>
            <family val="2"/>
          </rPr>
          <t xml:space="preserve">
640 jpm</t>
        </r>
      </text>
    </comment>
    <comment ref="M59" authorId="1" shapeId="0" xr:uid="{00000000-0006-0000-0700-0000BE010000}">
      <text>
        <r>
          <rPr>
            <b/>
            <sz val="8"/>
            <color indexed="81"/>
            <rFont val="Tahoma"/>
            <family val="2"/>
          </rPr>
          <t>Martin Shkreli:</t>
        </r>
        <r>
          <rPr>
            <sz val="8"/>
            <color indexed="81"/>
            <rFont val="Tahoma"/>
            <family val="2"/>
          </rPr>
          <t xml:space="preserve">
672 jpm</t>
        </r>
      </text>
    </comment>
    <comment ref="N59" authorId="1" shapeId="0" xr:uid="{00000000-0006-0000-0700-0000BF010000}">
      <text>
        <r>
          <rPr>
            <b/>
            <sz val="8"/>
            <color indexed="81"/>
            <rFont val="Tahoma"/>
            <family val="2"/>
          </rPr>
          <t>Martin Shkreli:</t>
        </r>
        <r>
          <rPr>
            <sz val="8"/>
            <color indexed="81"/>
            <rFont val="Tahoma"/>
            <family val="2"/>
          </rPr>
          <t xml:space="preserve">
858 jpm</t>
        </r>
      </text>
    </comment>
    <comment ref="O59" authorId="1" shapeId="0" xr:uid="{00000000-0006-0000-0700-0000C0010000}">
      <text>
        <r>
          <rPr>
            <b/>
            <sz val="8"/>
            <color indexed="81"/>
            <rFont val="Tahoma"/>
            <family val="2"/>
          </rPr>
          <t>Martin Shkreli:</t>
        </r>
        <r>
          <rPr>
            <sz val="8"/>
            <color indexed="81"/>
            <rFont val="Tahoma"/>
            <family val="2"/>
          </rPr>
          <t xml:space="preserve">
677 jpm
677 bear</t>
        </r>
      </text>
    </comment>
    <comment ref="P59" authorId="1" shapeId="0" xr:uid="{00000000-0006-0000-0700-0000C1010000}">
      <text>
        <r>
          <rPr>
            <b/>
            <sz val="8"/>
            <color indexed="81"/>
            <rFont val="Tahoma"/>
            <family val="2"/>
          </rPr>
          <t>Martin Shkreli:</t>
        </r>
        <r>
          <rPr>
            <sz val="8"/>
            <color indexed="81"/>
            <rFont val="Tahoma"/>
            <family val="2"/>
          </rPr>
          <t xml:space="preserve">
713 jpm
713 bear</t>
        </r>
      </text>
    </comment>
    <comment ref="Q59" authorId="1" shapeId="0" xr:uid="{00000000-0006-0000-0700-0000C2010000}">
      <text>
        <r>
          <rPr>
            <b/>
            <sz val="8"/>
            <color indexed="81"/>
            <rFont val="Tahoma"/>
            <family val="2"/>
          </rPr>
          <t>Martin Shkreli:</t>
        </r>
        <r>
          <rPr>
            <sz val="8"/>
            <color indexed="81"/>
            <rFont val="Tahoma"/>
            <family val="2"/>
          </rPr>
          <t xml:space="preserve">
739 jpm
739 bear</t>
        </r>
      </text>
    </comment>
    <comment ref="R59" authorId="1" shapeId="0" xr:uid="{00000000-0006-0000-0700-0000C3010000}">
      <text>
        <r>
          <rPr>
            <b/>
            <sz val="8"/>
            <color indexed="81"/>
            <rFont val="Tahoma"/>
            <family val="2"/>
          </rPr>
          <t>Martin Shkreli:</t>
        </r>
        <r>
          <rPr>
            <sz val="8"/>
            <color indexed="81"/>
            <rFont val="Tahoma"/>
            <family val="2"/>
          </rPr>
          <t xml:space="preserve">
976 jpm
976 bear</t>
        </r>
      </text>
    </comment>
    <comment ref="S59" authorId="1" shapeId="0" xr:uid="{00000000-0006-0000-0700-0000C4010000}">
      <text>
        <r>
          <rPr>
            <b/>
            <sz val="8"/>
            <color indexed="81"/>
            <rFont val="Tahoma"/>
            <family val="2"/>
          </rPr>
          <t>Martin Shkreli:</t>
        </r>
        <r>
          <rPr>
            <sz val="8"/>
            <color indexed="81"/>
            <rFont val="Tahoma"/>
            <family val="2"/>
          </rPr>
          <t xml:space="preserve">
759 bear
759 jpm</t>
        </r>
      </text>
    </comment>
    <comment ref="AI59" authorId="1" shapeId="0" xr:uid="{00000000-0006-0000-0700-0000C5010000}">
      <text>
        <r>
          <rPr>
            <b/>
            <sz val="8"/>
            <color indexed="81"/>
            <rFont val="Tahoma"/>
            <family val="2"/>
          </rPr>
          <t>Martin Shkreli:</t>
        </r>
        <r>
          <rPr>
            <sz val="8"/>
            <color indexed="81"/>
            <rFont val="Tahoma"/>
            <family val="2"/>
          </rPr>
          <t xml:space="preserve">
1347 bear</t>
        </r>
      </text>
    </comment>
    <comment ref="AK59" authorId="1" shapeId="0" xr:uid="{00000000-0006-0000-0700-0000C6010000}">
      <text>
        <r>
          <rPr>
            <b/>
            <sz val="8"/>
            <color indexed="81"/>
            <rFont val="Tahoma"/>
            <family val="2"/>
          </rPr>
          <t>Martin Shkreli:</t>
        </r>
        <r>
          <rPr>
            <sz val="8"/>
            <color indexed="81"/>
            <rFont val="Tahoma"/>
            <family val="2"/>
          </rPr>
          <t xml:space="preserve">
1502 bear</t>
        </r>
      </text>
    </comment>
    <comment ref="AL59" authorId="1" shapeId="0" xr:uid="{00000000-0006-0000-0700-0000C7010000}">
      <text>
        <r>
          <rPr>
            <b/>
            <sz val="8"/>
            <color indexed="81"/>
            <rFont val="Tahoma"/>
            <family val="2"/>
          </rPr>
          <t>Martin Shkreli:</t>
        </r>
        <r>
          <rPr>
            <sz val="8"/>
            <color indexed="81"/>
            <rFont val="Tahoma"/>
            <family val="2"/>
          </rPr>
          <t xml:space="preserve">
1976 bear</t>
        </r>
      </text>
    </comment>
    <comment ref="AN59"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59" authorId="1" shapeId="0" xr:uid="{00000000-0006-0000-0700-0000C9010000}">
      <text>
        <r>
          <rPr>
            <b/>
            <sz val="8"/>
            <color indexed="81"/>
            <rFont val="Tahoma"/>
            <family val="2"/>
          </rPr>
          <t>Martin Shkreli:</t>
        </r>
        <r>
          <rPr>
            <sz val="8"/>
            <color indexed="81"/>
            <rFont val="Tahoma"/>
            <family val="2"/>
          </rPr>
          <t xml:space="preserve">
869 bear</t>
        </r>
      </text>
    </comment>
    <comment ref="DJ59" authorId="1" shapeId="0" xr:uid="{00000000-0006-0000-0700-0000CA010000}">
      <text>
        <r>
          <rPr>
            <b/>
            <sz val="8"/>
            <color indexed="81"/>
            <rFont val="Tahoma"/>
            <family val="2"/>
          </rPr>
          <t>Martin Shkreli:</t>
        </r>
        <r>
          <rPr>
            <sz val="8"/>
            <color indexed="81"/>
            <rFont val="Tahoma"/>
            <family val="2"/>
          </rPr>
          <t xml:space="preserve">
1092 bear</t>
        </r>
      </text>
    </comment>
    <comment ref="DK59" authorId="1" shapeId="0" xr:uid="{00000000-0006-0000-0700-0000CB010000}">
      <text>
        <r>
          <rPr>
            <b/>
            <sz val="8"/>
            <color indexed="81"/>
            <rFont val="Tahoma"/>
            <family val="2"/>
          </rPr>
          <t>Martin Shkreli:</t>
        </r>
        <r>
          <rPr>
            <sz val="8"/>
            <color indexed="81"/>
            <rFont val="Tahoma"/>
            <family val="2"/>
          </rPr>
          <t xml:space="preserve">
1282 bear</t>
        </r>
      </text>
    </comment>
    <comment ref="DL59" authorId="1" shapeId="0" xr:uid="{00000000-0006-0000-0700-0000CC010000}">
      <text>
        <r>
          <rPr>
            <b/>
            <sz val="8"/>
            <color indexed="81"/>
            <rFont val="Tahoma"/>
            <family val="2"/>
          </rPr>
          <t>Martin Shkreli:</t>
        </r>
        <r>
          <rPr>
            <sz val="8"/>
            <color indexed="81"/>
            <rFont val="Tahoma"/>
            <family val="2"/>
          </rPr>
          <t xml:space="preserve">
1296 bear</t>
        </r>
      </text>
    </comment>
    <comment ref="DM59" authorId="1" shapeId="0" xr:uid="{00000000-0006-0000-0700-0000CD010000}">
      <text>
        <r>
          <rPr>
            <b/>
            <sz val="8"/>
            <color indexed="81"/>
            <rFont val="Tahoma"/>
            <family val="2"/>
          </rPr>
          <t>Martin Shkreli:</t>
        </r>
        <r>
          <rPr>
            <sz val="8"/>
            <color indexed="81"/>
            <rFont val="Tahoma"/>
            <family val="2"/>
          </rPr>
          <t xml:space="preserve">
1416 bear</t>
        </r>
      </text>
    </comment>
    <comment ref="DN59" authorId="1" shapeId="0" xr:uid="{00000000-0006-0000-0700-0000CE010000}">
      <text>
        <r>
          <rPr>
            <b/>
            <sz val="8"/>
            <color indexed="81"/>
            <rFont val="Tahoma"/>
            <family val="2"/>
          </rPr>
          <t>Martin Shkreli:</t>
        </r>
        <r>
          <rPr>
            <sz val="8"/>
            <color indexed="81"/>
            <rFont val="Tahoma"/>
            <family val="2"/>
          </rPr>
          <t xml:space="preserve">
1788 bear</t>
        </r>
      </text>
    </comment>
    <comment ref="DO59" authorId="1" shapeId="0" xr:uid="{00000000-0006-0000-0700-0000CF010000}">
      <text>
        <r>
          <rPr>
            <b/>
            <sz val="8"/>
            <color indexed="81"/>
            <rFont val="Tahoma"/>
            <family val="2"/>
          </rPr>
          <t>Martin Shkreli:</t>
        </r>
        <r>
          <rPr>
            <sz val="8"/>
            <color indexed="81"/>
            <rFont val="Tahoma"/>
            <family val="2"/>
          </rPr>
          <t xml:space="preserve">
2109 bear</t>
        </r>
      </text>
    </comment>
    <comment ref="DP59" authorId="1" shapeId="0" xr:uid="{00000000-0006-0000-0700-0000D0010000}">
      <text>
        <r>
          <rPr>
            <b/>
            <sz val="8"/>
            <color indexed="81"/>
            <rFont val="Tahoma"/>
            <family val="2"/>
          </rPr>
          <t>Martin Shkreli:</t>
        </r>
        <r>
          <rPr>
            <sz val="8"/>
            <color indexed="81"/>
            <rFont val="Tahoma"/>
            <family val="2"/>
          </rPr>
          <t xml:space="preserve">
2373 bear</t>
        </r>
      </text>
    </comment>
    <comment ref="DQ59" authorId="1" shapeId="0" xr:uid="{00000000-0006-0000-0700-0000D1010000}">
      <text>
        <r>
          <rPr>
            <b/>
            <sz val="8"/>
            <color indexed="81"/>
            <rFont val="Tahoma"/>
            <family val="2"/>
          </rPr>
          <t>Martin Shkreli:</t>
        </r>
        <r>
          <rPr>
            <sz val="8"/>
            <color indexed="81"/>
            <rFont val="Tahoma"/>
            <family val="2"/>
          </rPr>
          <t xml:space="preserve">
2506 bear</t>
        </r>
      </text>
    </comment>
    <comment ref="DR59" authorId="1" shapeId="0" xr:uid="{00000000-0006-0000-0700-0000D2010000}">
      <text>
        <r>
          <rPr>
            <b/>
            <sz val="8"/>
            <color indexed="81"/>
            <rFont val="Tahoma"/>
            <family val="2"/>
          </rPr>
          <t>Martin Shkreli:</t>
        </r>
        <r>
          <rPr>
            <sz val="8"/>
            <color indexed="81"/>
            <rFont val="Tahoma"/>
            <family val="2"/>
          </rPr>
          <t xml:space="preserve">
2768 jpm
2768 bear</t>
        </r>
      </text>
    </comment>
    <comment ref="DS59" authorId="1" shapeId="0" xr:uid="{00000000-0006-0000-0700-0000D3010000}">
      <text>
        <r>
          <rPr>
            <b/>
            <sz val="8"/>
            <color indexed="81"/>
            <rFont val="Tahoma"/>
            <family val="2"/>
          </rPr>
          <t>Martin Shkreli:</t>
        </r>
        <r>
          <rPr>
            <sz val="8"/>
            <color indexed="81"/>
            <rFont val="Tahoma"/>
            <family val="2"/>
          </rPr>
          <t xml:space="preserve">
3105 jpm
3105 bear</t>
        </r>
      </text>
    </comment>
    <comment ref="K61" authorId="1" shapeId="0" xr:uid="{00000000-0006-0000-0700-0000D4010000}">
      <text>
        <r>
          <rPr>
            <b/>
            <sz val="8"/>
            <color indexed="81"/>
            <rFont val="Tahoma"/>
            <family val="2"/>
          </rPr>
          <t>Martin Shkreli:</t>
        </r>
        <r>
          <rPr>
            <sz val="8"/>
            <color indexed="81"/>
            <rFont val="Tahoma"/>
            <family val="2"/>
          </rPr>
          <t xml:space="preserve">
1691 jpm</t>
        </r>
      </text>
    </comment>
    <comment ref="L61" authorId="1" shapeId="0" xr:uid="{00000000-0006-0000-0700-0000D5010000}">
      <text>
        <r>
          <rPr>
            <b/>
            <sz val="8"/>
            <color indexed="81"/>
            <rFont val="Tahoma"/>
            <family val="2"/>
          </rPr>
          <t>Martin Shkreli:</t>
        </r>
        <r>
          <rPr>
            <sz val="8"/>
            <color indexed="81"/>
            <rFont val="Tahoma"/>
            <family val="2"/>
          </rPr>
          <t xml:space="preserve">
1678 jpm</t>
        </r>
      </text>
    </comment>
    <comment ref="M61" authorId="1" shapeId="0" xr:uid="{00000000-0006-0000-0700-0000D6010000}">
      <text>
        <r>
          <rPr>
            <b/>
            <sz val="8"/>
            <color indexed="81"/>
            <rFont val="Tahoma"/>
            <family val="2"/>
          </rPr>
          <t>Martin Shkreli:</t>
        </r>
        <r>
          <rPr>
            <sz val="8"/>
            <color indexed="81"/>
            <rFont val="Tahoma"/>
            <family val="2"/>
          </rPr>
          <t xml:space="preserve">
1644 jpm</t>
        </r>
      </text>
    </comment>
    <comment ref="N61" authorId="1" shapeId="0" xr:uid="{00000000-0006-0000-0700-0000D7010000}">
      <text>
        <r>
          <rPr>
            <b/>
            <sz val="8"/>
            <color indexed="81"/>
            <rFont val="Tahoma"/>
            <family val="2"/>
          </rPr>
          <t>Martin Shkreli:</t>
        </r>
        <r>
          <rPr>
            <sz val="8"/>
            <color indexed="81"/>
            <rFont val="Tahoma"/>
            <family val="2"/>
          </rPr>
          <t xml:space="preserve">
974 jpm</t>
        </r>
      </text>
    </comment>
    <comment ref="O61" authorId="1" shapeId="0" xr:uid="{00000000-0006-0000-0700-0000D8010000}">
      <text>
        <r>
          <rPr>
            <b/>
            <sz val="8"/>
            <color indexed="81"/>
            <rFont val="Tahoma"/>
            <family val="2"/>
          </rPr>
          <t>Martin Shkreli:</t>
        </r>
        <r>
          <rPr>
            <sz val="8"/>
            <color indexed="81"/>
            <rFont val="Tahoma"/>
            <family val="2"/>
          </rPr>
          <t xml:space="preserve">
1842 jpm
1842 bear</t>
        </r>
      </text>
    </comment>
    <comment ref="P61" authorId="1" shapeId="0" xr:uid="{00000000-0006-0000-0700-0000D9010000}">
      <text>
        <r>
          <rPr>
            <b/>
            <sz val="8"/>
            <color indexed="81"/>
            <rFont val="Tahoma"/>
            <family val="2"/>
          </rPr>
          <t>Martin Shkreli:</t>
        </r>
        <r>
          <rPr>
            <sz val="8"/>
            <color indexed="81"/>
            <rFont val="Tahoma"/>
            <family val="2"/>
          </rPr>
          <t xml:space="preserve">
1867 jpm
1867 bear</t>
        </r>
      </text>
    </comment>
    <comment ref="Q61" authorId="1" shapeId="0" xr:uid="{00000000-0006-0000-0700-0000DA010000}">
      <text>
        <r>
          <rPr>
            <b/>
            <sz val="8"/>
            <color indexed="81"/>
            <rFont val="Tahoma"/>
            <family val="2"/>
          </rPr>
          <t>Martin Shkreli:</t>
        </r>
        <r>
          <rPr>
            <sz val="8"/>
            <color indexed="81"/>
            <rFont val="Tahoma"/>
            <family val="2"/>
          </rPr>
          <t xml:space="preserve">
1741 jpm
1741 bear</t>
        </r>
      </text>
    </comment>
    <comment ref="R61" authorId="1" shapeId="0" xr:uid="{00000000-0006-0000-0700-0000DB010000}">
      <text>
        <r>
          <rPr>
            <b/>
            <sz val="8"/>
            <color indexed="81"/>
            <rFont val="Tahoma"/>
            <family val="2"/>
          </rPr>
          <t>Martin Shkreli:</t>
        </r>
        <r>
          <rPr>
            <sz val="8"/>
            <color indexed="81"/>
            <rFont val="Tahoma"/>
            <family val="2"/>
          </rPr>
          <t xml:space="preserve">
1165 jpm
1165 bear</t>
        </r>
      </text>
    </comment>
    <comment ref="S61" authorId="1" shapeId="0" xr:uid="{00000000-0006-0000-0700-0000DC010000}">
      <text>
        <r>
          <rPr>
            <b/>
            <sz val="8"/>
            <color indexed="81"/>
            <rFont val="Tahoma"/>
            <family val="2"/>
          </rPr>
          <t>Martin Shkreli:</t>
        </r>
        <r>
          <rPr>
            <sz val="8"/>
            <color indexed="81"/>
            <rFont val="Tahoma"/>
            <family val="2"/>
          </rPr>
          <t xml:space="preserve">
2120 bear</t>
        </r>
      </text>
    </comment>
    <comment ref="AI61" authorId="1" shapeId="0" xr:uid="{00000000-0006-0000-0700-0000DD010000}">
      <text>
        <r>
          <rPr>
            <b/>
            <sz val="8"/>
            <color indexed="81"/>
            <rFont val="Tahoma"/>
            <family val="2"/>
          </rPr>
          <t>Martin Shkreli:</t>
        </r>
        <r>
          <rPr>
            <sz val="8"/>
            <color indexed="81"/>
            <rFont val="Tahoma"/>
            <family val="2"/>
          </rPr>
          <t xml:space="preserve">
3960 bear</t>
        </r>
      </text>
    </comment>
    <comment ref="AJ61" authorId="1" shapeId="0" xr:uid="{00000000-0006-0000-0700-0000DE010000}">
      <text>
        <r>
          <rPr>
            <b/>
            <sz val="8"/>
            <color indexed="81"/>
            <rFont val="Tahoma"/>
            <family val="2"/>
          </rPr>
          <t>Martin Shkreli:</t>
        </r>
        <r>
          <rPr>
            <sz val="8"/>
            <color indexed="81"/>
            <rFont val="Tahoma"/>
            <family val="2"/>
          </rPr>
          <t xml:space="preserve">
3573 bear</t>
        </r>
      </text>
    </comment>
    <comment ref="AK61" authorId="1" shapeId="0" xr:uid="{00000000-0006-0000-0700-0000DF010000}">
      <text>
        <r>
          <rPr>
            <b/>
            <sz val="8"/>
            <color indexed="81"/>
            <rFont val="Tahoma"/>
            <family val="2"/>
          </rPr>
          <t>Martin Shkreli:</t>
        </r>
        <r>
          <rPr>
            <sz val="8"/>
            <color indexed="81"/>
            <rFont val="Tahoma"/>
            <family val="2"/>
          </rPr>
          <t xml:space="preserve">
3390 bear</t>
        </r>
      </text>
    </comment>
    <comment ref="AL61" authorId="1" shapeId="0" xr:uid="{00000000-0006-0000-0700-0000E0010000}">
      <text>
        <r>
          <rPr>
            <b/>
            <sz val="8"/>
            <color indexed="81"/>
            <rFont val="Tahoma"/>
            <family val="2"/>
          </rPr>
          <t>Martin Shkreli:</t>
        </r>
        <r>
          <rPr>
            <sz val="8"/>
            <color indexed="81"/>
            <rFont val="Tahoma"/>
            <family val="2"/>
          </rPr>
          <t xml:space="preserve">
2448 bear</t>
        </r>
      </text>
    </comment>
    <comment ref="AN61" authorId="1" shapeId="0" xr:uid="{00000000-0006-0000-0700-0000E1010000}">
      <text>
        <r>
          <rPr>
            <b/>
            <sz val="8"/>
            <color indexed="81"/>
            <rFont val="Tahoma"/>
            <family val="2"/>
          </rPr>
          <t>Martin Shkreli:</t>
        </r>
        <r>
          <rPr>
            <sz val="8"/>
            <color indexed="81"/>
            <rFont val="Tahoma"/>
            <family val="2"/>
          </rPr>
          <t xml:space="preserve">
3396 bear</t>
        </r>
      </text>
    </comment>
    <comment ref="DI61" authorId="1" shapeId="0" xr:uid="{00000000-0006-0000-0700-0000E2010000}">
      <text>
        <r>
          <rPr>
            <b/>
            <sz val="8"/>
            <color indexed="81"/>
            <rFont val="Tahoma"/>
            <family val="2"/>
          </rPr>
          <t>Martin Shkreli:</t>
        </r>
        <r>
          <rPr>
            <sz val="8"/>
            <color indexed="81"/>
            <rFont val="Tahoma"/>
            <family val="2"/>
          </rPr>
          <t xml:space="preserve">
2024 bear</t>
        </r>
      </text>
    </comment>
    <comment ref="DJ61" authorId="1" shapeId="0" xr:uid="{00000000-0006-0000-0700-0000E3010000}">
      <text>
        <r>
          <rPr>
            <b/>
            <sz val="8"/>
            <color indexed="81"/>
            <rFont val="Tahoma"/>
            <family val="2"/>
          </rPr>
          <t>Martin Shkreli:</t>
        </r>
        <r>
          <rPr>
            <sz val="8"/>
            <color indexed="81"/>
            <rFont val="Tahoma"/>
            <family val="2"/>
          </rPr>
          <t xml:space="preserve">
2029 bear</t>
        </r>
      </text>
    </comment>
    <comment ref="DK61" authorId="1" shapeId="0" xr:uid="{00000000-0006-0000-0700-0000E4010000}">
      <text>
        <r>
          <rPr>
            <b/>
            <sz val="8"/>
            <color indexed="81"/>
            <rFont val="Tahoma"/>
            <family val="2"/>
          </rPr>
          <t>Martin Shkreli:</t>
        </r>
        <r>
          <rPr>
            <sz val="8"/>
            <color indexed="81"/>
            <rFont val="Tahoma"/>
            <family val="2"/>
          </rPr>
          <t xml:space="preserve">
2179 bear</t>
        </r>
      </text>
    </comment>
    <comment ref="DL61" authorId="1" shapeId="0" xr:uid="{00000000-0006-0000-0700-0000E5010000}">
      <text>
        <r>
          <rPr>
            <b/>
            <sz val="8"/>
            <color indexed="81"/>
            <rFont val="Tahoma"/>
            <family val="2"/>
          </rPr>
          <t>Martin Shkreli:</t>
        </r>
        <r>
          <rPr>
            <sz val="8"/>
            <color indexed="81"/>
            <rFont val="Tahoma"/>
            <family val="2"/>
          </rPr>
          <t xml:space="preserve">
2309 bear</t>
        </r>
      </text>
    </comment>
    <comment ref="DM61" authorId="1" shapeId="0" xr:uid="{00000000-0006-0000-0700-0000E6010000}">
      <text>
        <r>
          <rPr>
            <b/>
            <sz val="8"/>
            <color indexed="81"/>
            <rFont val="Tahoma"/>
            <family val="2"/>
          </rPr>
          <t>Martin Shkreli:</t>
        </r>
        <r>
          <rPr>
            <sz val="8"/>
            <color indexed="81"/>
            <rFont val="Tahoma"/>
            <family val="2"/>
          </rPr>
          <t xml:space="preserve">
2744 bear</t>
        </r>
      </text>
    </comment>
    <comment ref="DN61" authorId="1" shapeId="0" xr:uid="{00000000-0006-0000-0700-0000E7010000}">
      <text>
        <r>
          <rPr>
            <b/>
            <sz val="8"/>
            <color indexed="81"/>
            <rFont val="Tahoma"/>
            <family val="2"/>
          </rPr>
          <t>Martin Shkreli:</t>
        </r>
        <r>
          <rPr>
            <sz val="8"/>
            <color indexed="81"/>
            <rFont val="Tahoma"/>
            <family val="2"/>
          </rPr>
          <t xml:space="preserve">
3447 bear</t>
        </r>
      </text>
    </comment>
    <comment ref="DO61" authorId="1" shapeId="0" xr:uid="{00000000-0006-0000-0700-0000E8010000}">
      <text>
        <r>
          <rPr>
            <b/>
            <sz val="8"/>
            <color indexed="81"/>
            <rFont val="Tahoma"/>
            <family val="2"/>
          </rPr>
          <t>Martin Shkreli:</t>
        </r>
        <r>
          <rPr>
            <sz val="8"/>
            <color indexed="81"/>
            <rFont val="Tahoma"/>
            <family val="2"/>
          </rPr>
          <t xml:space="preserve">
4245 bear</t>
        </r>
      </text>
    </comment>
    <comment ref="DP61" authorId="1" shapeId="0" xr:uid="{00000000-0006-0000-0700-0000E9010000}">
      <text>
        <r>
          <rPr>
            <b/>
            <sz val="8"/>
            <color indexed="81"/>
            <rFont val="Tahoma"/>
            <family val="2"/>
          </rPr>
          <t>Martin Shkreli:</t>
        </r>
        <r>
          <rPr>
            <sz val="8"/>
            <color indexed="81"/>
            <rFont val="Tahoma"/>
            <family val="2"/>
          </rPr>
          <t xml:space="preserve">
4614 bear</t>
        </r>
      </text>
    </comment>
    <comment ref="DQ61" authorId="1" shapeId="0" xr:uid="{00000000-0006-0000-0700-0000EA010000}">
      <text>
        <r>
          <rPr>
            <b/>
            <sz val="8"/>
            <color indexed="81"/>
            <rFont val="Tahoma"/>
            <family val="2"/>
          </rPr>
          <t>Martin Shkreli:</t>
        </r>
        <r>
          <rPr>
            <sz val="8"/>
            <color indexed="81"/>
            <rFont val="Tahoma"/>
            <family val="2"/>
          </rPr>
          <t xml:space="preserve">
5080 bear</t>
        </r>
      </text>
    </comment>
    <comment ref="DR61" authorId="1" shapeId="0" xr:uid="{00000000-0006-0000-0700-0000EB010000}">
      <text>
        <r>
          <rPr>
            <b/>
            <sz val="8"/>
            <color indexed="81"/>
            <rFont val="Tahoma"/>
            <family val="2"/>
          </rPr>
          <t>Martin Shkreli:</t>
        </r>
        <r>
          <rPr>
            <sz val="8"/>
            <color indexed="81"/>
            <rFont val="Tahoma"/>
            <family val="2"/>
          </rPr>
          <t xml:space="preserve">
5986 jpm
5985 bear</t>
        </r>
      </text>
    </comment>
    <comment ref="DS61" authorId="1" shapeId="0" xr:uid="{00000000-0006-0000-0700-0000EC010000}">
      <text>
        <r>
          <rPr>
            <b/>
            <sz val="8"/>
            <color indexed="81"/>
            <rFont val="Tahoma"/>
            <family val="2"/>
          </rPr>
          <t>Martin Shkreli:</t>
        </r>
        <r>
          <rPr>
            <sz val="8"/>
            <color indexed="81"/>
            <rFont val="Tahoma"/>
            <family val="2"/>
          </rPr>
          <t xml:space="preserve">
6615 jpm
6615 bear</t>
        </r>
      </text>
    </comment>
    <comment ref="EB61"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1" authorId="1" shapeId="0" xr:uid="{00000000-0006-0000-0700-0000EE010000}">
      <text>
        <r>
          <rPr>
            <b/>
            <sz val="8"/>
            <color indexed="81"/>
            <rFont val="Tahoma"/>
            <family val="2"/>
          </rPr>
          <t>Martin Shkreli:</t>
        </r>
        <r>
          <rPr>
            <sz val="8"/>
            <color indexed="81"/>
            <rFont val="Tahoma"/>
            <family val="2"/>
          </rPr>
          <t xml:space="preserve">
was 17.9 many years ago</t>
        </r>
      </text>
    </comment>
    <comment ref="T62" authorId="1" shapeId="0" xr:uid="{00000000-0006-0000-0700-0000EF010000}">
      <text>
        <r>
          <rPr>
            <b/>
            <sz val="8"/>
            <color indexed="81"/>
            <rFont val="Tahoma"/>
            <family val="2"/>
          </rPr>
          <t>Martin Shkreli:</t>
        </r>
        <r>
          <rPr>
            <sz val="8"/>
            <color indexed="81"/>
            <rFont val="Tahoma"/>
            <family val="2"/>
          </rPr>
          <t xml:space="preserve">
78m Bear</t>
        </r>
      </text>
    </comment>
    <comment ref="AV62" authorId="8" shapeId="0" xr:uid="{00000000-0006-0000-0700-0000F0010000}">
      <text>
        <r>
          <rPr>
            <b/>
            <sz val="8"/>
            <color indexed="81"/>
            <rFont val="Tahoma"/>
            <family val="2"/>
          </rPr>
          <t>RBC:</t>
        </r>
        <r>
          <rPr>
            <sz val="8"/>
            <color indexed="81"/>
            <rFont val="Tahoma"/>
            <family val="2"/>
          </rPr>
          <t xml:space="preserve">
200m from Amgen?</t>
        </r>
      </text>
    </comment>
    <comment ref="DI62" authorId="1" shapeId="0" xr:uid="{00000000-0006-0000-0700-0000F1010000}">
      <text>
        <r>
          <rPr>
            <b/>
            <sz val="8"/>
            <color indexed="81"/>
            <rFont val="Tahoma"/>
            <family val="2"/>
          </rPr>
          <t>Martin Shkreli:</t>
        </r>
        <r>
          <rPr>
            <sz val="8"/>
            <color indexed="81"/>
            <rFont val="Tahoma"/>
            <family val="2"/>
          </rPr>
          <t xml:space="preserve">
-362 bear</t>
        </r>
      </text>
    </comment>
    <comment ref="DJ62" authorId="1" shapeId="0" xr:uid="{00000000-0006-0000-0700-0000F2010000}">
      <text>
        <r>
          <rPr>
            <b/>
            <sz val="8"/>
            <color indexed="81"/>
            <rFont val="Tahoma"/>
            <family val="2"/>
          </rPr>
          <t>Martin Shkreli:</t>
        </r>
        <r>
          <rPr>
            <sz val="8"/>
            <color indexed="81"/>
            <rFont val="Tahoma"/>
            <family val="2"/>
          </rPr>
          <t xml:space="preserve">
-57 bear</t>
        </r>
      </text>
    </comment>
    <comment ref="DK62" authorId="1" shapeId="0" xr:uid="{00000000-0006-0000-0700-0000F3010000}">
      <text>
        <r>
          <rPr>
            <b/>
            <sz val="8"/>
            <color indexed="81"/>
            <rFont val="Tahoma"/>
            <family val="2"/>
          </rPr>
          <t>Martin Shkreli:</t>
        </r>
        <r>
          <rPr>
            <sz val="8"/>
            <color indexed="81"/>
            <rFont val="Tahoma"/>
            <family val="2"/>
          </rPr>
          <t xml:space="preserve">
-60 bear</t>
        </r>
      </text>
    </comment>
    <comment ref="DL62" authorId="1" shapeId="0" xr:uid="{00000000-0006-0000-0700-0000F4010000}">
      <text>
        <r>
          <rPr>
            <b/>
            <sz val="8"/>
            <color indexed="81"/>
            <rFont val="Tahoma"/>
            <family val="2"/>
          </rPr>
          <t>Martin Shkreli:</t>
        </r>
        <r>
          <rPr>
            <sz val="8"/>
            <color indexed="81"/>
            <rFont val="Tahoma"/>
            <family val="2"/>
          </rPr>
          <t xml:space="preserve">
10 bear</t>
        </r>
      </text>
    </comment>
    <comment ref="DM62" authorId="1" shapeId="0" xr:uid="{00000000-0006-0000-0700-0000F5010000}">
      <text>
        <r>
          <rPr>
            <b/>
            <sz val="8"/>
            <color indexed="81"/>
            <rFont val="Tahoma"/>
            <family val="2"/>
          </rPr>
          <t>Martin Shkreli:</t>
        </r>
        <r>
          <rPr>
            <sz val="8"/>
            <color indexed="81"/>
            <rFont val="Tahoma"/>
            <family val="2"/>
          </rPr>
          <t xml:space="preserve">
-92 bear</t>
        </r>
      </text>
    </comment>
    <comment ref="DN62" authorId="1" shapeId="0" xr:uid="{00000000-0006-0000-0700-0000F6010000}">
      <text>
        <r>
          <rPr>
            <b/>
            <sz val="8"/>
            <color indexed="81"/>
            <rFont val="Tahoma"/>
            <family val="2"/>
          </rPr>
          <t>Martin Shkreli:</t>
        </r>
        <r>
          <rPr>
            <sz val="8"/>
            <color indexed="81"/>
            <rFont val="Tahoma"/>
            <family val="2"/>
          </rPr>
          <t xml:space="preserve">
-103 bear</t>
        </r>
      </text>
    </comment>
    <comment ref="DO62" authorId="1" shapeId="0" xr:uid="{00000000-0006-0000-0700-0000F7010000}">
      <text>
        <r>
          <rPr>
            <b/>
            <sz val="8"/>
            <color indexed="81"/>
            <rFont val="Tahoma"/>
            <family val="2"/>
          </rPr>
          <t>Martin Shkreli:</t>
        </r>
        <r>
          <rPr>
            <sz val="8"/>
            <color indexed="81"/>
            <rFont val="Tahoma"/>
            <family val="2"/>
          </rPr>
          <t xml:space="preserve">
-102 bear</t>
        </r>
      </text>
    </comment>
    <comment ref="DP62" authorId="1" shapeId="0" xr:uid="{00000000-0006-0000-0700-0000F8010000}">
      <text>
        <r>
          <rPr>
            <b/>
            <sz val="8"/>
            <color indexed="81"/>
            <rFont val="Tahoma"/>
            <family val="2"/>
          </rPr>
          <t>Martin Shkreli:</t>
        </r>
        <r>
          <rPr>
            <sz val="8"/>
            <color indexed="81"/>
            <rFont val="Tahoma"/>
            <family val="2"/>
          </rPr>
          <t xml:space="preserve">
94 bear</t>
        </r>
      </text>
    </comment>
    <comment ref="DQ62" authorId="1" shapeId="0" xr:uid="{00000000-0006-0000-0700-0000F9010000}">
      <text>
        <r>
          <rPr>
            <b/>
            <sz val="8"/>
            <color indexed="81"/>
            <rFont val="Tahoma"/>
            <family val="2"/>
          </rPr>
          <t>Martin Shkreli:</t>
        </r>
        <r>
          <rPr>
            <sz val="8"/>
            <color indexed="81"/>
            <rFont val="Tahoma"/>
            <family val="2"/>
          </rPr>
          <t xml:space="preserve">
104 bear</t>
        </r>
      </text>
    </comment>
    <comment ref="DR62" authorId="1" shapeId="0" xr:uid="{00000000-0006-0000-0700-0000FA010000}">
      <text>
        <r>
          <rPr>
            <b/>
            <sz val="8"/>
            <color indexed="81"/>
            <rFont val="Tahoma"/>
            <family val="2"/>
          </rPr>
          <t>Martin Shkreli:</t>
        </r>
        <r>
          <rPr>
            <sz val="8"/>
            <color indexed="81"/>
            <rFont val="Tahoma"/>
            <family val="2"/>
          </rPr>
          <t xml:space="preserve">
-108 bear</t>
        </r>
      </text>
    </comment>
    <comment ref="DS62" authorId="1" shapeId="0" xr:uid="{00000000-0006-0000-0700-0000FB010000}">
      <text>
        <r>
          <rPr>
            <b/>
            <sz val="8"/>
            <color indexed="81"/>
            <rFont val="Tahoma"/>
            <family val="2"/>
          </rPr>
          <t>Martin Shkreli:</t>
        </r>
        <r>
          <rPr>
            <sz val="8"/>
            <color indexed="81"/>
            <rFont val="Tahoma"/>
            <family val="2"/>
          </rPr>
          <t xml:space="preserve">
350 bear</t>
        </r>
      </text>
    </comment>
    <comment ref="DT62" authorId="1" shapeId="0" xr:uid="{00000000-0006-0000-0700-0000FC010000}">
      <text>
        <r>
          <rPr>
            <b/>
            <sz val="8"/>
            <color indexed="81"/>
            <rFont val="Tahoma"/>
            <family val="2"/>
          </rPr>
          <t>Martin Shkreli:</t>
        </r>
        <r>
          <rPr>
            <sz val="8"/>
            <color indexed="81"/>
            <rFont val="Tahoma"/>
            <family val="2"/>
          </rPr>
          <t xml:space="preserve">
265 bear</t>
        </r>
      </text>
    </comment>
    <comment ref="DZ62"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2"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3" authorId="1" shapeId="0" xr:uid="{00000000-0006-0000-0700-0000FF010000}">
      <text>
        <r>
          <rPr>
            <b/>
            <sz val="8"/>
            <color indexed="81"/>
            <rFont val="Tahoma"/>
            <family val="2"/>
          </rPr>
          <t>Martin Shkreli:</t>
        </r>
        <r>
          <rPr>
            <sz val="8"/>
            <color indexed="81"/>
            <rFont val="Tahoma"/>
            <family val="2"/>
          </rPr>
          <t xml:space="preserve">
-6 jpm actual</t>
        </r>
      </text>
    </comment>
    <comment ref="T63" authorId="1" shapeId="0" xr:uid="{00000000-0006-0000-0700-000000020000}">
      <text>
        <r>
          <rPr>
            <b/>
            <sz val="8"/>
            <color indexed="81"/>
            <rFont val="Tahoma"/>
            <family val="2"/>
          </rPr>
          <t>Martin Shkreli:</t>
        </r>
        <r>
          <rPr>
            <sz val="8"/>
            <color indexed="81"/>
            <rFont val="Tahoma"/>
            <family val="2"/>
          </rPr>
          <t xml:space="preserve">
8m Bear</t>
        </r>
      </text>
    </comment>
    <comment ref="AE63" authorId="2" shapeId="0" xr:uid="{00000000-0006-0000-0700-000001020000}">
      <text>
        <r>
          <rPr>
            <sz val="8"/>
            <color indexed="8"/>
            <rFont val="Times New Roman"/>
            <family val="1"/>
          </rPr>
          <t>Includes gain on sale from orthopedics casting business</t>
        </r>
      </text>
    </comment>
    <comment ref="AM63"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4" authorId="1" shapeId="0" xr:uid="{00000000-0006-0000-0700-000003020000}">
      <text>
        <r>
          <rPr>
            <b/>
            <sz val="8"/>
            <color indexed="81"/>
            <rFont val="Tahoma"/>
            <family val="2"/>
          </rPr>
          <t>Martin Shkreli:</t>
        </r>
        <r>
          <rPr>
            <sz val="8"/>
            <color indexed="81"/>
            <rFont val="Tahoma"/>
            <family val="2"/>
          </rPr>
          <t xml:space="preserve">
1650 jpm</t>
        </r>
      </text>
    </comment>
    <comment ref="L64" authorId="1" shapeId="0" xr:uid="{00000000-0006-0000-0700-000004020000}">
      <text>
        <r>
          <rPr>
            <b/>
            <sz val="8"/>
            <color indexed="81"/>
            <rFont val="Tahoma"/>
            <family val="2"/>
          </rPr>
          <t>Martin Shkreli:</t>
        </r>
        <r>
          <rPr>
            <sz val="8"/>
            <color indexed="81"/>
            <rFont val="Tahoma"/>
            <family val="2"/>
          </rPr>
          <t xml:space="preserve">
1676 jpm</t>
        </r>
      </text>
    </comment>
    <comment ref="M64" authorId="1" shapeId="0" xr:uid="{00000000-0006-0000-0700-000005020000}">
      <text>
        <r>
          <rPr>
            <b/>
            <sz val="8"/>
            <color indexed="81"/>
            <rFont val="Tahoma"/>
            <family val="2"/>
          </rPr>
          <t>Martin Shkreli:</t>
        </r>
        <r>
          <rPr>
            <sz val="8"/>
            <color indexed="81"/>
            <rFont val="Tahoma"/>
            <family val="2"/>
          </rPr>
          <t xml:space="preserve">
1593 jpm</t>
        </r>
      </text>
    </comment>
    <comment ref="N64" authorId="1" shapeId="0" xr:uid="{00000000-0006-0000-0700-000006020000}">
      <text>
        <r>
          <rPr>
            <b/>
            <sz val="8"/>
            <color indexed="81"/>
            <rFont val="Tahoma"/>
            <family val="2"/>
          </rPr>
          <t>Martin Shkreli:</t>
        </r>
        <r>
          <rPr>
            <sz val="8"/>
            <color indexed="81"/>
            <rFont val="Tahoma"/>
            <family val="2"/>
          </rPr>
          <t xml:space="preserve">
978 jpm</t>
        </r>
      </text>
    </comment>
    <comment ref="O64" authorId="1" shapeId="0" xr:uid="{00000000-0006-0000-0700-000007020000}">
      <text>
        <r>
          <rPr>
            <b/>
            <sz val="8"/>
            <color indexed="81"/>
            <rFont val="Tahoma"/>
            <family val="2"/>
          </rPr>
          <t>Martin Shkreli:</t>
        </r>
        <r>
          <rPr>
            <sz val="8"/>
            <color indexed="81"/>
            <rFont val="Tahoma"/>
            <family val="2"/>
          </rPr>
          <t xml:space="preserve">
1936 jpm
1936 bear</t>
        </r>
      </text>
    </comment>
    <comment ref="P64" authorId="1" shapeId="0" xr:uid="{00000000-0006-0000-0700-000008020000}">
      <text>
        <r>
          <rPr>
            <b/>
            <sz val="8"/>
            <color indexed="81"/>
            <rFont val="Tahoma"/>
            <family val="2"/>
          </rPr>
          <t>Martin Shkreli:</t>
        </r>
        <r>
          <rPr>
            <sz val="8"/>
            <color indexed="81"/>
            <rFont val="Tahoma"/>
            <family val="2"/>
          </rPr>
          <t xml:space="preserve">
1927 jpm
1927 bear</t>
        </r>
      </text>
    </comment>
    <comment ref="Q64" authorId="1" shapeId="0" xr:uid="{00000000-0006-0000-0700-000009020000}">
      <text>
        <r>
          <rPr>
            <b/>
            <sz val="8"/>
            <color indexed="81"/>
            <rFont val="Tahoma"/>
            <family val="2"/>
          </rPr>
          <t>Martin Shkreli:</t>
        </r>
        <r>
          <rPr>
            <sz val="8"/>
            <color indexed="81"/>
            <rFont val="Tahoma"/>
            <family val="2"/>
          </rPr>
          <t xml:space="preserve">
1848 jpm
1848 bear</t>
        </r>
      </text>
    </comment>
    <comment ref="R64" authorId="1" shapeId="0" xr:uid="{00000000-0006-0000-0700-00000A020000}">
      <text>
        <r>
          <rPr>
            <b/>
            <sz val="8"/>
            <color indexed="81"/>
            <rFont val="Tahoma"/>
            <family val="2"/>
          </rPr>
          <t>Martin Shkreli:</t>
        </r>
        <r>
          <rPr>
            <sz val="8"/>
            <color indexed="81"/>
            <rFont val="Tahoma"/>
            <family val="2"/>
          </rPr>
          <t xml:space="preserve">
1220 jpm
1254 bear</t>
        </r>
      </text>
    </comment>
    <comment ref="S64" authorId="1" shapeId="0" xr:uid="{00000000-0006-0000-0700-00000B020000}">
      <text>
        <r>
          <rPr>
            <b/>
            <sz val="8"/>
            <color indexed="81"/>
            <rFont val="Tahoma"/>
            <family val="2"/>
          </rPr>
          <t>Martin Shkreli:</t>
        </r>
        <r>
          <rPr>
            <sz val="8"/>
            <color indexed="81"/>
            <rFont val="Tahoma"/>
            <family val="2"/>
          </rPr>
          <t xml:space="preserve">
2218 bear</t>
        </r>
      </text>
    </comment>
    <comment ref="T64" authorId="1" shapeId="0" xr:uid="{00000000-0006-0000-0700-00000C020000}">
      <text>
        <r>
          <rPr>
            <b/>
            <sz val="8"/>
            <color indexed="81"/>
            <rFont val="Tahoma"/>
            <family val="2"/>
          </rPr>
          <t>Martin Shkreli:</t>
        </r>
        <r>
          <rPr>
            <sz val="8"/>
            <color indexed="81"/>
            <rFont val="Tahoma"/>
            <family val="2"/>
          </rPr>
          <t xml:space="preserve">
2238 bear</t>
        </r>
      </text>
    </comment>
    <comment ref="U64" authorId="1" shapeId="0" xr:uid="{00000000-0006-0000-0700-00000D020000}">
      <text>
        <r>
          <rPr>
            <b/>
            <sz val="8"/>
            <color indexed="81"/>
            <rFont val="Tahoma"/>
            <family val="2"/>
          </rPr>
          <t>Martin Shkreli:</t>
        </r>
        <r>
          <rPr>
            <sz val="8"/>
            <color indexed="81"/>
            <rFont val="Tahoma"/>
            <family val="2"/>
          </rPr>
          <t xml:space="preserve">
2146 bear</t>
        </r>
      </text>
    </comment>
    <comment ref="X64" authorId="1" shapeId="0" xr:uid="{00000000-0006-0000-0700-00000E020000}">
      <text>
        <r>
          <rPr>
            <b/>
            <sz val="8"/>
            <color indexed="81"/>
            <rFont val="Tahoma"/>
            <family val="2"/>
          </rPr>
          <t>Martin Shkreli:</t>
        </r>
        <r>
          <rPr>
            <sz val="8"/>
            <color indexed="81"/>
            <rFont val="Tahoma"/>
            <family val="2"/>
          </rPr>
          <t xml:space="preserve">
2617 bear</t>
        </r>
      </text>
    </comment>
    <comment ref="AD64" authorId="1" shapeId="0" xr:uid="{00000000-0006-0000-0700-00000F020000}">
      <text>
        <r>
          <rPr>
            <b/>
            <sz val="8"/>
            <color indexed="81"/>
            <rFont val="Tahoma"/>
            <family val="2"/>
          </rPr>
          <t>Martin Shkreli:</t>
        </r>
        <r>
          <rPr>
            <sz val="8"/>
            <color indexed="81"/>
            <rFont val="Tahoma"/>
            <family val="2"/>
          </rPr>
          <t xml:space="preserve">
2232 bear</t>
        </r>
      </text>
    </comment>
    <comment ref="AE64" authorId="1" shapeId="0" xr:uid="{00000000-0006-0000-0700-000010020000}">
      <text>
        <r>
          <rPr>
            <b/>
            <sz val="8"/>
            <color indexed="81"/>
            <rFont val="Tahoma"/>
            <family val="2"/>
          </rPr>
          <t>Martin Shkreli:</t>
        </r>
        <r>
          <rPr>
            <sz val="8"/>
            <color indexed="81"/>
            <rFont val="Tahoma"/>
            <family val="2"/>
          </rPr>
          <t xml:space="preserve">
3516 bear</t>
        </r>
      </text>
    </comment>
    <comment ref="AI64" authorId="1" shapeId="0" xr:uid="{00000000-0006-0000-0700-000011020000}">
      <text>
        <r>
          <rPr>
            <b/>
            <sz val="8"/>
            <color indexed="81"/>
            <rFont val="Tahoma"/>
            <family val="2"/>
          </rPr>
          <t>Martin Shkreli:</t>
        </r>
        <r>
          <rPr>
            <sz val="8"/>
            <color indexed="81"/>
            <rFont val="Tahoma"/>
            <family val="2"/>
          </rPr>
          <t xml:space="preserve">
4062 bear</t>
        </r>
      </text>
    </comment>
    <comment ref="AJ64" authorId="1" shapeId="0" xr:uid="{00000000-0006-0000-0700-000012020000}">
      <text>
        <r>
          <rPr>
            <b/>
            <sz val="8"/>
            <color indexed="81"/>
            <rFont val="Tahoma"/>
            <family val="2"/>
          </rPr>
          <t>Martin Shkreli:</t>
        </r>
        <r>
          <rPr>
            <sz val="8"/>
            <color indexed="81"/>
            <rFont val="Tahoma"/>
            <family val="2"/>
          </rPr>
          <t xml:space="preserve">
3755 bear</t>
        </r>
      </text>
    </comment>
    <comment ref="AK64" authorId="1" shapeId="0" xr:uid="{00000000-0006-0000-0700-000013020000}">
      <text>
        <r>
          <rPr>
            <b/>
            <sz val="8"/>
            <color indexed="81"/>
            <rFont val="Tahoma"/>
            <family val="2"/>
          </rPr>
          <t>Martin Shkreli:</t>
        </r>
        <r>
          <rPr>
            <sz val="8"/>
            <color indexed="81"/>
            <rFont val="Tahoma"/>
            <family val="2"/>
          </rPr>
          <t xml:space="preserve">
3554 bear</t>
        </r>
      </text>
    </comment>
    <comment ref="AL64" authorId="1" shapeId="0" xr:uid="{00000000-0006-0000-0700-000014020000}">
      <text>
        <r>
          <rPr>
            <b/>
            <sz val="8"/>
            <color indexed="81"/>
            <rFont val="Tahoma"/>
            <family val="2"/>
          </rPr>
          <t>Martin Shkreli:</t>
        </r>
        <r>
          <rPr>
            <sz val="8"/>
            <color indexed="81"/>
            <rFont val="Tahoma"/>
            <family val="2"/>
          </rPr>
          <t xml:space="preserve">
2647 bear</t>
        </r>
      </text>
    </comment>
    <comment ref="AM64" authorId="1" shapeId="0" xr:uid="{00000000-0006-0000-0700-000015020000}">
      <text>
        <r>
          <rPr>
            <b/>
            <sz val="8"/>
            <color indexed="81"/>
            <rFont val="Tahoma"/>
            <family val="2"/>
          </rPr>
          <t>Martin Shkreli:</t>
        </r>
        <r>
          <rPr>
            <sz val="8"/>
            <color indexed="81"/>
            <rFont val="Tahoma"/>
            <family val="2"/>
          </rPr>
          <t xml:space="preserve">
4030 bear</t>
        </r>
      </text>
    </comment>
    <comment ref="DI64" authorId="1" shapeId="0" xr:uid="{00000000-0006-0000-0700-000016020000}">
      <text>
        <r>
          <rPr>
            <b/>
            <sz val="8"/>
            <color indexed="81"/>
            <rFont val="Tahoma"/>
            <family val="2"/>
          </rPr>
          <t>Martin Shkreli:</t>
        </r>
        <r>
          <rPr>
            <sz val="8"/>
            <color indexed="81"/>
            <rFont val="Tahoma"/>
            <family val="2"/>
          </rPr>
          <t xml:space="preserve">
1662 bear</t>
        </r>
      </text>
    </comment>
    <comment ref="DJ64" authorId="1" shapeId="0" xr:uid="{00000000-0006-0000-0700-000017020000}">
      <text>
        <r>
          <rPr>
            <b/>
            <sz val="8"/>
            <color indexed="81"/>
            <rFont val="Tahoma"/>
            <family val="2"/>
          </rPr>
          <t>Martin Shkreli:</t>
        </r>
        <r>
          <rPr>
            <sz val="8"/>
            <color indexed="81"/>
            <rFont val="Tahoma"/>
            <family val="2"/>
          </rPr>
          <t xml:space="preserve">
1972 bear</t>
        </r>
      </text>
    </comment>
    <comment ref="DK64" authorId="1" shapeId="0" xr:uid="{00000000-0006-0000-0700-000018020000}">
      <text>
        <r>
          <rPr>
            <b/>
            <sz val="8"/>
            <color indexed="81"/>
            <rFont val="Tahoma"/>
            <family val="2"/>
          </rPr>
          <t>Martin Shkreli:</t>
        </r>
        <r>
          <rPr>
            <sz val="8"/>
            <color indexed="81"/>
            <rFont val="Tahoma"/>
            <family val="2"/>
          </rPr>
          <t xml:space="preserve">
2119 bear</t>
        </r>
      </text>
    </comment>
    <comment ref="DL64" authorId="1" shapeId="0" xr:uid="{00000000-0006-0000-0700-000019020000}">
      <text>
        <r>
          <rPr>
            <b/>
            <sz val="8"/>
            <color indexed="81"/>
            <rFont val="Tahoma"/>
            <family val="2"/>
          </rPr>
          <t>Martin Shkreli:</t>
        </r>
        <r>
          <rPr>
            <sz val="8"/>
            <color indexed="81"/>
            <rFont val="Tahoma"/>
            <family val="2"/>
          </rPr>
          <t xml:space="preserve">
2319 bear</t>
        </r>
      </text>
    </comment>
    <comment ref="DM64" authorId="1" shapeId="0" xr:uid="{00000000-0006-0000-0700-00001A020000}">
      <text>
        <r>
          <rPr>
            <b/>
            <sz val="8"/>
            <color indexed="81"/>
            <rFont val="Tahoma"/>
            <family val="2"/>
          </rPr>
          <t>Martin Shkreli:</t>
        </r>
        <r>
          <rPr>
            <sz val="8"/>
            <color indexed="81"/>
            <rFont val="Tahoma"/>
            <family val="2"/>
          </rPr>
          <t xml:space="preserve">
2652 bear</t>
        </r>
      </text>
    </comment>
    <comment ref="DN64" authorId="1" shapeId="0" xr:uid="{00000000-0006-0000-0700-00001B020000}">
      <text>
        <r>
          <rPr>
            <b/>
            <sz val="8"/>
            <color indexed="81"/>
            <rFont val="Tahoma"/>
            <family val="2"/>
          </rPr>
          <t>Martin Shkreli:</t>
        </r>
        <r>
          <rPr>
            <sz val="8"/>
            <color indexed="81"/>
            <rFont val="Tahoma"/>
            <family val="2"/>
          </rPr>
          <t xml:space="preserve">
3344 bear</t>
        </r>
      </text>
    </comment>
    <comment ref="DO64" authorId="1" shapeId="0" xr:uid="{00000000-0006-0000-0700-00001C020000}">
      <text>
        <r>
          <rPr>
            <b/>
            <sz val="8"/>
            <color indexed="81"/>
            <rFont val="Tahoma"/>
            <family val="2"/>
          </rPr>
          <t>Martin Shkreli:</t>
        </r>
        <r>
          <rPr>
            <sz val="8"/>
            <color indexed="81"/>
            <rFont val="Tahoma"/>
            <family val="2"/>
          </rPr>
          <t xml:space="preserve">
4143 bear</t>
        </r>
      </text>
    </comment>
    <comment ref="DP64" authorId="1" shapeId="0" xr:uid="{00000000-0006-0000-0700-00001D020000}">
      <text>
        <r>
          <rPr>
            <b/>
            <sz val="8"/>
            <color indexed="81"/>
            <rFont val="Tahoma"/>
            <family val="2"/>
          </rPr>
          <t>Martin Shkreli:</t>
        </r>
        <r>
          <rPr>
            <sz val="8"/>
            <color indexed="81"/>
            <rFont val="Tahoma"/>
            <family val="2"/>
          </rPr>
          <t xml:space="preserve">
4708 bear</t>
        </r>
      </text>
    </comment>
    <comment ref="DQ64" authorId="1" shapeId="0" xr:uid="{00000000-0006-0000-0700-00001E020000}">
      <text>
        <r>
          <rPr>
            <b/>
            <sz val="8"/>
            <color indexed="81"/>
            <rFont val="Tahoma"/>
            <family val="2"/>
          </rPr>
          <t>Martin Shkreli:</t>
        </r>
        <r>
          <rPr>
            <sz val="8"/>
            <color indexed="81"/>
            <rFont val="Tahoma"/>
            <family val="2"/>
          </rPr>
          <t xml:space="preserve">
5184 bear</t>
        </r>
      </text>
    </comment>
    <comment ref="DR64" authorId="1" shapeId="0" xr:uid="{00000000-0006-0000-0700-00001F020000}">
      <text>
        <r>
          <rPr>
            <b/>
            <sz val="8"/>
            <color indexed="81"/>
            <rFont val="Tahoma"/>
            <family val="2"/>
          </rPr>
          <t>Martin Shkreli:</t>
        </r>
        <r>
          <rPr>
            <sz val="8"/>
            <color indexed="81"/>
            <rFont val="Tahoma"/>
            <family val="2"/>
          </rPr>
          <t xml:space="preserve">
5896 jpm
5877 bear</t>
        </r>
      </text>
    </comment>
    <comment ref="DS64" authorId="1" shapeId="0" xr:uid="{00000000-0006-0000-0700-000020020000}">
      <text>
        <r>
          <rPr>
            <b/>
            <sz val="8"/>
            <color indexed="81"/>
            <rFont val="Tahoma"/>
            <family val="2"/>
          </rPr>
          <t>Martin Shkreli:</t>
        </r>
        <r>
          <rPr>
            <sz val="8"/>
            <color indexed="81"/>
            <rFont val="Tahoma"/>
            <family val="2"/>
          </rPr>
          <t xml:space="preserve">
6930 jpm
6964 bear</t>
        </r>
      </text>
    </comment>
    <comment ref="DT64" authorId="1" shapeId="0" xr:uid="{00000000-0006-0000-0700-000021020000}">
      <text>
        <r>
          <rPr>
            <b/>
            <sz val="8"/>
            <color indexed="81"/>
            <rFont val="Tahoma"/>
            <family val="2"/>
          </rPr>
          <t>Martin Shkreli:</t>
        </r>
        <r>
          <rPr>
            <sz val="8"/>
            <color indexed="81"/>
            <rFont val="Tahoma"/>
            <family val="2"/>
          </rPr>
          <t xml:space="preserve">
8151 bear</t>
        </r>
      </text>
    </comment>
    <comment ref="DV64" authorId="1" shapeId="0" xr:uid="{00000000-0006-0000-0700-000022020000}">
      <text>
        <r>
          <rPr>
            <b/>
            <sz val="8"/>
            <color indexed="81"/>
            <rFont val="Tahoma"/>
            <family val="2"/>
          </rPr>
          <t>Martin Shkreli:</t>
        </r>
        <r>
          <rPr>
            <sz val="8"/>
            <color indexed="81"/>
            <rFont val="Tahoma"/>
            <family val="2"/>
          </rPr>
          <t xml:space="preserve">
11084 bear</t>
        </r>
      </text>
    </comment>
    <comment ref="K65" authorId="1" shapeId="0" xr:uid="{00000000-0006-0000-0700-000023020000}">
      <text>
        <r>
          <rPr>
            <b/>
            <sz val="8"/>
            <color indexed="81"/>
            <rFont val="Tahoma"/>
            <family val="2"/>
          </rPr>
          <t>Martin Shkreli:</t>
        </r>
        <r>
          <rPr>
            <sz val="8"/>
            <color indexed="81"/>
            <rFont val="Tahoma"/>
            <family val="2"/>
          </rPr>
          <t xml:space="preserve">
493 jpm</t>
        </r>
      </text>
    </comment>
    <comment ref="L65" authorId="1" shapeId="0" xr:uid="{00000000-0006-0000-0700-000024020000}">
      <text>
        <r>
          <rPr>
            <b/>
            <sz val="8"/>
            <color indexed="81"/>
            <rFont val="Tahoma"/>
            <family val="2"/>
          </rPr>
          <t>Martin Shkreli:</t>
        </r>
        <r>
          <rPr>
            <sz val="8"/>
            <color indexed="81"/>
            <rFont val="Tahoma"/>
            <family val="2"/>
          </rPr>
          <t xml:space="preserve">
472 jpm</t>
        </r>
      </text>
    </comment>
    <comment ref="M65" authorId="1" shapeId="0" xr:uid="{00000000-0006-0000-0700-000025020000}">
      <text>
        <r>
          <rPr>
            <b/>
            <sz val="8"/>
            <color indexed="81"/>
            <rFont val="Tahoma"/>
            <family val="2"/>
          </rPr>
          <t>Martin Shkreli:</t>
        </r>
        <r>
          <rPr>
            <sz val="8"/>
            <color indexed="81"/>
            <rFont val="Tahoma"/>
            <family val="2"/>
          </rPr>
          <t xml:space="preserve">
428 jpm</t>
        </r>
      </text>
    </comment>
    <comment ref="N65" authorId="1" shapeId="0" xr:uid="{00000000-0006-0000-0700-000026020000}">
      <text>
        <r>
          <rPr>
            <b/>
            <sz val="8"/>
            <color indexed="81"/>
            <rFont val="Tahoma"/>
            <family val="2"/>
          </rPr>
          <t>Martin Shkreli:</t>
        </r>
        <r>
          <rPr>
            <sz val="8"/>
            <color indexed="81"/>
            <rFont val="Tahoma"/>
            <family val="2"/>
          </rPr>
          <t xml:space="preserve">
215 jpm</t>
        </r>
      </text>
    </comment>
    <comment ref="O65" authorId="1" shapeId="0" xr:uid="{00000000-0006-0000-0700-000027020000}">
      <text>
        <r>
          <rPr>
            <b/>
            <sz val="8"/>
            <color indexed="81"/>
            <rFont val="Tahoma"/>
            <family val="2"/>
          </rPr>
          <t>Martin Shkreli:</t>
        </r>
        <r>
          <rPr>
            <sz val="8"/>
            <color indexed="81"/>
            <rFont val="Tahoma"/>
            <family val="2"/>
          </rPr>
          <t xml:space="preserve">
590 jpm
590 bear</t>
        </r>
      </text>
    </comment>
    <comment ref="P65" authorId="1" shapeId="0" xr:uid="{00000000-0006-0000-0700-000028020000}">
      <text>
        <r>
          <rPr>
            <b/>
            <sz val="8"/>
            <color indexed="81"/>
            <rFont val="Tahoma"/>
            <family val="2"/>
          </rPr>
          <t>Martin Shkreli:</t>
        </r>
        <r>
          <rPr>
            <sz val="8"/>
            <color indexed="81"/>
            <rFont val="Tahoma"/>
            <family val="2"/>
          </rPr>
          <t xml:space="preserve">
554 jpm
555 bear</t>
        </r>
      </text>
    </comment>
    <comment ref="Q65" authorId="1" shapeId="0" xr:uid="{00000000-0006-0000-0700-000029020000}">
      <text>
        <r>
          <rPr>
            <b/>
            <sz val="8"/>
            <color indexed="81"/>
            <rFont val="Tahoma"/>
            <family val="2"/>
          </rPr>
          <t>Martin Shkreli:</t>
        </r>
        <r>
          <rPr>
            <sz val="8"/>
            <color indexed="81"/>
            <rFont val="Tahoma"/>
            <family val="2"/>
          </rPr>
          <t xml:space="preserve">
514 jpm
515 bear</t>
        </r>
      </text>
    </comment>
    <comment ref="R65" authorId="1" shapeId="0" xr:uid="{00000000-0006-0000-0700-00002A020000}">
      <text>
        <r>
          <rPr>
            <b/>
            <sz val="8"/>
            <color indexed="81"/>
            <rFont val="Tahoma"/>
            <family val="2"/>
          </rPr>
          <t>Martin Shkreli:</t>
        </r>
        <r>
          <rPr>
            <sz val="8"/>
            <color indexed="81"/>
            <rFont val="Tahoma"/>
            <family val="2"/>
          </rPr>
          <t xml:space="preserve">
274 jpm
261 bear</t>
        </r>
      </text>
    </comment>
    <comment ref="S65" authorId="1" shapeId="0" xr:uid="{00000000-0006-0000-0700-00002B020000}">
      <text>
        <r>
          <rPr>
            <b/>
            <sz val="8"/>
            <color indexed="81"/>
            <rFont val="Tahoma"/>
            <family val="2"/>
          </rPr>
          <t>Martin Shkreli:</t>
        </r>
        <r>
          <rPr>
            <sz val="8"/>
            <color indexed="81"/>
            <rFont val="Tahoma"/>
            <family val="2"/>
          </rPr>
          <t xml:space="preserve">
665 bear
669 jpm</t>
        </r>
      </text>
    </comment>
    <comment ref="T65" authorId="1" shapeId="0" xr:uid="{00000000-0006-0000-0700-00002C020000}">
      <text>
        <r>
          <rPr>
            <b/>
            <sz val="8"/>
            <color indexed="81"/>
            <rFont val="Tahoma"/>
            <family val="2"/>
          </rPr>
          <t>Martin Shkreli:</t>
        </r>
        <r>
          <rPr>
            <sz val="8"/>
            <color indexed="81"/>
            <rFont val="Tahoma"/>
            <family val="2"/>
          </rPr>
          <t xml:space="preserve">
654 bear</t>
        </r>
      </text>
    </comment>
    <comment ref="U65" authorId="1" shapeId="0" xr:uid="{00000000-0006-0000-0700-00002D020000}">
      <text>
        <r>
          <rPr>
            <b/>
            <sz val="8"/>
            <color indexed="81"/>
            <rFont val="Tahoma"/>
            <family val="2"/>
          </rPr>
          <t>Martin Shkreli:</t>
        </r>
        <r>
          <rPr>
            <sz val="8"/>
            <color indexed="81"/>
            <rFont val="Tahoma"/>
            <family val="2"/>
          </rPr>
          <t xml:space="preserve">
593 bear</t>
        </r>
      </text>
    </comment>
    <comment ref="AA65" authorId="1" shapeId="0" xr:uid="{00000000-0006-0000-0700-00002E020000}">
      <text>
        <r>
          <rPr>
            <b/>
            <sz val="8"/>
            <color indexed="81"/>
            <rFont val="Tahoma"/>
            <family val="2"/>
          </rPr>
          <t>Martin Shkreli:</t>
        </r>
        <r>
          <rPr>
            <sz val="8"/>
            <color indexed="81"/>
            <rFont val="Tahoma"/>
            <family val="2"/>
          </rPr>
          <t xml:space="preserve">
862 bear</t>
        </r>
      </text>
    </comment>
    <comment ref="AI65" authorId="1" shapeId="0" xr:uid="{00000000-0006-0000-0700-00002F020000}">
      <text>
        <r>
          <rPr>
            <b/>
            <sz val="8"/>
            <color indexed="81"/>
            <rFont val="Tahoma"/>
            <family val="2"/>
          </rPr>
          <t>Martin Shkreli:</t>
        </r>
        <r>
          <rPr>
            <sz val="8"/>
            <color indexed="81"/>
            <rFont val="Tahoma"/>
            <family val="2"/>
          </rPr>
          <t xml:space="preserve">
1135 bear</t>
        </r>
      </text>
    </comment>
    <comment ref="AJ65" authorId="1" shapeId="0" xr:uid="{00000000-0006-0000-0700-000030020000}">
      <text>
        <r>
          <rPr>
            <b/>
            <sz val="8"/>
            <color indexed="81"/>
            <rFont val="Tahoma"/>
            <family val="2"/>
          </rPr>
          <t>Martin Shkreli:</t>
        </r>
        <r>
          <rPr>
            <sz val="8"/>
            <color indexed="81"/>
            <rFont val="Tahoma"/>
            <family val="2"/>
          </rPr>
          <t xml:space="preserve">
951 bear</t>
        </r>
      </text>
    </comment>
    <comment ref="AK65" authorId="1" shapeId="0" xr:uid="{00000000-0006-0000-0700-000031020000}">
      <text>
        <r>
          <rPr>
            <b/>
            <sz val="8"/>
            <color indexed="81"/>
            <rFont val="Tahoma"/>
            <family val="2"/>
          </rPr>
          <t>Martin Shkreli:</t>
        </r>
        <r>
          <rPr>
            <sz val="8"/>
            <color indexed="81"/>
            <rFont val="Tahoma"/>
            <family val="2"/>
          </rPr>
          <t xml:space="preserve">
929 bear</t>
        </r>
      </text>
    </comment>
    <comment ref="AL65" authorId="1" shapeId="0" xr:uid="{00000000-0006-0000-0700-000032020000}">
      <text>
        <r>
          <rPr>
            <b/>
            <sz val="8"/>
            <color indexed="81"/>
            <rFont val="Tahoma"/>
            <family val="2"/>
          </rPr>
          <t>Martin Shkreli:</t>
        </r>
        <r>
          <rPr>
            <sz val="8"/>
            <color indexed="81"/>
            <rFont val="Tahoma"/>
            <family val="2"/>
          </rPr>
          <t xml:space="preserve">
455 bear</t>
        </r>
      </text>
    </comment>
    <comment ref="AM65" authorId="1" shapeId="0" xr:uid="{00000000-0006-0000-0700-000033020000}">
      <text>
        <r>
          <rPr>
            <b/>
            <sz val="8"/>
            <color indexed="81"/>
            <rFont val="Tahoma"/>
            <family val="2"/>
          </rPr>
          <t>Martin Shkreli:</t>
        </r>
        <r>
          <rPr>
            <sz val="8"/>
            <color indexed="81"/>
            <rFont val="Tahoma"/>
            <family val="2"/>
          </rPr>
          <t xml:space="preserve">
1064 bear</t>
        </r>
      </text>
    </comment>
    <comment ref="BB65" authorId="0" shapeId="0" xr:uid="{00000000-0006-0000-0700-000034020000}">
      <text>
        <r>
          <rPr>
            <sz val="9"/>
            <color indexed="81"/>
            <rFont val="Tahoma"/>
            <family val="2"/>
          </rPr>
          <t>7c positive impact</t>
        </r>
      </text>
    </comment>
    <comment ref="BD65"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5" authorId="1" shapeId="0" xr:uid="{00000000-0006-0000-0700-000036020000}">
      <text>
        <r>
          <rPr>
            <b/>
            <sz val="8"/>
            <color indexed="81"/>
            <rFont val="Tahoma"/>
            <family val="2"/>
          </rPr>
          <t>Martin Shkreli:</t>
        </r>
        <r>
          <rPr>
            <sz val="8"/>
            <color indexed="81"/>
            <rFont val="Tahoma"/>
            <family val="2"/>
          </rPr>
          <t xml:space="preserve">
494 bear</t>
        </r>
      </text>
    </comment>
    <comment ref="DJ65" authorId="1" shapeId="0" xr:uid="{00000000-0006-0000-0700-000037020000}">
      <text>
        <r>
          <rPr>
            <b/>
            <sz val="8"/>
            <color indexed="81"/>
            <rFont val="Tahoma"/>
            <family val="2"/>
          </rPr>
          <t>Martin Shkreli:</t>
        </r>
        <r>
          <rPr>
            <sz val="8"/>
            <color indexed="81"/>
            <rFont val="Tahoma"/>
            <family val="2"/>
          </rPr>
          <t xml:space="preserve">
531 bear</t>
        </r>
      </text>
    </comment>
    <comment ref="DK65" authorId="1" shapeId="0" xr:uid="{00000000-0006-0000-0700-000038020000}">
      <text>
        <r>
          <rPr>
            <b/>
            <sz val="8"/>
            <color indexed="81"/>
            <rFont val="Tahoma"/>
            <family val="2"/>
          </rPr>
          <t>Martin Shkreli:</t>
        </r>
        <r>
          <rPr>
            <sz val="8"/>
            <color indexed="81"/>
            <rFont val="Tahoma"/>
            <family val="2"/>
          </rPr>
          <t xml:space="preserve">
547 bear</t>
        </r>
      </text>
    </comment>
    <comment ref="DL65" authorId="1" shapeId="0" xr:uid="{00000000-0006-0000-0700-000039020000}">
      <text>
        <r>
          <rPr>
            <b/>
            <sz val="8"/>
            <color indexed="81"/>
            <rFont val="Tahoma"/>
            <family val="2"/>
          </rPr>
          <t>Martin Shkreli:</t>
        </r>
        <r>
          <rPr>
            <sz val="8"/>
            <color indexed="81"/>
            <rFont val="Tahoma"/>
            <family val="2"/>
          </rPr>
          <t xml:space="preserve">
533 bear</t>
        </r>
      </text>
    </comment>
    <comment ref="DM65" authorId="1" shapeId="0" xr:uid="{00000000-0006-0000-0700-00003A020000}">
      <text>
        <r>
          <rPr>
            <b/>
            <sz val="8"/>
            <color indexed="81"/>
            <rFont val="Tahoma"/>
            <family val="2"/>
          </rPr>
          <t>Martin Shkreli:</t>
        </r>
        <r>
          <rPr>
            <sz val="8"/>
            <color indexed="81"/>
            <rFont val="Tahoma"/>
            <family val="2"/>
          </rPr>
          <t xml:space="preserve">
654 bear</t>
        </r>
      </text>
    </comment>
    <comment ref="DN65" authorId="1" shapeId="0" xr:uid="{00000000-0006-0000-0700-00003B020000}">
      <text>
        <r>
          <rPr>
            <b/>
            <sz val="8"/>
            <color indexed="81"/>
            <rFont val="Tahoma"/>
            <family val="2"/>
          </rPr>
          <t>Martin Shkreli:</t>
        </r>
        <r>
          <rPr>
            <sz val="8"/>
            <color indexed="81"/>
            <rFont val="Tahoma"/>
            <family val="2"/>
          </rPr>
          <t xml:space="preserve">
926 bear</t>
        </r>
      </text>
    </comment>
    <comment ref="DO65" authorId="1" shapeId="0" xr:uid="{00000000-0006-0000-0700-00003C020000}">
      <text>
        <r>
          <rPr>
            <b/>
            <sz val="8"/>
            <color indexed="81"/>
            <rFont val="Tahoma"/>
            <family val="2"/>
          </rPr>
          <t>Martin Shkreli:</t>
        </r>
        <r>
          <rPr>
            <sz val="8"/>
            <color indexed="81"/>
            <rFont val="Tahoma"/>
            <family val="2"/>
          </rPr>
          <t xml:space="preserve">
1185 bear</t>
        </r>
      </text>
    </comment>
    <comment ref="DP65" authorId="1" shapeId="0" xr:uid="{00000000-0006-0000-0700-00003D020000}">
      <text>
        <r>
          <rPr>
            <b/>
            <sz val="8"/>
            <color indexed="81"/>
            <rFont val="Tahoma"/>
            <family val="2"/>
          </rPr>
          <t>Martin Shkreli:</t>
        </r>
        <r>
          <rPr>
            <sz val="8"/>
            <color indexed="81"/>
            <rFont val="Tahoma"/>
            <family val="2"/>
          </rPr>
          <t xml:space="preserve">
1237 bear</t>
        </r>
      </text>
    </comment>
    <comment ref="DQ65" authorId="1" shapeId="0" xr:uid="{00000000-0006-0000-0700-00003E020000}">
      <text>
        <r>
          <rPr>
            <b/>
            <sz val="8"/>
            <color indexed="81"/>
            <rFont val="Tahoma"/>
            <family val="2"/>
          </rPr>
          <t>Martin Shkreli:</t>
        </r>
        <r>
          <rPr>
            <sz val="8"/>
            <color indexed="81"/>
            <rFont val="Tahoma"/>
            <family val="2"/>
          </rPr>
          <t xml:space="preserve">
1232 bear</t>
        </r>
      </text>
    </comment>
    <comment ref="DR65" authorId="1" shapeId="0" xr:uid="{00000000-0006-0000-0700-00003F020000}">
      <text>
        <r>
          <rPr>
            <b/>
            <sz val="8"/>
            <color indexed="81"/>
            <rFont val="Tahoma"/>
            <family val="2"/>
          </rPr>
          <t>Martin Shkreli:</t>
        </r>
        <r>
          <rPr>
            <sz val="8"/>
            <color indexed="81"/>
            <rFont val="Tahoma"/>
            <family val="2"/>
          </rPr>
          <t xml:space="preserve">
1609 jpm
1604 bear</t>
        </r>
      </text>
    </comment>
    <comment ref="DS65" authorId="1" shapeId="0" xr:uid="{00000000-0006-0000-0700-000040020000}">
      <text>
        <r>
          <rPr>
            <b/>
            <sz val="8"/>
            <color indexed="81"/>
            <rFont val="Tahoma"/>
            <family val="2"/>
          </rPr>
          <t>Martin Shkreli:</t>
        </r>
        <r>
          <rPr>
            <sz val="8"/>
            <color indexed="81"/>
            <rFont val="Tahoma"/>
            <family val="2"/>
          </rPr>
          <t xml:space="preserve">
1932 jpm
1921 bear</t>
        </r>
      </text>
    </comment>
    <comment ref="DT65" authorId="1" shapeId="0" xr:uid="{00000000-0006-0000-0700-000041020000}">
      <text>
        <r>
          <rPr>
            <b/>
            <sz val="8"/>
            <color indexed="81"/>
            <rFont val="Tahoma"/>
            <family val="2"/>
          </rPr>
          <t>Martin Shkreli:</t>
        </r>
        <r>
          <rPr>
            <sz val="8"/>
            <color indexed="81"/>
            <rFont val="Tahoma"/>
            <family val="2"/>
          </rPr>
          <t xml:space="preserve">
2251 bear</t>
        </r>
      </text>
    </comment>
    <comment ref="DU65" authorId="1" shapeId="0" xr:uid="{00000000-0006-0000-0700-000042020000}">
      <text>
        <r>
          <rPr>
            <b/>
            <sz val="8"/>
            <color indexed="81"/>
            <rFont val="Tahoma"/>
            <family val="2"/>
          </rPr>
          <t>Martin Shkreli:</t>
        </r>
        <r>
          <rPr>
            <sz val="8"/>
            <color indexed="81"/>
            <rFont val="Tahoma"/>
            <family val="2"/>
          </rPr>
          <t xml:space="preserve">
2694 bear</t>
        </r>
      </text>
    </comment>
    <comment ref="DV65" authorId="1" shapeId="0" xr:uid="{00000000-0006-0000-0700-000043020000}">
      <text>
        <r>
          <rPr>
            <b/>
            <sz val="8"/>
            <color indexed="81"/>
            <rFont val="Tahoma"/>
            <family val="2"/>
          </rPr>
          <t>Martin Shkreli:</t>
        </r>
        <r>
          <rPr>
            <sz val="8"/>
            <color indexed="81"/>
            <rFont val="Tahoma"/>
            <family val="2"/>
          </rPr>
          <t xml:space="preserve">
3114 bear</t>
        </r>
      </text>
    </comment>
    <comment ref="DW65" authorId="1" shapeId="0" xr:uid="{00000000-0006-0000-0700-000044020000}">
      <text>
        <r>
          <rPr>
            <b/>
            <sz val="8"/>
            <color indexed="81"/>
            <rFont val="Tahoma"/>
            <family val="2"/>
          </rPr>
          <t>Martin Shkreli:</t>
        </r>
        <r>
          <rPr>
            <sz val="8"/>
            <color indexed="81"/>
            <rFont val="Tahoma"/>
            <family val="2"/>
          </rPr>
          <t xml:space="preserve">
3540 bear</t>
        </r>
      </text>
    </comment>
    <comment ref="DX65" authorId="1" shapeId="0" xr:uid="{00000000-0006-0000-0700-000045020000}">
      <text>
        <r>
          <rPr>
            <b/>
            <sz val="8"/>
            <color indexed="81"/>
            <rFont val="Tahoma"/>
            <family val="2"/>
          </rPr>
          <t>Martin Shkreli:</t>
        </r>
        <r>
          <rPr>
            <sz val="8"/>
            <color indexed="81"/>
            <rFont val="Tahoma"/>
            <family val="2"/>
          </rPr>
          <t xml:space="preserve">
3470 bear</t>
        </r>
      </text>
    </comment>
    <comment ref="K66" authorId="1" shapeId="0" xr:uid="{00000000-0006-0000-0700-000046020000}">
      <text>
        <r>
          <rPr>
            <b/>
            <sz val="8"/>
            <color indexed="81"/>
            <rFont val="Tahoma"/>
            <family val="2"/>
          </rPr>
          <t>Martin Shkreli:</t>
        </r>
        <r>
          <rPr>
            <sz val="8"/>
            <color indexed="81"/>
            <rFont val="Tahoma"/>
            <family val="2"/>
          </rPr>
          <t xml:space="preserve">
1156 jpm</t>
        </r>
      </text>
    </comment>
    <comment ref="L66" authorId="1" shapeId="0" xr:uid="{00000000-0006-0000-0700-000047020000}">
      <text>
        <r>
          <rPr>
            <b/>
            <sz val="8"/>
            <color indexed="81"/>
            <rFont val="Tahoma"/>
            <family val="2"/>
          </rPr>
          <t>Martin Shkreli:</t>
        </r>
        <r>
          <rPr>
            <sz val="8"/>
            <color indexed="81"/>
            <rFont val="Tahoma"/>
            <family val="2"/>
          </rPr>
          <t xml:space="preserve">
1204 jpm</t>
        </r>
      </text>
    </comment>
    <comment ref="M66" authorId="1" shapeId="0" xr:uid="{00000000-0006-0000-0700-000048020000}">
      <text>
        <r>
          <rPr>
            <b/>
            <sz val="8"/>
            <color indexed="81"/>
            <rFont val="Tahoma"/>
            <family val="2"/>
          </rPr>
          <t>Martin Shkreli:</t>
        </r>
        <r>
          <rPr>
            <sz val="8"/>
            <color indexed="81"/>
            <rFont val="Tahoma"/>
            <family val="2"/>
          </rPr>
          <t xml:space="preserve">
1165 jpm</t>
        </r>
      </text>
    </comment>
    <comment ref="N66" authorId="1" shapeId="0" xr:uid="{00000000-0006-0000-0700-000049020000}">
      <text>
        <r>
          <rPr>
            <b/>
            <sz val="8"/>
            <color indexed="81"/>
            <rFont val="Tahoma"/>
            <family val="2"/>
          </rPr>
          <t>Martin Shkreli:</t>
        </r>
        <r>
          <rPr>
            <sz val="8"/>
            <color indexed="81"/>
            <rFont val="Tahoma"/>
            <family val="2"/>
          </rPr>
          <t xml:space="preserve">
763 jpm</t>
        </r>
      </text>
    </comment>
    <comment ref="O66" authorId="1" shapeId="0" xr:uid="{00000000-0006-0000-0700-00004A020000}">
      <text>
        <r>
          <rPr>
            <b/>
            <sz val="8"/>
            <color indexed="81"/>
            <rFont val="Tahoma"/>
            <family val="2"/>
          </rPr>
          <t>Martin Shkreli:</t>
        </r>
        <r>
          <rPr>
            <sz val="8"/>
            <color indexed="81"/>
            <rFont val="Tahoma"/>
            <family val="2"/>
          </rPr>
          <t xml:space="preserve">
1346 jpm
1346 bear</t>
        </r>
      </text>
    </comment>
    <comment ref="P66" authorId="1" shapeId="0" xr:uid="{00000000-0006-0000-0700-00004B020000}">
      <text>
        <r>
          <rPr>
            <b/>
            <sz val="8"/>
            <color indexed="81"/>
            <rFont val="Tahoma"/>
            <family val="2"/>
          </rPr>
          <t>Martin Shkreli:</t>
        </r>
        <r>
          <rPr>
            <sz val="8"/>
            <color indexed="81"/>
            <rFont val="Tahoma"/>
            <family val="2"/>
          </rPr>
          <t xml:space="preserve">
1373 jpm
1372 bear</t>
        </r>
      </text>
    </comment>
    <comment ref="Q66" authorId="1" shapeId="0" xr:uid="{00000000-0006-0000-0700-00004C020000}">
      <text>
        <r>
          <rPr>
            <b/>
            <sz val="8"/>
            <color indexed="81"/>
            <rFont val="Tahoma"/>
            <family val="2"/>
          </rPr>
          <t>Martin Shkreli:</t>
        </r>
        <r>
          <rPr>
            <sz val="8"/>
            <color indexed="81"/>
            <rFont val="Tahoma"/>
            <family val="2"/>
          </rPr>
          <t xml:space="preserve">
1334 jpm
1333 bear</t>
        </r>
      </text>
    </comment>
    <comment ref="R66" authorId="1" shapeId="0" xr:uid="{00000000-0006-0000-0700-00004D020000}">
      <text>
        <r>
          <rPr>
            <b/>
            <sz val="8"/>
            <color indexed="81"/>
            <rFont val="Tahoma"/>
            <family val="2"/>
          </rPr>
          <t>Martin Shkreli:</t>
        </r>
        <r>
          <rPr>
            <sz val="8"/>
            <color indexed="81"/>
            <rFont val="Tahoma"/>
            <family val="2"/>
          </rPr>
          <t xml:space="preserve">
946 jpm
993 bear</t>
        </r>
      </text>
    </comment>
    <comment ref="S66" authorId="1" shapeId="0" xr:uid="{00000000-0006-0000-0700-00004E020000}">
      <text>
        <r>
          <rPr>
            <b/>
            <sz val="8"/>
            <color indexed="81"/>
            <rFont val="Tahoma"/>
            <family val="2"/>
          </rPr>
          <t>Martin Shkreli:</t>
        </r>
        <r>
          <rPr>
            <sz val="8"/>
            <color indexed="81"/>
            <rFont val="Tahoma"/>
            <family val="2"/>
          </rPr>
          <t xml:space="preserve">
1553 bear</t>
        </r>
      </text>
    </comment>
    <comment ref="T66" authorId="1" shapeId="0" xr:uid="{00000000-0006-0000-0700-00004F020000}">
      <text>
        <r>
          <rPr>
            <b/>
            <sz val="8"/>
            <color indexed="81"/>
            <rFont val="Tahoma"/>
            <family val="2"/>
          </rPr>
          <t>Martin Shkreli:</t>
        </r>
        <r>
          <rPr>
            <sz val="8"/>
            <color indexed="81"/>
            <rFont val="Tahoma"/>
            <family val="2"/>
          </rPr>
          <t xml:space="preserve">
1584 bear</t>
        </r>
      </text>
    </comment>
    <comment ref="U66" authorId="1" shapeId="0" xr:uid="{00000000-0006-0000-0700-000050020000}">
      <text>
        <r>
          <rPr>
            <b/>
            <sz val="8"/>
            <color indexed="81"/>
            <rFont val="Tahoma"/>
            <family val="2"/>
          </rPr>
          <t>Martin Shkreli:</t>
        </r>
        <r>
          <rPr>
            <sz val="8"/>
            <color indexed="81"/>
            <rFont val="Tahoma"/>
            <family val="2"/>
          </rPr>
          <t xml:space="preserve">
1553 bear</t>
        </r>
      </text>
    </comment>
    <comment ref="AA66" authorId="1" shapeId="0" xr:uid="{00000000-0006-0000-0700-000051020000}">
      <text>
        <r>
          <rPr>
            <b/>
            <sz val="8"/>
            <color indexed="81"/>
            <rFont val="Tahoma"/>
            <family val="2"/>
          </rPr>
          <t>Martin Shkreli:</t>
        </r>
        <r>
          <rPr>
            <sz val="8"/>
            <color indexed="81"/>
            <rFont val="Tahoma"/>
            <family val="2"/>
          </rPr>
          <t xml:space="preserve">
2084 bear</t>
        </r>
      </text>
    </comment>
    <comment ref="AD66" authorId="1" shapeId="0" xr:uid="{00000000-0006-0000-0700-000052020000}">
      <text>
        <r>
          <rPr>
            <b/>
            <sz val="8"/>
            <color indexed="81"/>
            <rFont val="Tahoma"/>
            <family val="2"/>
          </rPr>
          <t>Martin Shkreli:</t>
        </r>
        <r>
          <rPr>
            <sz val="8"/>
            <color indexed="81"/>
            <rFont val="Tahoma"/>
            <family val="2"/>
          </rPr>
          <t xml:space="preserve">
1703 bear</t>
        </r>
      </text>
    </comment>
    <comment ref="AI66" authorId="1" shapeId="0" xr:uid="{00000000-0006-0000-0700-000053020000}">
      <text>
        <r>
          <rPr>
            <b/>
            <sz val="8"/>
            <color indexed="81"/>
            <rFont val="Tahoma"/>
            <family val="2"/>
          </rPr>
          <t>Martin Shkreli:</t>
        </r>
        <r>
          <rPr>
            <sz val="8"/>
            <color indexed="81"/>
            <rFont val="Tahoma"/>
            <family val="2"/>
          </rPr>
          <t xml:space="preserve">
2927 bear</t>
        </r>
      </text>
    </comment>
    <comment ref="AJ66" authorId="1" shapeId="0" xr:uid="{00000000-0006-0000-0700-000054020000}">
      <text>
        <r>
          <rPr>
            <b/>
            <sz val="8"/>
            <color indexed="81"/>
            <rFont val="Tahoma"/>
            <family val="2"/>
          </rPr>
          <t>Martin Shkreli:</t>
        </r>
        <r>
          <rPr>
            <sz val="8"/>
            <color indexed="81"/>
            <rFont val="Tahoma"/>
            <family val="2"/>
          </rPr>
          <t xml:space="preserve">
2804 bear</t>
        </r>
      </text>
    </comment>
    <comment ref="AK66" authorId="1" shapeId="0" xr:uid="{00000000-0006-0000-0700-000055020000}">
      <text>
        <r>
          <rPr>
            <b/>
            <sz val="8"/>
            <color indexed="81"/>
            <rFont val="Tahoma"/>
            <family val="2"/>
          </rPr>
          <t>Martin Shkreli:</t>
        </r>
        <r>
          <rPr>
            <sz val="8"/>
            <color indexed="81"/>
            <rFont val="Tahoma"/>
            <family val="2"/>
          </rPr>
          <t xml:space="preserve">
2625 bear</t>
        </r>
      </text>
    </comment>
    <comment ref="AL66" authorId="1" shapeId="0" xr:uid="{00000000-0006-0000-0700-000056020000}">
      <text>
        <r>
          <rPr>
            <b/>
            <sz val="8"/>
            <color indexed="81"/>
            <rFont val="Tahoma"/>
            <family val="2"/>
          </rPr>
          <t>Martin Shkreli:</t>
        </r>
        <r>
          <rPr>
            <sz val="8"/>
            <color indexed="81"/>
            <rFont val="Tahoma"/>
            <family val="2"/>
          </rPr>
          <t xml:space="preserve">
2192 bear</t>
        </r>
      </text>
    </comment>
    <comment ref="AM66" authorId="1" shapeId="0" xr:uid="{00000000-0006-0000-0700-000057020000}">
      <text>
        <r>
          <rPr>
            <b/>
            <sz val="8"/>
            <color indexed="81"/>
            <rFont val="Tahoma"/>
            <family val="2"/>
          </rPr>
          <t>Martin Shkreli:</t>
        </r>
        <r>
          <rPr>
            <sz val="8"/>
            <color indexed="81"/>
            <rFont val="Tahoma"/>
            <family val="2"/>
          </rPr>
          <t xml:space="preserve">
2966 bear</t>
        </r>
      </text>
    </comment>
    <comment ref="BI66"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DI66" authorId="1" shapeId="0" xr:uid="{00000000-0006-0000-0700-000059020000}">
      <text>
        <r>
          <rPr>
            <b/>
            <sz val="8"/>
            <color indexed="81"/>
            <rFont val="Tahoma"/>
            <family val="2"/>
          </rPr>
          <t>Martin Shkreli:</t>
        </r>
        <r>
          <rPr>
            <sz val="8"/>
            <color indexed="81"/>
            <rFont val="Tahoma"/>
            <family val="2"/>
          </rPr>
          <t xml:space="preserve">
1168 bear</t>
        </r>
      </text>
    </comment>
    <comment ref="DJ66" authorId="1" shapeId="0" xr:uid="{00000000-0006-0000-0700-00005A020000}">
      <text>
        <r>
          <rPr>
            <b/>
            <sz val="8"/>
            <color indexed="81"/>
            <rFont val="Tahoma"/>
            <family val="2"/>
          </rPr>
          <t>Martin Shkreli:</t>
        </r>
        <r>
          <rPr>
            <sz val="8"/>
            <color indexed="81"/>
            <rFont val="Tahoma"/>
            <family val="2"/>
          </rPr>
          <t xml:space="preserve">
1441 bear</t>
        </r>
      </text>
    </comment>
    <comment ref="DK66" authorId="1" shapeId="0" xr:uid="{00000000-0006-0000-0700-00005B020000}">
      <text>
        <r>
          <rPr>
            <b/>
            <sz val="8"/>
            <color indexed="81"/>
            <rFont val="Tahoma"/>
            <family val="2"/>
          </rPr>
          <t>Martin Shkreli:</t>
        </r>
        <r>
          <rPr>
            <sz val="8"/>
            <color indexed="81"/>
            <rFont val="Tahoma"/>
            <family val="2"/>
          </rPr>
          <t xml:space="preserve">
1572 bear</t>
        </r>
      </text>
    </comment>
    <comment ref="DL66" authorId="1" shapeId="0" xr:uid="{00000000-0006-0000-0700-00005C020000}">
      <text>
        <r>
          <rPr>
            <b/>
            <sz val="8"/>
            <color indexed="81"/>
            <rFont val="Tahoma"/>
            <family val="2"/>
          </rPr>
          <t>Martin Shkreli:</t>
        </r>
        <r>
          <rPr>
            <sz val="8"/>
            <color indexed="81"/>
            <rFont val="Tahoma"/>
            <family val="2"/>
          </rPr>
          <t xml:space="preserve">
1786 bear</t>
        </r>
      </text>
    </comment>
    <comment ref="DM66" authorId="1" shapeId="0" xr:uid="{00000000-0006-0000-0700-00005D020000}">
      <text>
        <r>
          <rPr>
            <b/>
            <sz val="8"/>
            <color indexed="81"/>
            <rFont val="Tahoma"/>
            <family val="2"/>
          </rPr>
          <t>Martin Shkreli:</t>
        </r>
        <r>
          <rPr>
            <sz val="8"/>
            <color indexed="81"/>
            <rFont val="Tahoma"/>
            <family val="2"/>
          </rPr>
          <t xml:space="preserve">
1998 bear</t>
        </r>
      </text>
    </comment>
    <comment ref="DN66" authorId="1" shapeId="0" xr:uid="{00000000-0006-0000-0700-00005E020000}">
      <text>
        <r>
          <rPr>
            <b/>
            <sz val="8"/>
            <color indexed="81"/>
            <rFont val="Tahoma"/>
            <family val="2"/>
          </rPr>
          <t>Martin Shkreli:</t>
        </r>
        <r>
          <rPr>
            <sz val="8"/>
            <color indexed="81"/>
            <rFont val="Tahoma"/>
            <family val="2"/>
          </rPr>
          <t xml:space="preserve">
2418 bear</t>
        </r>
      </text>
    </comment>
    <comment ref="DO66" authorId="1" shapeId="0" xr:uid="{00000000-0006-0000-0700-00005F020000}">
      <text>
        <r>
          <rPr>
            <b/>
            <sz val="8"/>
            <color indexed="81"/>
            <rFont val="Tahoma"/>
            <family val="2"/>
          </rPr>
          <t>Martin Shkreli:</t>
        </r>
        <r>
          <rPr>
            <sz val="8"/>
            <color indexed="81"/>
            <rFont val="Tahoma"/>
            <family val="2"/>
          </rPr>
          <t xml:space="preserve">
2958 bear</t>
        </r>
      </text>
    </comment>
    <comment ref="DP66" authorId="1" shapeId="0" xr:uid="{00000000-0006-0000-0700-000060020000}">
      <text>
        <r>
          <rPr>
            <b/>
            <sz val="8"/>
            <color indexed="81"/>
            <rFont val="Tahoma"/>
            <family val="2"/>
          </rPr>
          <t>Martin Shkreli:</t>
        </r>
        <r>
          <rPr>
            <sz val="8"/>
            <color indexed="81"/>
            <rFont val="Tahoma"/>
            <family val="2"/>
          </rPr>
          <t xml:space="preserve">
3471 bear</t>
        </r>
      </text>
    </comment>
    <comment ref="DQ66" authorId="1" shapeId="0" xr:uid="{00000000-0006-0000-0700-000061020000}">
      <text>
        <r>
          <rPr>
            <b/>
            <sz val="8"/>
            <color indexed="81"/>
            <rFont val="Tahoma"/>
            <family val="2"/>
          </rPr>
          <t>Martin Shkreli:</t>
        </r>
        <r>
          <rPr>
            <sz val="8"/>
            <color indexed="81"/>
            <rFont val="Tahoma"/>
            <family val="2"/>
          </rPr>
          <t xml:space="preserve">
3952 bear</t>
        </r>
      </text>
    </comment>
    <comment ref="DR66" authorId="1" shapeId="0" xr:uid="{00000000-0006-0000-0700-000062020000}">
      <text>
        <r>
          <rPr>
            <b/>
            <sz val="8"/>
            <color indexed="81"/>
            <rFont val="Tahoma"/>
            <family val="2"/>
          </rPr>
          <t>Martin Shkreli:</t>
        </r>
        <r>
          <rPr>
            <sz val="8"/>
            <color indexed="81"/>
            <rFont val="Tahoma"/>
            <family val="2"/>
          </rPr>
          <t xml:space="preserve">
4287 jpm
4273 bear</t>
        </r>
      </text>
    </comment>
    <comment ref="DS66" authorId="1" shapeId="0" xr:uid="{00000000-0006-0000-0700-000063020000}">
      <text>
        <r>
          <rPr>
            <b/>
            <sz val="8"/>
            <color indexed="81"/>
            <rFont val="Tahoma"/>
            <family val="2"/>
          </rPr>
          <t>Martin Shkreli:</t>
        </r>
        <r>
          <rPr>
            <sz val="8"/>
            <color indexed="81"/>
            <rFont val="Tahoma"/>
            <family val="2"/>
          </rPr>
          <t xml:space="preserve">
4998 jpm
5043 bear</t>
        </r>
      </text>
    </comment>
    <comment ref="DT66" authorId="1" shapeId="0" xr:uid="{00000000-0006-0000-0700-000064020000}">
      <text>
        <r>
          <rPr>
            <b/>
            <sz val="8"/>
            <color indexed="81"/>
            <rFont val="Tahoma"/>
            <family val="2"/>
          </rPr>
          <t>Martin Shkreli:</t>
        </r>
        <r>
          <rPr>
            <sz val="8"/>
            <color indexed="81"/>
            <rFont val="Tahoma"/>
            <family val="2"/>
          </rPr>
          <t xml:space="preserve">
5900 bear</t>
        </r>
      </text>
    </comment>
    <comment ref="DU66" authorId="1" shapeId="0" xr:uid="{00000000-0006-0000-0700-000065020000}">
      <text>
        <r>
          <rPr>
            <b/>
            <sz val="8"/>
            <color indexed="81"/>
            <rFont val="Tahoma"/>
            <family val="2"/>
          </rPr>
          <t>Martin Shkreli:</t>
        </r>
        <r>
          <rPr>
            <sz val="8"/>
            <color indexed="81"/>
            <rFont val="Tahoma"/>
            <family val="2"/>
          </rPr>
          <t xml:space="preserve">
6786 bear</t>
        </r>
      </text>
    </comment>
    <comment ref="DV66" authorId="1" shapeId="0" xr:uid="{00000000-0006-0000-0700-000066020000}">
      <text>
        <r>
          <rPr>
            <b/>
            <sz val="8"/>
            <color indexed="81"/>
            <rFont val="Tahoma"/>
            <family val="2"/>
          </rPr>
          <t>Martin Shkreli:</t>
        </r>
        <r>
          <rPr>
            <sz val="8"/>
            <color indexed="81"/>
            <rFont val="Tahoma"/>
            <family val="2"/>
          </rPr>
          <t xml:space="preserve">
7970 bear</t>
        </r>
      </text>
    </comment>
    <comment ref="DW66" authorId="1" shapeId="0" xr:uid="{00000000-0006-0000-0700-000067020000}">
      <text>
        <r>
          <rPr>
            <b/>
            <sz val="8"/>
            <color indexed="81"/>
            <rFont val="Tahoma"/>
            <family val="2"/>
          </rPr>
          <t>Martin Shkreli:</t>
        </r>
        <r>
          <rPr>
            <sz val="8"/>
            <color indexed="81"/>
            <rFont val="Tahoma"/>
            <family val="2"/>
          </rPr>
          <t xml:space="preserve">
9315 bear</t>
        </r>
      </text>
    </comment>
    <comment ref="DX66" authorId="1" shapeId="0" xr:uid="{00000000-0006-0000-0700-000068020000}">
      <text>
        <r>
          <rPr>
            <b/>
            <sz val="8"/>
            <color indexed="81"/>
            <rFont val="Tahoma"/>
            <family val="2"/>
          </rPr>
          <t>Martin Shkreli:</t>
        </r>
        <r>
          <rPr>
            <sz val="8"/>
            <color indexed="81"/>
            <rFont val="Tahoma"/>
            <family val="2"/>
          </rPr>
          <t xml:space="preserve">
10547 bear</t>
        </r>
      </text>
    </comment>
    <comment ref="EA66" authorId="1" shapeId="0" xr:uid="{00000000-0006-0000-0700-000069020000}">
      <text>
        <r>
          <rPr>
            <b/>
            <sz val="8"/>
            <color indexed="81"/>
            <rFont val="Tahoma"/>
            <family val="2"/>
          </rPr>
          <t>Martin Shkreli:</t>
        </r>
        <r>
          <rPr>
            <sz val="8"/>
            <color indexed="81"/>
            <rFont val="Tahoma"/>
            <family val="2"/>
          </rPr>
          <t xml:space="preserve">
12.949bn official #</t>
        </r>
      </text>
    </comment>
    <comment ref="K67" authorId="1" shapeId="0" xr:uid="{00000000-0006-0000-0700-00006A020000}">
      <text>
        <r>
          <rPr>
            <b/>
            <sz val="8"/>
            <color indexed="81"/>
            <rFont val="Tahoma"/>
            <family val="2"/>
          </rPr>
          <t>Martin Shkreli:</t>
        </r>
        <r>
          <rPr>
            <sz val="8"/>
            <color indexed="81"/>
            <rFont val="Tahoma"/>
            <family val="2"/>
          </rPr>
          <t xml:space="preserve">
0.37 jpm</t>
        </r>
      </text>
    </comment>
    <comment ref="L67" authorId="1" shapeId="0" xr:uid="{00000000-0006-0000-0700-00006B020000}">
      <text>
        <r>
          <rPr>
            <b/>
            <sz val="8"/>
            <color indexed="81"/>
            <rFont val="Tahoma"/>
            <family val="2"/>
          </rPr>
          <t>Martin Shkreli:</t>
        </r>
        <r>
          <rPr>
            <sz val="8"/>
            <color indexed="81"/>
            <rFont val="Tahoma"/>
            <family val="2"/>
          </rPr>
          <t xml:space="preserve">
0.39 jpm</t>
        </r>
      </text>
    </comment>
    <comment ref="M67" authorId="1" shapeId="0" xr:uid="{00000000-0006-0000-0700-00006C020000}">
      <text>
        <r>
          <rPr>
            <b/>
            <sz val="8"/>
            <color indexed="81"/>
            <rFont val="Tahoma"/>
            <family val="2"/>
          </rPr>
          <t>Martin Shkreli:</t>
        </r>
        <r>
          <rPr>
            <sz val="8"/>
            <color indexed="81"/>
            <rFont val="Tahoma"/>
            <family val="2"/>
          </rPr>
          <t xml:space="preserve">
0.38 jpm</t>
        </r>
      </text>
    </comment>
    <comment ref="N67" authorId="1" shapeId="0" xr:uid="{00000000-0006-0000-0700-00006D020000}">
      <text>
        <r>
          <rPr>
            <b/>
            <sz val="8"/>
            <color indexed="81"/>
            <rFont val="Tahoma"/>
            <family val="2"/>
          </rPr>
          <t>Martin Shkreli:</t>
        </r>
        <r>
          <rPr>
            <sz val="8"/>
            <color indexed="81"/>
            <rFont val="Tahoma"/>
            <family val="2"/>
          </rPr>
          <t xml:space="preserve">
0.25 jpm</t>
        </r>
      </text>
    </comment>
    <comment ref="O67" authorId="1" shapeId="0" xr:uid="{00000000-0006-0000-0700-00006E020000}">
      <text>
        <r>
          <rPr>
            <b/>
            <sz val="8"/>
            <color indexed="81"/>
            <rFont val="Tahoma"/>
            <family val="2"/>
          </rPr>
          <t>Martin Shkreli:</t>
        </r>
        <r>
          <rPr>
            <sz val="8"/>
            <color indexed="81"/>
            <rFont val="Tahoma"/>
            <family val="2"/>
          </rPr>
          <t xml:space="preserve">
0.44 jpm
0.44 bear</t>
        </r>
      </text>
    </comment>
    <comment ref="P67" authorId="1" shapeId="0" xr:uid="{00000000-0006-0000-0700-00006F020000}">
      <text>
        <r>
          <rPr>
            <b/>
            <sz val="8"/>
            <color indexed="81"/>
            <rFont val="Tahoma"/>
            <family val="2"/>
          </rPr>
          <t>Martin Shkreli:</t>
        </r>
        <r>
          <rPr>
            <sz val="8"/>
            <color indexed="81"/>
            <rFont val="Tahoma"/>
            <family val="2"/>
          </rPr>
          <t xml:space="preserve">
0.44 jpm
0.44 bear</t>
        </r>
      </text>
    </comment>
    <comment ref="Q67" authorId="1" shapeId="0" xr:uid="{00000000-0006-0000-0700-000070020000}">
      <text>
        <r>
          <rPr>
            <b/>
            <sz val="8"/>
            <color indexed="81"/>
            <rFont val="Tahoma"/>
            <family val="2"/>
          </rPr>
          <t>Martin Shkreli:</t>
        </r>
        <r>
          <rPr>
            <sz val="8"/>
            <color indexed="81"/>
            <rFont val="Tahoma"/>
            <family val="2"/>
          </rPr>
          <t xml:space="preserve">
0.43 jpm
0.43 bear</t>
        </r>
      </text>
    </comment>
    <comment ref="R67" authorId="1" shapeId="0" xr:uid="{00000000-0006-0000-0700-000071020000}">
      <text>
        <r>
          <rPr>
            <b/>
            <sz val="8"/>
            <color indexed="81"/>
            <rFont val="Tahoma"/>
            <family val="2"/>
          </rPr>
          <t>Martin Shkreli:</t>
        </r>
        <r>
          <rPr>
            <sz val="8"/>
            <color indexed="81"/>
            <rFont val="Tahoma"/>
            <family val="2"/>
          </rPr>
          <t xml:space="preserve">
0.32 jpm
0.32 bear</t>
        </r>
      </text>
    </comment>
    <comment ref="S67" authorId="1" shapeId="0" xr:uid="{00000000-0006-0000-0700-000072020000}">
      <text>
        <r>
          <rPr>
            <b/>
            <sz val="8"/>
            <color indexed="81"/>
            <rFont val="Tahoma"/>
            <family val="2"/>
          </rPr>
          <t>Martin Shkreli:</t>
        </r>
        <r>
          <rPr>
            <sz val="8"/>
            <color indexed="81"/>
            <rFont val="Tahoma"/>
            <family val="2"/>
          </rPr>
          <t xml:space="preserve">
0.50 bear</t>
        </r>
      </text>
    </comment>
    <comment ref="T67" authorId="1" shapeId="0" xr:uid="{00000000-0006-0000-0700-000073020000}">
      <text>
        <r>
          <rPr>
            <b/>
            <sz val="8"/>
            <color indexed="81"/>
            <rFont val="Tahoma"/>
            <family val="2"/>
          </rPr>
          <t>Martin Shkreli:</t>
        </r>
        <r>
          <rPr>
            <sz val="8"/>
            <color indexed="81"/>
            <rFont val="Tahoma"/>
            <family val="2"/>
          </rPr>
          <t xml:space="preserve">
0.51 bear</t>
        </r>
      </text>
    </comment>
    <comment ref="U67" authorId="1" shapeId="0" xr:uid="{00000000-0006-0000-0700-000074020000}">
      <text>
        <r>
          <rPr>
            <b/>
            <sz val="8"/>
            <color indexed="81"/>
            <rFont val="Tahoma"/>
            <family val="2"/>
          </rPr>
          <t>Martin Shkreli:</t>
        </r>
        <r>
          <rPr>
            <sz val="8"/>
            <color indexed="81"/>
            <rFont val="Tahoma"/>
            <family val="2"/>
          </rPr>
          <t xml:space="preserve">
 0.50 bear</t>
        </r>
      </text>
    </comment>
    <comment ref="X67" authorId="1" shapeId="0" xr:uid="{00000000-0006-0000-0700-000075020000}">
      <text>
        <r>
          <rPr>
            <b/>
            <sz val="8"/>
            <color indexed="81"/>
            <rFont val="Tahoma"/>
            <family val="2"/>
          </rPr>
          <t>Martin Shkreli:</t>
        </r>
        <r>
          <rPr>
            <sz val="8"/>
            <color indexed="81"/>
            <rFont val="Tahoma"/>
            <family val="2"/>
          </rPr>
          <t xml:space="preserve">
0.60 bear</t>
        </r>
      </text>
    </comment>
    <comment ref="AD67" authorId="1" shapeId="0" xr:uid="{00000000-0006-0000-0700-000076020000}">
      <text>
        <r>
          <rPr>
            <b/>
            <sz val="8"/>
            <color indexed="81"/>
            <rFont val="Tahoma"/>
            <family val="2"/>
          </rPr>
          <t>Martin Shkreli:</t>
        </r>
        <r>
          <rPr>
            <sz val="8"/>
            <color indexed="81"/>
            <rFont val="Tahoma"/>
            <family val="2"/>
          </rPr>
          <t xml:space="preserve">
0.57 bear</t>
        </r>
      </text>
    </comment>
    <comment ref="AI67" authorId="1" shapeId="0" xr:uid="{00000000-0006-0000-0700-000077020000}">
      <text>
        <r>
          <rPr>
            <b/>
            <sz val="8"/>
            <color indexed="81"/>
            <rFont val="Tahoma"/>
            <family val="2"/>
          </rPr>
          <t>Martin Shkreli:</t>
        </r>
        <r>
          <rPr>
            <sz val="8"/>
            <color indexed="81"/>
            <rFont val="Tahoma"/>
            <family val="2"/>
          </rPr>
          <t xml:space="preserve">
0.97 bear</t>
        </r>
      </text>
    </comment>
    <comment ref="AJ67" authorId="1" shapeId="0" xr:uid="{00000000-0006-0000-0700-000078020000}">
      <text>
        <r>
          <rPr>
            <b/>
            <sz val="8"/>
            <color indexed="81"/>
            <rFont val="Tahoma"/>
            <family val="2"/>
          </rPr>
          <t>Martin Shkreli:</t>
        </r>
        <r>
          <rPr>
            <sz val="8"/>
            <color indexed="81"/>
            <rFont val="Tahoma"/>
            <family val="2"/>
          </rPr>
          <t xml:space="preserve">
0.93 bear</t>
        </r>
      </text>
    </comment>
    <comment ref="AK67" authorId="1" shapeId="0" xr:uid="{00000000-0006-0000-0700-000079020000}">
      <text>
        <r>
          <rPr>
            <b/>
            <sz val="8"/>
            <color indexed="81"/>
            <rFont val="Tahoma"/>
            <family val="2"/>
          </rPr>
          <t>Martin Shkreli:</t>
        </r>
        <r>
          <rPr>
            <sz val="8"/>
            <color indexed="81"/>
            <rFont val="Tahoma"/>
            <family val="2"/>
          </rPr>
          <t xml:space="preserve">
0.87 bear</t>
        </r>
      </text>
    </comment>
    <comment ref="AL67" authorId="1" shapeId="0" xr:uid="{00000000-0006-0000-0700-00007A020000}">
      <text>
        <r>
          <rPr>
            <b/>
            <sz val="8"/>
            <color indexed="81"/>
            <rFont val="Tahoma"/>
            <family val="2"/>
          </rPr>
          <t>Martin Shkreli:</t>
        </r>
        <r>
          <rPr>
            <sz val="8"/>
            <color indexed="81"/>
            <rFont val="Tahoma"/>
            <family val="2"/>
          </rPr>
          <t xml:space="preserve">
0.73 bear</t>
        </r>
      </text>
    </comment>
    <comment ref="AM67" authorId="1" shapeId="0" xr:uid="{00000000-0006-0000-0700-00007B020000}">
      <text>
        <r>
          <rPr>
            <b/>
            <sz val="8"/>
            <color indexed="81"/>
            <rFont val="Tahoma"/>
            <family val="2"/>
          </rPr>
          <t>Martin Shkreli:</t>
        </r>
        <r>
          <rPr>
            <sz val="8"/>
            <color indexed="81"/>
            <rFont val="Tahoma"/>
            <family val="2"/>
          </rPr>
          <t xml:space="preserve">
0.99 bear</t>
        </r>
      </text>
    </comment>
    <comment ref="AQ67"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7"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7" authorId="4" shapeId="0" xr:uid="{00000000-0006-0000-0700-00007E020000}">
      <text>
        <r>
          <rPr>
            <b/>
            <sz val="9"/>
            <color indexed="81"/>
            <rFont val="Tahoma"/>
            <family val="2"/>
          </rPr>
          <t>Martin:</t>
        </r>
        <r>
          <rPr>
            <sz val="9"/>
            <color indexed="81"/>
            <rFont val="Tahoma"/>
            <family val="2"/>
          </rPr>
          <t xml:space="preserve">
1.02 adjusted earnings</t>
        </r>
      </text>
    </comment>
    <comment ref="DI67" authorId="1" shapeId="0" xr:uid="{00000000-0006-0000-0700-00007F020000}">
      <text>
        <r>
          <rPr>
            <b/>
            <sz val="8"/>
            <color indexed="81"/>
            <rFont val="Tahoma"/>
            <family val="2"/>
          </rPr>
          <t>Martin Shkreli:</t>
        </r>
        <r>
          <rPr>
            <sz val="8"/>
            <color indexed="81"/>
            <rFont val="Tahoma"/>
            <family val="2"/>
          </rPr>
          <t xml:space="preserve">
0.48 bear</t>
        </r>
      </text>
    </comment>
    <comment ref="DJ67" authorId="1" shapeId="0" xr:uid="{00000000-0006-0000-0700-000080020000}">
      <text>
        <r>
          <rPr>
            <b/>
            <sz val="8"/>
            <color indexed="81"/>
            <rFont val="Tahoma"/>
            <family val="2"/>
          </rPr>
          <t>Martin Shkreli:</t>
        </r>
        <r>
          <rPr>
            <sz val="8"/>
            <color indexed="81"/>
            <rFont val="Tahoma"/>
            <family val="2"/>
          </rPr>
          <t xml:space="preserve">
0.55 bear</t>
        </r>
      </text>
    </comment>
    <comment ref="DK67" authorId="1" shapeId="0" xr:uid="{00000000-0006-0000-0700-000081020000}">
      <text>
        <r>
          <rPr>
            <b/>
            <sz val="8"/>
            <color indexed="81"/>
            <rFont val="Tahoma"/>
            <family val="2"/>
          </rPr>
          <t>Martin Shkreli:</t>
        </r>
        <r>
          <rPr>
            <sz val="8"/>
            <color indexed="81"/>
            <rFont val="Tahoma"/>
            <family val="2"/>
          </rPr>
          <t xml:space="preserve">
0.63 bear</t>
        </r>
      </text>
    </comment>
    <comment ref="DL67" authorId="1" shapeId="0" xr:uid="{00000000-0006-0000-0700-000082020000}">
      <text>
        <r>
          <rPr>
            <b/>
            <sz val="8"/>
            <color indexed="81"/>
            <rFont val="Tahoma"/>
            <family val="2"/>
          </rPr>
          <t>Martin Shkreli:</t>
        </r>
        <r>
          <rPr>
            <sz val="8"/>
            <color indexed="81"/>
            <rFont val="Tahoma"/>
            <family val="2"/>
          </rPr>
          <t xml:space="preserve">
0.69 bear</t>
        </r>
      </text>
    </comment>
    <comment ref="DM67" authorId="1" shapeId="0" xr:uid="{00000000-0006-0000-0700-000083020000}">
      <text>
        <r>
          <rPr>
            <b/>
            <sz val="8"/>
            <color indexed="81"/>
            <rFont val="Tahoma"/>
            <family val="2"/>
          </rPr>
          <t>Martin Shkreli:</t>
        </r>
        <r>
          <rPr>
            <sz val="8"/>
            <color indexed="81"/>
            <rFont val="Tahoma"/>
            <family val="2"/>
          </rPr>
          <t xml:space="preserve">
0.78 bear</t>
        </r>
      </text>
    </comment>
    <comment ref="DN67" authorId="1" shapeId="0" xr:uid="{00000000-0006-0000-0700-000084020000}">
      <text>
        <r>
          <rPr>
            <b/>
            <sz val="8"/>
            <color indexed="81"/>
            <rFont val="Tahoma"/>
            <family val="2"/>
          </rPr>
          <t>Martin Shkreli:</t>
        </r>
        <r>
          <rPr>
            <sz val="8"/>
            <color indexed="81"/>
            <rFont val="Tahoma"/>
            <family val="2"/>
          </rPr>
          <t xml:space="preserve">
0.93 bear</t>
        </r>
      </text>
    </comment>
    <comment ref="DO67" authorId="1" shapeId="0" xr:uid="{00000000-0006-0000-0700-000085020000}">
      <text>
        <r>
          <rPr>
            <b/>
            <sz val="8"/>
            <color indexed="81"/>
            <rFont val="Tahoma"/>
            <family val="2"/>
          </rPr>
          <t>Martin Shkreli:</t>
        </r>
        <r>
          <rPr>
            <sz val="8"/>
            <color indexed="81"/>
            <rFont val="Tahoma"/>
            <family val="2"/>
          </rPr>
          <t xml:space="preserve">
1.09 bear</t>
        </r>
      </text>
    </comment>
    <comment ref="DP67" authorId="1" shapeId="0" xr:uid="{00000000-0006-0000-0700-000086020000}">
      <text>
        <r>
          <rPr>
            <b/>
            <sz val="8"/>
            <color indexed="81"/>
            <rFont val="Tahoma"/>
            <family val="2"/>
          </rPr>
          <t>Martin Shkreli:</t>
        </r>
        <r>
          <rPr>
            <sz val="8"/>
            <color indexed="81"/>
            <rFont val="Tahoma"/>
            <family val="2"/>
          </rPr>
          <t xml:space="preserve">
1.17 bear</t>
        </r>
      </text>
    </comment>
    <comment ref="DQ67" authorId="1" shapeId="0" xr:uid="{00000000-0006-0000-0700-000087020000}">
      <text>
        <r>
          <rPr>
            <b/>
            <sz val="8"/>
            <color indexed="81"/>
            <rFont val="Tahoma"/>
            <family val="2"/>
          </rPr>
          <t>Martin Shkreli:</t>
        </r>
        <r>
          <rPr>
            <sz val="8"/>
            <color indexed="81"/>
            <rFont val="Tahoma"/>
            <family val="2"/>
          </rPr>
          <t xml:space="preserve">
1.31 bear</t>
        </r>
      </text>
    </comment>
    <comment ref="DR67" authorId="1" shapeId="0" xr:uid="{00000000-0006-0000-0700-000088020000}">
      <text>
        <r>
          <rPr>
            <b/>
            <sz val="8"/>
            <color indexed="81"/>
            <rFont val="Tahoma"/>
            <family val="2"/>
          </rPr>
          <t>Martin Shkreli:</t>
        </r>
        <r>
          <rPr>
            <sz val="8"/>
            <color indexed="81"/>
            <rFont val="Tahoma"/>
            <family val="2"/>
          </rPr>
          <t xml:space="preserve">
1.38 jpm
1.42 bear</t>
        </r>
      </text>
    </comment>
    <comment ref="DS67" authorId="1" shapeId="0" xr:uid="{00000000-0006-0000-0700-000089020000}">
      <text>
        <r>
          <rPr>
            <b/>
            <sz val="8"/>
            <color indexed="81"/>
            <rFont val="Tahoma"/>
            <family val="2"/>
          </rPr>
          <t>Martin Shkreli:</t>
        </r>
        <r>
          <rPr>
            <sz val="8"/>
            <color indexed="81"/>
            <rFont val="Tahoma"/>
            <family val="2"/>
          </rPr>
          <t xml:space="preserve">
1.63 jpm
1.63 bear</t>
        </r>
      </text>
    </comment>
    <comment ref="DT67" authorId="1" shapeId="0" xr:uid="{00000000-0006-0000-0700-00008A020000}">
      <text>
        <r>
          <rPr>
            <b/>
            <sz val="8"/>
            <color indexed="81"/>
            <rFont val="Tahoma"/>
            <family val="2"/>
          </rPr>
          <t>Martin Shkreli:</t>
        </r>
        <r>
          <rPr>
            <sz val="8"/>
            <color indexed="81"/>
            <rFont val="Tahoma"/>
            <family val="2"/>
          </rPr>
          <t xml:space="preserve">
1.91 bear</t>
        </r>
      </text>
    </comment>
    <comment ref="DU67" authorId="1" shapeId="0" xr:uid="{00000000-0006-0000-0700-00008B020000}">
      <text>
        <r>
          <rPr>
            <b/>
            <sz val="8"/>
            <color indexed="81"/>
            <rFont val="Tahoma"/>
            <family val="2"/>
          </rPr>
          <t>Martin Shkreli:</t>
        </r>
        <r>
          <rPr>
            <sz val="8"/>
            <color indexed="81"/>
            <rFont val="Tahoma"/>
            <family val="2"/>
          </rPr>
          <t xml:space="preserve">
2.23 bear</t>
        </r>
      </text>
    </comment>
    <comment ref="DV67" authorId="1" shapeId="0" xr:uid="{00000000-0006-0000-0700-00008C020000}">
      <text>
        <r>
          <rPr>
            <b/>
            <sz val="8"/>
            <color indexed="81"/>
            <rFont val="Tahoma"/>
            <family val="2"/>
          </rPr>
          <t>Martin Shkreli:</t>
        </r>
        <r>
          <rPr>
            <sz val="8"/>
            <color indexed="81"/>
            <rFont val="Tahoma"/>
            <family val="2"/>
          </rPr>
          <t xml:space="preserve">
2.65 bear</t>
        </r>
      </text>
    </comment>
    <comment ref="DW67" authorId="1" shapeId="0" xr:uid="{00000000-0006-0000-0700-00008D020000}">
      <text>
        <r>
          <rPr>
            <b/>
            <sz val="8"/>
            <color indexed="81"/>
            <rFont val="Tahoma"/>
            <family val="2"/>
          </rPr>
          <t>Martin Shkreli:</t>
        </r>
        <r>
          <rPr>
            <sz val="8"/>
            <color indexed="81"/>
            <rFont val="Tahoma"/>
            <family val="2"/>
          </rPr>
          <t xml:space="preserve">
3.10 bear</t>
        </r>
      </text>
    </comment>
    <comment ref="DX67" authorId="1" shapeId="0" xr:uid="{00000000-0006-0000-0700-00008E020000}">
      <text>
        <r>
          <rPr>
            <b/>
            <sz val="8"/>
            <color indexed="81"/>
            <rFont val="Tahoma"/>
            <family val="2"/>
          </rPr>
          <t>Martin Shkreli:</t>
        </r>
        <r>
          <rPr>
            <sz val="8"/>
            <color indexed="81"/>
            <rFont val="Tahoma"/>
            <family val="2"/>
          </rPr>
          <t xml:space="preserve">
3.49 bear</t>
        </r>
      </text>
    </comment>
    <comment ref="DZ67"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7"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7"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7"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7" authorId="4" shapeId="0" xr:uid="{00000000-0006-0000-0700-000093020000}">
      <text>
        <r>
          <rPr>
            <b/>
            <sz val="9"/>
            <color indexed="81"/>
            <rFont val="Tahoma"/>
            <family val="2"/>
          </rPr>
          <t>Martin:</t>
        </r>
        <r>
          <rPr>
            <sz val="9"/>
            <color indexed="81"/>
            <rFont val="Tahoma"/>
            <family val="2"/>
          </rPr>
          <t xml:space="preserve">
Q311: 4.95-5.00</t>
        </r>
      </text>
    </comment>
    <comment ref="EE67" authorId="4" shapeId="0" xr:uid="{00000000-0006-0000-0700-000094020000}">
      <text>
        <r>
          <rPr>
            <b/>
            <sz val="9"/>
            <color indexed="81"/>
            <rFont val="Tahoma"/>
            <family val="2"/>
          </rPr>
          <t>Martin:</t>
        </r>
        <r>
          <rPr>
            <sz val="9"/>
            <color indexed="81"/>
            <rFont val="Tahoma"/>
            <family val="2"/>
          </rPr>
          <t xml:space="preserve">
5.05-5.15 set in Q411</t>
        </r>
      </text>
    </comment>
    <comment ref="EG67" authorId="4" shapeId="0" xr:uid="{00000000-0006-0000-0700-000095020000}">
      <text>
        <r>
          <rPr>
            <b/>
            <sz val="9"/>
            <color indexed="81"/>
            <rFont val="Tahoma"/>
            <family val="2"/>
          </rPr>
          <t>Martin:</t>
        </r>
        <r>
          <rPr>
            <sz val="9"/>
            <color indexed="81"/>
            <rFont val="Tahoma"/>
            <family val="2"/>
          </rPr>
          <t xml:space="preserve">
Q214: 5.85-5.92</t>
        </r>
      </text>
    </comment>
    <comment ref="K68" authorId="1" shapeId="0" xr:uid="{00000000-0006-0000-0700-000096020000}">
      <text>
        <r>
          <rPr>
            <b/>
            <sz val="8"/>
            <color indexed="81"/>
            <rFont val="Tahoma"/>
            <family val="2"/>
          </rPr>
          <t>Martin Shkreli:</t>
        </r>
        <r>
          <rPr>
            <sz val="8"/>
            <color indexed="81"/>
            <rFont val="Tahoma"/>
            <family val="2"/>
          </rPr>
          <t xml:space="preserve">
3106 jpm</t>
        </r>
      </text>
    </comment>
    <comment ref="L68" authorId="1" shapeId="0" xr:uid="{00000000-0006-0000-0700-000097020000}">
      <text>
        <r>
          <rPr>
            <b/>
            <sz val="8"/>
            <color indexed="81"/>
            <rFont val="Tahoma"/>
            <family val="2"/>
          </rPr>
          <t>Martin Shkreli:</t>
        </r>
        <r>
          <rPr>
            <sz val="8"/>
            <color indexed="81"/>
            <rFont val="Tahoma"/>
            <family val="2"/>
          </rPr>
          <t xml:space="preserve">
3109 jpm</t>
        </r>
      </text>
    </comment>
    <comment ref="M68" authorId="1" shapeId="0" xr:uid="{00000000-0006-0000-0700-000098020000}">
      <text>
        <r>
          <rPr>
            <b/>
            <sz val="8"/>
            <color indexed="81"/>
            <rFont val="Tahoma"/>
            <family val="2"/>
          </rPr>
          <t>Martin Shkreli:</t>
        </r>
        <r>
          <rPr>
            <sz val="8"/>
            <color indexed="81"/>
            <rFont val="Tahoma"/>
            <family val="2"/>
          </rPr>
          <t xml:space="preserve">
3105 jpm</t>
        </r>
      </text>
    </comment>
    <comment ref="N68" authorId="1" shapeId="0" xr:uid="{00000000-0006-0000-0700-000099020000}">
      <text>
        <r>
          <rPr>
            <b/>
            <sz val="8"/>
            <color indexed="81"/>
            <rFont val="Tahoma"/>
            <family val="2"/>
          </rPr>
          <t>Martin Shkreli:</t>
        </r>
        <r>
          <rPr>
            <sz val="8"/>
            <color indexed="81"/>
            <rFont val="Tahoma"/>
            <family val="2"/>
          </rPr>
          <t xml:space="preserve">
3106 jpm</t>
        </r>
      </text>
    </comment>
    <comment ref="O68" authorId="1" shapeId="0" xr:uid="{00000000-0006-0000-0700-00009A020000}">
      <text>
        <r>
          <rPr>
            <b/>
            <sz val="8"/>
            <color indexed="81"/>
            <rFont val="Tahoma"/>
            <family val="2"/>
          </rPr>
          <t>Martin Shkreli:</t>
        </r>
        <r>
          <rPr>
            <sz val="8"/>
            <color indexed="81"/>
            <rFont val="Tahoma"/>
            <family val="2"/>
          </rPr>
          <t xml:space="preserve">
3087 jpm
3087 bear</t>
        </r>
      </text>
    </comment>
    <comment ref="P68" authorId="1" shapeId="0" xr:uid="{00000000-0006-0000-0700-00009B020000}">
      <text>
        <r>
          <rPr>
            <b/>
            <sz val="8"/>
            <color indexed="81"/>
            <rFont val="Tahoma"/>
            <family val="2"/>
          </rPr>
          <t>Martin Shkreli:</t>
        </r>
        <r>
          <rPr>
            <sz val="8"/>
            <color indexed="81"/>
            <rFont val="Tahoma"/>
            <family val="2"/>
          </rPr>
          <t xml:space="preserve">
3095 jpm
3095 bear</t>
        </r>
      </text>
    </comment>
    <comment ref="Q68" authorId="1" shapeId="0" xr:uid="{00000000-0006-0000-0700-00009C020000}">
      <text>
        <r>
          <rPr>
            <b/>
            <sz val="8"/>
            <color indexed="81"/>
            <rFont val="Tahoma"/>
            <family val="2"/>
          </rPr>
          <t>Martin Shkreli:</t>
        </r>
        <r>
          <rPr>
            <sz val="8"/>
            <color indexed="81"/>
            <rFont val="Tahoma"/>
            <family val="2"/>
          </rPr>
          <t xml:space="preserve">
3113 jpm
3113 bear</t>
        </r>
      </text>
    </comment>
    <comment ref="R68" authorId="1" shapeId="0" xr:uid="{00000000-0006-0000-0700-00009D020000}">
      <text>
        <r>
          <rPr>
            <b/>
            <sz val="8"/>
            <color indexed="81"/>
            <rFont val="Tahoma"/>
            <family val="2"/>
          </rPr>
          <t>Martin Shkreli:</t>
        </r>
        <r>
          <rPr>
            <sz val="8"/>
            <color indexed="81"/>
            <rFont val="Tahoma"/>
            <family val="2"/>
          </rPr>
          <t xml:space="preserve">
3118 jpm
3118 bear</t>
        </r>
      </text>
    </comment>
    <comment ref="S68" authorId="1" shapeId="0" xr:uid="{00000000-0006-0000-0700-00009E020000}">
      <text>
        <r>
          <rPr>
            <b/>
            <sz val="8"/>
            <color indexed="81"/>
            <rFont val="Tahoma"/>
            <family val="2"/>
          </rPr>
          <t>Martin Shkreli:</t>
        </r>
        <r>
          <rPr>
            <sz val="8"/>
            <color indexed="81"/>
            <rFont val="Tahoma"/>
            <family val="2"/>
          </rPr>
          <t xml:space="preserve">
3106 bear</t>
        </r>
      </text>
    </comment>
    <comment ref="X68" authorId="1" shapeId="0" xr:uid="{00000000-0006-0000-0700-00009F020000}">
      <text>
        <r>
          <rPr>
            <b/>
            <sz val="8"/>
            <color indexed="81"/>
            <rFont val="Tahoma"/>
            <family val="2"/>
          </rPr>
          <t>Martin Shkreli:</t>
        </r>
        <r>
          <rPr>
            <sz val="8"/>
            <color indexed="81"/>
            <rFont val="Tahoma"/>
            <family val="2"/>
          </rPr>
          <t xml:space="preserve">
3087 bear</t>
        </r>
      </text>
    </comment>
    <comment ref="AB68" authorId="1" shapeId="0" xr:uid="{00000000-0006-0000-0700-0000A0020000}">
      <text>
        <r>
          <rPr>
            <b/>
            <sz val="8"/>
            <color indexed="81"/>
            <rFont val="Tahoma"/>
            <family val="2"/>
          </rPr>
          <t>Martin Shkreli:</t>
        </r>
        <r>
          <rPr>
            <sz val="8"/>
            <color indexed="81"/>
            <rFont val="Tahoma"/>
            <family val="2"/>
          </rPr>
          <t xml:space="preserve">
3016 bear
3028 JPM</t>
        </r>
      </text>
    </comment>
    <comment ref="AK68" authorId="1" shapeId="0" xr:uid="{00000000-0006-0000-0700-0000A1020000}">
      <text>
        <r>
          <rPr>
            <b/>
            <sz val="8"/>
            <color indexed="81"/>
            <rFont val="Tahoma"/>
            <family val="2"/>
          </rPr>
          <t>Martin Shkreli:</t>
        </r>
        <r>
          <rPr>
            <sz val="8"/>
            <color indexed="81"/>
            <rFont val="Tahoma"/>
            <family val="2"/>
          </rPr>
          <t xml:space="preserve">
3017 bear</t>
        </r>
      </text>
    </comment>
    <comment ref="AL68" authorId="1" shapeId="0" xr:uid="{00000000-0006-0000-0700-0000A2020000}">
      <text>
        <r>
          <rPr>
            <b/>
            <sz val="8"/>
            <color indexed="81"/>
            <rFont val="Tahoma"/>
            <family val="2"/>
          </rPr>
          <t>Martin Shkreli:</t>
        </r>
        <r>
          <rPr>
            <sz val="8"/>
            <color indexed="81"/>
            <rFont val="Tahoma"/>
            <family val="2"/>
          </rPr>
          <t xml:space="preserve">
3009 bear</t>
        </r>
      </text>
    </comment>
    <comment ref="AM68" authorId="2" shapeId="0" xr:uid="{00000000-0006-0000-0700-0000A3020000}">
      <text>
        <r>
          <rPr>
            <sz val="8"/>
            <color indexed="8"/>
            <rFont val="Times New Roman"/>
            <family val="1"/>
          </rPr>
          <t>5B repurchase program</t>
        </r>
      </text>
    </comment>
    <comment ref="DI68" authorId="1" shapeId="0" xr:uid="{00000000-0006-0000-0700-0000A4020000}">
      <text>
        <r>
          <rPr>
            <b/>
            <sz val="8"/>
            <color indexed="81"/>
            <rFont val="Tahoma"/>
            <family val="2"/>
          </rPr>
          <t>Martin Shkreli:</t>
        </r>
        <r>
          <rPr>
            <sz val="8"/>
            <color indexed="81"/>
            <rFont val="Tahoma"/>
            <family val="2"/>
          </rPr>
          <t xml:space="preserve">
2433 bear</t>
        </r>
      </text>
    </comment>
    <comment ref="DJ68" authorId="1" shapeId="0" xr:uid="{00000000-0006-0000-0700-0000A5020000}">
      <text>
        <r>
          <rPr>
            <b/>
            <sz val="8"/>
            <color indexed="81"/>
            <rFont val="Tahoma"/>
            <family val="2"/>
          </rPr>
          <t>Martin Shkreli:</t>
        </r>
        <r>
          <rPr>
            <sz val="8"/>
            <color indexed="81"/>
            <rFont val="Tahoma"/>
            <family val="2"/>
          </rPr>
          <t xml:space="preserve">
2620 bear</t>
        </r>
      </text>
    </comment>
    <comment ref="DK68" authorId="1" shapeId="0" xr:uid="{00000000-0006-0000-0700-0000A6020000}">
      <text>
        <r>
          <rPr>
            <b/>
            <sz val="8"/>
            <color indexed="81"/>
            <rFont val="Tahoma"/>
            <family val="2"/>
          </rPr>
          <t>Martin Shkreli:</t>
        </r>
        <r>
          <rPr>
            <sz val="8"/>
            <color indexed="81"/>
            <rFont val="Tahoma"/>
            <family val="2"/>
          </rPr>
          <t xml:space="preserve">
2495 bear</t>
        </r>
      </text>
    </comment>
    <comment ref="DL68" authorId="1" shapeId="0" xr:uid="{00000000-0006-0000-0700-0000A7020000}">
      <text>
        <r>
          <rPr>
            <b/>
            <sz val="8"/>
            <color indexed="81"/>
            <rFont val="Tahoma"/>
            <family val="2"/>
          </rPr>
          <t>Martin Shkreli:</t>
        </r>
        <r>
          <rPr>
            <sz val="8"/>
            <color indexed="81"/>
            <rFont val="Tahoma"/>
            <family val="2"/>
          </rPr>
          <t xml:space="preserve">
2588 bear</t>
        </r>
      </text>
    </comment>
    <comment ref="DM68" authorId="1" shapeId="0" xr:uid="{00000000-0006-0000-0700-0000A8020000}">
      <text>
        <r>
          <rPr>
            <b/>
            <sz val="8"/>
            <color indexed="81"/>
            <rFont val="Tahoma"/>
            <family val="2"/>
          </rPr>
          <t>Martin Shkreli:</t>
        </r>
        <r>
          <rPr>
            <sz val="8"/>
            <color indexed="81"/>
            <rFont val="Tahoma"/>
            <family val="2"/>
          </rPr>
          <t xml:space="preserve">
2562 bear</t>
        </r>
      </text>
    </comment>
    <comment ref="DN68" authorId="1" shapeId="0" xr:uid="{00000000-0006-0000-0700-0000A9020000}">
      <text>
        <r>
          <rPr>
            <b/>
            <sz val="8"/>
            <color indexed="81"/>
            <rFont val="Tahoma"/>
            <family val="2"/>
          </rPr>
          <t>Martin Shkreli:</t>
        </r>
        <r>
          <rPr>
            <sz val="8"/>
            <color indexed="81"/>
            <rFont val="Tahoma"/>
            <family val="2"/>
          </rPr>
          <t xml:space="preserve">
2600 bear</t>
        </r>
      </text>
    </comment>
    <comment ref="DO68" authorId="1" shapeId="0" xr:uid="{00000000-0006-0000-0700-0000AA020000}">
      <text>
        <r>
          <rPr>
            <b/>
            <sz val="8"/>
            <color indexed="81"/>
            <rFont val="Tahoma"/>
            <family val="2"/>
          </rPr>
          <t>Martin Shkreli:</t>
        </r>
        <r>
          <rPr>
            <sz val="8"/>
            <color indexed="81"/>
            <rFont val="Tahoma"/>
            <family val="2"/>
          </rPr>
          <t xml:space="preserve">
2714 bear</t>
        </r>
      </text>
    </comment>
    <comment ref="DP68" authorId="1" shapeId="0" xr:uid="{00000000-0006-0000-0700-0000AB020000}">
      <text>
        <r>
          <rPr>
            <b/>
            <sz val="8"/>
            <color indexed="81"/>
            <rFont val="Tahoma"/>
            <family val="2"/>
          </rPr>
          <t>Martin Shkreli:</t>
        </r>
        <r>
          <rPr>
            <sz val="8"/>
            <color indexed="81"/>
            <rFont val="Tahoma"/>
            <family val="2"/>
          </rPr>
          <t xml:space="preserve">
2967 bear</t>
        </r>
      </text>
    </comment>
    <comment ref="DQ68" authorId="1" shapeId="0" xr:uid="{00000000-0006-0000-0700-0000AC020000}">
      <text>
        <r>
          <rPr>
            <b/>
            <sz val="8"/>
            <color indexed="81"/>
            <rFont val="Tahoma"/>
            <family val="2"/>
          </rPr>
          <t>Martin Shkreli:</t>
        </r>
        <r>
          <rPr>
            <sz val="8"/>
            <color indexed="81"/>
            <rFont val="Tahoma"/>
            <family val="2"/>
          </rPr>
          <t xml:space="preserve">
3017 bear</t>
        </r>
      </text>
    </comment>
    <comment ref="DR68" authorId="1" shapeId="0" xr:uid="{00000000-0006-0000-0700-0000AD020000}">
      <text>
        <r>
          <rPr>
            <b/>
            <sz val="8"/>
            <color indexed="81"/>
            <rFont val="Tahoma"/>
            <family val="2"/>
          </rPr>
          <t>Martin Shkreli:</t>
        </r>
        <r>
          <rPr>
            <sz val="8"/>
            <color indexed="81"/>
            <rFont val="Tahoma"/>
            <family val="2"/>
          </rPr>
          <t xml:space="preserve">
3103 jpm
3009 bear</t>
        </r>
      </text>
    </comment>
    <comment ref="DS68" authorId="1" shapeId="0" xr:uid="{00000000-0006-0000-0700-0000AE020000}">
      <text>
        <r>
          <rPr>
            <b/>
            <sz val="8"/>
            <color indexed="81"/>
            <rFont val="Tahoma"/>
            <family val="2"/>
          </rPr>
          <t>Martin Shkreli:</t>
        </r>
        <r>
          <rPr>
            <sz val="8"/>
            <color indexed="81"/>
            <rFont val="Tahoma"/>
            <family val="2"/>
          </rPr>
          <t xml:space="preserve">
3099 jpm
3103 bear</t>
        </r>
      </text>
    </comment>
    <comment ref="DT68" authorId="1" shapeId="0" xr:uid="{00000000-0006-0000-0700-0000AF020000}">
      <text>
        <r>
          <rPr>
            <b/>
            <sz val="8"/>
            <color indexed="81"/>
            <rFont val="Tahoma"/>
            <family val="2"/>
          </rPr>
          <t>Martin Shkreli:</t>
        </r>
        <r>
          <rPr>
            <sz val="8"/>
            <color indexed="81"/>
            <rFont val="Tahoma"/>
            <family val="2"/>
          </rPr>
          <t xml:space="preserve">
3112 bear</t>
        </r>
      </text>
    </comment>
    <comment ref="DU68" authorId="1" shapeId="0" xr:uid="{00000000-0006-0000-0700-0000B0020000}">
      <text>
        <r>
          <rPr>
            <b/>
            <sz val="8"/>
            <color indexed="81"/>
            <rFont val="Tahoma"/>
            <family val="2"/>
          </rPr>
          <t>Martin Shkreli:</t>
        </r>
        <r>
          <rPr>
            <sz val="8"/>
            <color indexed="81"/>
            <rFont val="Tahoma"/>
            <family val="2"/>
          </rPr>
          <t xml:space="preserve">
3063 bear</t>
        </r>
      </text>
    </comment>
    <comment ref="DV68" authorId="1" shapeId="0" xr:uid="{00000000-0006-0000-0700-0000B1020000}">
      <text>
        <r>
          <rPr>
            <b/>
            <sz val="8"/>
            <color indexed="81"/>
            <rFont val="Tahoma"/>
            <family val="2"/>
          </rPr>
          <t>Martin Shkreli:</t>
        </r>
        <r>
          <rPr>
            <sz val="8"/>
            <color indexed="81"/>
            <rFont val="Tahoma"/>
            <family val="2"/>
          </rPr>
          <t xml:space="preserve">
3012 bear</t>
        </r>
      </text>
    </comment>
    <comment ref="DW68" authorId="1" shapeId="0" xr:uid="{00000000-0006-0000-0700-0000B2020000}">
      <text>
        <r>
          <rPr>
            <b/>
            <sz val="8"/>
            <color indexed="81"/>
            <rFont val="Tahoma"/>
            <family val="2"/>
          </rPr>
          <t>Martin Shkreli:</t>
        </r>
        <r>
          <rPr>
            <sz val="8"/>
            <color indexed="81"/>
            <rFont val="Tahoma"/>
            <family val="2"/>
          </rPr>
          <t xml:space="preserve">
3008 bear</t>
        </r>
      </text>
    </comment>
    <comment ref="DX68" authorId="1" shapeId="0" xr:uid="{00000000-0006-0000-0700-0000B3020000}">
      <text>
        <r>
          <rPr>
            <b/>
            <sz val="8"/>
            <color indexed="81"/>
            <rFont val="Tahoma"/>
            <family val="2"/>
          </rPr>
          <t>Martin Shkreli:</t>
        </r>
        <r>
          <rPr>
            <sz val="8"/>
            <color indexed="81"/>
            <rFont val="Tahoma"/>
            <family val="2"/>
          </rPr>
          <t xml:space="preserve">
3019 bear</t>
        </r>
      </text>
    </comment>
    <comment ref="BD69" authorId="3" shapeId="0" xr:uid="{00000000-0006-0000-0700-0000B4020000}">
      <text>
        <r>
          <rPr>
            <b/>
            <sz val="9"/>
            <color indexed="81"/>
            <rFont val="Tahoma"/>
            <family val="2"/>
          </rPr>
          <t>MSMB:</t>
        </r>
        <r>
          <rPr>
            <sz val="9"/>
            <color indexed="81"/>
            <rFont val="Tahoma"/>
            <family val="2"/>
          </rPr>
          <t xml:space="preserve">
was 1.24</t>
        </r>
      </text>
    </comment>
    <comment ref="DY69"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69"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69" authorId="2" shapeId="0" xr:uid="{00000000-0006-0000-0700-0000B7020000}">
      <text>
        <r>
          <rPr>
            <sz val="8"/>
            <color indexed="8"/>
            <rFont val="Times New Roman"/>
            <family val="1"/>
          </rPr>
          <t>was 4.35
was 4.30
was 4.24
"CONR deal neutral"</t>
        </r>
      </text>
    </comment>
    <comment ref="EB69" authorId="2" shapeId="0" xr:uid="{00000000-0006-0000-0700-0000B8020000}">
      <text>
        <r>
          <rPr>
            <sz val="8"/>
            <color indexed="8"/>
            <rFont val="Times New Roman"/>
            <family val="1"/>
          </rPr>
          <t>Q109: 4.49
was 4.71
was 4.70
was 4.64
was 4.47</t>
        </r>
      </text>
    </comment>
    <comment ref="EC69" authorId="2" shapeId="0" xr:uid="{00000000-0006-0000-0700-0000B9020000}">
      <text>
        <r>
          <rPr>
            <sz val="8"/>
            <color indexed="8"/>
            <rFont val="Times New Roman"/>
            <family val="1"/>
          </rPr>
          <t>was 5.20
was 5.10
was 4.96
was 4.90
was 4.87
was 4.92
was 4.71</t>
        </r>
      </text>
    </comment>
    <comment ref="ED69" authorId="2" shapeId="0" xr:uid="{00000000-0006-0000-0700-0000BA020000}">
      <text>
        <r>
          <rPr>
            <sz val="8"/>
            <color indexed="8"/>
            <rFont val="Times New Roman"/>
            <family val="1"/>
          </rPr>
          <t>was 5.80
was 5.57
was 5.26
was 5.21
was 5.10
was 5.37</t>
        </r>
      </text>
    </comment>
    <comment ref="EE69"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69" authorId="0" shapeId="0" xr:uid="{00000000-0006-0000-0700-0000BC020000}">
      <text>
        <r>
          <rPr>
            <b/>
            <sz val="9"/>
            <color indexed="81"/>
            <rFont val="Tahoma"/>
            <family val="2"/>
          </rPr>
          <t>MSMB - Andre:</t>
        </r>
        <r>
          <rPr>
            <sz val="9"/>
            <color indexed="81"/>
            <rFont val="Tahoma"/>
            <family val="2"/>
          </rPr>
          <t xml:space="preserve">
was 6.28</t>
        </r>
      </text>
    </comment>
    <comment ref="EG69" authorId="0" shapeId="0" xr:uid="{00000000-0006-0000-0700-0000BD020000}">
      <text>
        <r>
          <rPr>
            <b/>
            <sz val="9"/>
            <color indexed="81"/>
            <rFont val="Tahoma"/>
            <family val="2"/>
          </rPr>
          <t>MSMB - Andre:</t>
        </r>
        <r>
          <rPr>
            <sz val="9"/>
            <color indexed="81"/>
            <rFont val="Tahoma"/>
            <family val="2"/>
          </rPr>
          <t xml:space="preserve">
was 6.59</t>
        </r>
      </text>
    </comment>
    <comment ref="BM71"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1"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1" authorId="2" shapeId="0" xr:uid="{00000000-0006-0000-0700-0000C0020000}">
      <text>
        <r>
          <rPr>
            <sz val="8"/>
            <color indexed="8"/>
            <rFont val="Times New Roman"/>
            <family val="1"/>
          </rPr>
          <t>Guidance on Q208 call: 
1-2% op growth. 4.5% favorable currency impact if exchange rates don't change. 4-5% growth</t>
        </r>
      </text>
    </comment>
    <comment ref="EB74"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9" authorId="1" shapeId="0" xr:uid="{00000000-0006-0000-0700-0000CB020000}">
      <text>
        <r>
          <rPr>
            <b/>
            <sz val="8"/>
            <color indexed="81"/>
            <rFont val="Tahoma"/>
            <family val="2"/>
          </rPr>
          <t>Martin Shkreli:</t>
        </r>
        <r>
          <rPr>
            <sz val="8"/>
            <color indexed="81"/>
            <rFont val="Tahoma"/>
            <family val="2"/>
          </rPr>
          <t xml:space="preserve">
11230 JPM</t>
        </r>
      </text>
    </comment>
    <comment ref="DS99" authorId="1" shapeId="0" xr:uid="{00000000-0006-0000-0700-0000CC020000}">
      <text>
        <r>
          <rPr>
            <b/>
            <sz val="8"/>
            <color indexed="81"/>
            <rFont val="Tahoma"/>
            <family val="2"/>
          </rPr>
          <t>Martin Shkreli:</t>
        </r>
        <r>
          <rPr>
            <sz val="8"/>
            <color indexed="81"/>
            <rFont val="Tahoma"/>
            <family val="2"/>
          </rPr>
          <t xml:space="preserve">
12661 bear</t>
        </r>
      </text>
    </comment>
    <comment ref="EB99" authorId="1" shapeId="0" xr:uid="{00000000-0006-0000-0700-0000CD020000}">
      <text>
        <r>
          <rPr>
            <b/>
            <sz val="8"/>
            <color indexed="81"/>
            <rFont val="Tahoma"/>
            <family val="2"/>
          </rPr>
          <t>Martin Shkreli:</t>
        </r>
        <r>
          <rPr>
            <sz val="8"/>
            <color indexed="81"/>
            <rFont val="Tahoma"/>
            <family val="2"/>
          </rPr>
          <t xml:space="preserve">
was 26 many years ago</t>
        </r>
      </text>
    </comment>
    <comment ref="EC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S100" authorId="1" shapeId="0" xr:uid="{00000000-0006-0000-0700-0000D0020000}">
      <text>
        <r>
          <rPr>
            <b/>
            <sz val="8"/>
            <color indexed="81"/>
            <rFont val="Tahoma"/>
            <family val="2"/>
          </rPr>
          <t>Martin Shkreli:</t>
        </r>
        <r>
          <rPr>
            <sz val="8"/>
            <color indexed="81"/>
            <rFont val="Tahoma"/>
            <family val="2"/>
          </rPr>
          <t xml:space="preserve">
4394 bear</t>
        </r>
      </text>
    </comment>
    <comment ref="DX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R106" authorId="1" shapeId="0" xr:uid="{00000000-0006-0000-0700-0000D7020000}">
      <text>
        <r>
          <rPr>
            <b/>
            <sz val="8"/>
            <color indexed="81"/>
            <rFont val="Tahoma"/>
            <family val="2"/>
          </rPr>
          <t>Martin Shkreli:</t>
        </r>
        <r>
          <rPr>
            <sz val="8"/>
            <color indexed="81"/>
            <rFont val="Tahoma"/>
            <family val="2"/>
          </rPr>
          <t xml:space="preserve">
9914 Bear actual</t>
        </r>
      </text>
    </comment>
    <comment ref="DS106" authorId="1" shapeId="0" xr:uid="{00000000-0006-0000-0700-0000D8020000}">
      <text>
        <r>
          <rPr>
            <b/>
            <sz val="8"/>
            <color indexed="81"/>
            <rFont val="Tahoma"/>
            <family val="2"/>
          </rPr>
          <t>Martin Shkreli:</t>
        </r>
        <r>
          <rPr>
            <sz val="8"/>
            <color indexed="81"/>
            <rFont val="Tahoma"/>
            <family val="2"/>
          </rPr>
          <t xml:space="preserve">
10240 bear</t>
        </r>
      </text>
    </comment>
    <comment ref="DT106" authorId="1" shapeId="0" xr:uid="{00000000-0006-0000-0700-0000D9020000}">
      <text>
        <r>
          <rPr>
            <b/>
            <sz val="8"/>
            <color indexed="81"/>
            <rFont val="Tahoma"/>
            <family val="2"/>
          </rPr>
          <t>Martin Shkreli:</t>
        </r>
        <r>
          <rPr>
            <sz val="8"/>
            <color indexed="81"/>
            <rFont val="Tahoma"/>
            <family val="2"/>
          </rPr>
          <t xml:space="preserve">
11146 bear
</t>
        </r>
      </text>
    </comment>
    <comment ref="DU106" authorId="1" shapeId="0" xr:uid="{00000000-0006-0000-0700-0000DA020000}">
      <text>
        <r>
          <rPr>
            <b/>
            <sz val="8"/>
            <color indexed="81"/>
            <rFont val="Tahoma"/>
            <family val="2"/>
          </rPr>
          <t>Martin Shkreli:</t>
        </r>
        <r>
          <rPr>
            <sz val="8"/>
            <color indexed="81"/>
            <rFont val="Tahoma"/>
            <family val="2"/>
          </rPr>
          <t xml:space="preserve">
12583 Bear actual</t>
        </r>
      </text>
    </comment>
    <comment ref="EB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S113" authorId="1" shapeId="0" xr:uid="{00000000-0006-0000-0700-0000DE020000}">
      <text>
        <r>
          <rPr>
            <b/>
            <sz val="8"/>
            <color indexed="81"/>
            <rFont val="Tahoma"/>
            <family val="2"/>
          </rPr>
          <t>Martin Shkreli:</t>
        </r>
        <r>
          <rPr>
            <sz val="8"/>
            <color indexed="81"/>
            <rFont val="Tahoma"/>
            <family val="2"/>
          </rPr>
          <t xml:space="preserve">
6271 bear</t>
        </r>
      </text>
    </comment>
    <comment ref="DT113" authorId="1" shapeId="0" xr:uid="{00000000-0006-0000-0700-0000DF020000}">
      <text>
        <r>
          <rPr>
            <b/>
            <sz val="8"/>
            <color indexed="81"/>
            <rFont val="Tahoma"/>
            <family val="2"/>
          </rPr>
          <t>Martin Shkreli:</t>
        </r>
        <r>
          <rPr>
            <sz val="8"/>
            <color indexed="81"/>
            <rFont val="Tahoma"/>
            <family val="2"/>
          </rPr>
          <t xml:space="preserve">
6321 bear</t>
        </r>
      </text>
    </comment>
    <comment ref="EB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6" authorId="1" shapeId="0" xr:uid="{00000000-0006-0000-0700-0000E9020000}">
      <text>
        <r>
          <rPr>
            <b/>
            <sz val="8"/>
            <color indexed="81"/>
            <rFont val="Tahoma"/>
            <family val="2"/>
          </rPr>
          <t>Martin Shkreli:</t>
        </r>
        <r>
          <rPr>
            <sz val="8"/>
            <color indexed="81"/>
            <rFont val="Tahoma"/>
            <family val="2"/>
          </rPr>
          <t xml:space="preserve">
15532 bear</t>
        </r>
      </text>
    </comment>
    <comment ref="DS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30" authorId="1" shapeId="0" xr:uid="{00000000-0006-0000-0700-0000EF020000}">
      <text>
        <r>
          <rPr>
            <b/>
            <sz val="8"/>
            <color indexed="81"/>
            <rFont val="Tahoma"/>
            <family val="2"/>
          </rPr>
          <t>Martin Shkreli:</t>
        </r>
        <r>
          <rPr>
            <sz val="8"/>
            <color indexed="81"/>
            <rFont val="Tahoma"/>
            <family val="2"/>
          </rPr>
          <t xml:space="preserve">
11825 bear</t>
        </r>
      </text>
    </comment>
    <comment ref="DS130" authorId="1" shapeId="0" xr:uid="{00000000-0006-0000-0700-0000F0020000}">
      <text>
        <r>
          <rPr>
            <b/>
            <sz val="8"/>
            <color indexed="81"/>
            <rFont val="Tahoma"/>
            <family val="2"/>
          </rPr>
          <t>Martin Shkreli:</t>
        </r>
        <r>
          <rPr>
            <sz val="8"/>
            <color indexed="81"/>
            <rFont val="Tahoma"/>
            <family val="2"/>
          </rPr>
          <t xml:space="preserve">
11856 bear</t>
        </r>
      </text>
    </comment>
    <comment ref="DS136" authorId="1" shapeId="0" xr:uid="{00000000-0006-0000-0700-0000F1020000}">
      <text>
        <r>
          <rPr>
            <b/>
            <sz val="8"/>
            <color indexed="81"/>
            <rFont val="Tahoma"/>
            <family val="2"/>
          </rPr>
          <t>Martin Shkreli:</t>
        </r>
        <r>
          <rPr>
            <sz val="8"/>
            <color indexed="81"/>
            <rFont val="Tahoma"/>
            <family val="2"/>
          </rPr>
          <t xml:space="preserve">
1.50 share Bear</t>
        </r>
      </text>
    </comment>
    <comment ref="DT136" authorId="1" shapeId="0" xr:uid="{00000000-0006-0000-0700-0000F2020000}">
      <text>
        <r>
          <rPr>
            <b/>
            <sz val="8"/>
            <color indexed="81"/>
            <rFont val="Tahoma"/>
            <family val="2"/>
          </rPr>
          <t>Martin Shkreli:</t>
        </r>
        <r>
          <rPr>
            <sz val="8"/>
            <color indexed="81"/>
            <rFont val="Tahoma"/>
            <family val="2"/>
          </rPr>
          <t xml:space="preserve">
1.78 share Bear</t>
        </r>
      </text>
    </comment>
    <comment ref="DU136" authorId="1" shapeId="0" xr:uid="{00000000-0006-0000-0700-0000F3020000}">
      <text>
        <r>
          <rPr>
            <b/>
            <sz val="8"/>
            <color indexed="81"/>
            <rFont val="Tahoma"/>
            <family val="2"/>
          </rPr>
          <t>Martin Shkreli:</t>
        </r>
        <r>
          <rPr>
            <sz val="8"/>
            <color indexed="81"/>
            <rFont val="Tahoma"/>
            <family val="2"/>
          </rPr>
          <t xml:space="preserve">
2.13/share Bear</t>
        </r>
      </text>
    </comment>
    <comment ref="DV136" authorId="1" shapeId="0" xr:uid="{00000000-0006-0000-0700-0000F4020000}">
      <text>
        <r>
          <rPr>
            <b/>
            <sz val="8"/>
            <color indexed="81"/>
            <rFont val="Tahoma"/>
            <family val="2"/>
          </rPr>
          <t>Martin Shkreli:</t>
        </r>
        <r>
          <rPr>
            <sz val="8"/>
            <color indexed="81"/>
            <rFont val="Tahoma"/>
            <family val="2"/>
          </rPr>
          <t xml:space="preserve">
2.42/share Bear</t>
        </r>
      </text>
    </comment>
    <comment ref="DW136" authorId="1" shapeId="0" xr:uid="{00000000-0006-0000-0700-0000F5020000}">
      <text>
        <r>
          <rPr>
            <b/>
            <sz val="8"/>
            <color indexed="81"/>
            <rFont val="Tahoma"/>
            <family val="2"/>
          </rPr>
          <t>Martin Shkreli:</t>
        </r>
        <r>
          <rPr>
            <sz val="8"/>
            <color indexed="81"/>
            <rFont val="Tahoma"/>
            <family val="2"/>
          </rPr>
          <t xml:space="preserve">
3.06/share Bear</t>
        </r>
      </text>
    </comment>
    <comment ref="DX136" authorId="1" shapeId="0" xr:uid="{00000000-0006-0000-0700-0000F6020000}">
      <text>
        <r>
          <rPr>
            <b/>
            <sz val="8"/>
            <color indexed="81"/>
            <rFont val="Tahoma"/>
            <family val="2"/>
          </rPr>
          <t>Martin Shkreli:</t>
        </r>
        <r>
          <rPr>
            <sz val="8"/>
            <color indexed="81"/>
            <rFont val="Tahoma"/>
            <family val="2"/>
          </rPr>
          <t xml:space="preserve">
3.01/share Bear</t>
        </r>
      </text>
    </comment>
    <comment ref="BO187" authorId="4" shapeId="0" xr:uid="{00000000-0006-0000-0700-0000F7020000}">
      <text>
        <r>
          <rPr>
            <b/>
            <sz val="9"/>
            <color indexed="81"/>
            <rFont val="Tahoma"/>
            <family val="2"/>
          </rPr>
          <t>Martin:</t>
        </r>
        <r>
          <rPr>
            <sz val="9"/>
            <color indexed="81"/>
            <rFont val="Tahoma"/>
            <family val="2"/>
          </rPr>
          <t xml:space="preserve">
Venezuela</t>
        </r>
      </text>
    </comment>
    <comment ref="BP187" authorId="4" shapeId="0" xr:uid="{00000000-0006-0000-0700-0000F8020000}">
      <text>
        <r>
          <rPr>
            <b/>
            <sz val="9"/>
            <color indexed="81"/>
            <rFont val="Tahoma"/>
            <family val="2"/>
          </rPr>
          <t>Martin:</t>
        </r>
        <r>
          <rPr>
            <sz val="9"/>
            <color indexed="81"/>
            <rFont val="Tahoma"/>
            <family val="2"/>
          </rPr>
          <t xml:space="preserve">
Venezuela, net gain on equity</t>
        </r>
      </text>
    </comment>
    <comment ref="BQ187" authorId="4" shapeId="0" xr:uid="{00000000-0006-0000-0700-0000F9020000}">
      <text>
        <r>
          <rPr>
            <b/>
            <sz val="9"/>
            <color indexed="81"/>
            <rFont val="Tahoma"/>
            <family val="2"/>
          </rPr>
          <t>Martin:</t>
        </r>
        <r>
          <rPr>
            <sz val="9"/>
            <color indexed="81"/>
            <rFont val="Tahoma"/>
            <family val="2"/>
          </rPr>
          <t xml:space="preserve">
Venezuela, net gain on equity</t>
        </r>
      </text>
    </comment>
    <comment ref="BO198"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8" authorId="4" shapeId="0" xr:uid="{00000000-0006-0000-0700-0000FB020000}">
      <text>
        <r>
          <rPr>
            <b/>
            <sz val="9"/>
            <color indexed="81"/>
            <rFont val="Tahoma"/>
            <family val="2"/>
          </rPr>
          <t>Martin:</t>
        </r>
        <r>
          <rPr>
            <sz val="9"/>
            <color indexed="81"/>
            <rFont val="Tahoma"/>
            <family val="2"/>
          </rPr>
          <t xml:space="preserve">
Aragon</t>
        </r>
      </text>
    </comment>
    <comment ref="EB217" authorId="3" shapeId="0" xr:uid="{00000000-0006-0000-0700-0000FC020000}">
      <text>
        <r>
          <rPr>
            <b/>
            <sz val="9"/>
            <color indexed="81"/>
            <rFont val="Tahoma"/>
            <family val="2"/>
          </rPr>
          <t>MSMB:</t>
        </r>
        <r>
          <rPr>
            <sz val="9"/>
            <color indexed="81"/>
            <rFont val="Tahoma"/>
            <family val="2"/>
          </rPr>
          <t xml:space="preserve">
3/9/09</t>
        </r>
      </text>
    </comment>
    <comment ref="Q227" authorId="1" shapeId="0" xr:uid="{00000000-0006-0000-0700-0000FD020000}">
      <text>
        <r>
          <rPr>
            <b/>
            <sz val="8"/>
            <color indexed="81"/>
            <rFont val="Tahoma"/>
            <family val="2"/>
          </rPr>
          <t>Martin Shkreli:</t>
        </r>
        <r>
          <rPr>
            <sz val="8"/>
            <color indexed="81"/>
            <rFont val="Tahoma"/>
            <family val="2"/>
          </rPr>
          <t xml:space="preserve">
100m destocking hit</t>
        </r>
      </text>
    </comment>
    <comment ref="T227" authorId="1" shapeId="0" xr:uid="{00000000-0006-0000-0700-0000FE020000}">
      <text>
        <r>
          <rPr>
            <b/>
            <sz val="8"/>
            <color indexed="81"/>
            <rFont val="Tahoma"/>
            <family val="2"/>
          </rPr>
          <t>Martin Shkreli:</t>
        </r>
        <r>
          <rPr>
            <sz val="8"/>
            <color indexed="81"/>
            <rFont val="Tahoma"/>
            <family val="2"/>
          </rPr>
          <t xml:space="preserve">
AZA?</t>
        </r>
      </text>
    </comment>
    <comment ref="DS227" authorId="1" shapeId="0" xr:uid="{00000000-0006-0000-0700-0000FF020000}">
      <text>
        <r>
          <rPr>
            <b/>
            <sz val="8"/>
            <color indexed="81"/>
            <rFont val="Tahoma"/>
            <family val="2"/>
          </rPr>
          <t>Martin Shkreli:</t>
        </r>
        <r>
          <rPr>
            <sz val="8"/>
            <color indexed="81"/>
            <rFont val="Tahoma"/>
            <family val="2"/>
          </rPr>
          <t xml:space="preserve">
8441 bear</t>
        </r>
      </text>
    </comment>
    <comment ref="Q228" authorId="1" shapeId="0" xr:uid="{00000000-0006-0000-0700-000000030000}">
      <text>
        <r>
          <rPr>
            <b/>
            <sz val="8"/>
            <color indexed="81"/>
            <rFont val="Tahoma"/>
            <family val="2"/>
          </rPr>
          <t>Martin Shkreli:</t>
        </r>
        <r>
          <rPr>
            <sz val="8"/>
            <color indexed="81"/>
            <rFont val="Tahoma"/>
            <family val="2"/>
          </rPr>
          <t xml:space="preserve">
8% constant FX growth</t>
        </r>
      </text>
    </comment>
    <comment ref="DS228" authorId="1" shapeId="0" xr:uid="{00000000-0006-0000-0700-000001030000}">
      <text>
        <r>
          <rPr>
            <b/>
            <sz val="8"/>
            <color indexed="81"/>
            <rFont val="Tahoma"/>
            <family val="2"/>
          </rPr>
          <t>Martin Shkreli:</t>
        </r>
        <r>
          <rPr>
            <sz val="8"/>
            <color indexed="81"/>
            <rFont val="Tahoma"/>
            <family val="2"/>
          </rPr>
          <t xml:space="preserve">
4220 bear</t>
        </r>
      </text>
    </comment>
    <comment ref="Q229"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9" authorId="1" shapeId="0" xr:uid="{00000000-0006-0000-0700-000003030000}">
      <text>
        <r>
          <rPr>
            <b/>
            <sz val="8"/>
            <color indexed="81"/>
            <rFont val="Tahoma"/>
            <family val="2"/>
          </rPr>
          <t>Martin Shkreli:</t>
        </r>
        <r>
          <rPr>
            <sz val="8"/>
            <color indexed="81"/>
            <rFont val="Tahoma"/>
            <family val="2"/>
          </rPr>
          <t xml:space="preserve">
7.8% CC</t>
        </r>
      </text>
    </comment>
    <comment ref="AC229" authorId="1" shapeId="0" xr:uid="{00000000-0006-0000-0700-000004030000}">
      <text>
        <r>
          <rPr>
            <b/>
            <sz val="8"/>
            <color indexed="81"/>
            <rFont val="Tahoma"/>
            <family val="2"/>
          </rPr>
          <t>Martin Shkreli:</t>
        </r>
        <r>
          <rPr>
            <sz val="8"/>
            <color indexed="81"/>
            <rFont val="Tahoma"/>
            <family val="2"/>
          </rPr>
          <t xml:space="preserve">
9.7% CC growth</t>
        </r>
      </text>
    </comment>
    <comment ref="DR229" authorId="1" shapeId="0" xr:uid="{00000000-0006-0000-0700-000005030000}">
      <text>
        <r>
          <rPr>
            <b/>
            <sz val="8"/>
            <color indexed="81"/>
            <rFont val="Tahoma"/>
            <family val="2"/>
          </rPr>
          <t>Martin Shkreli:</t>
        </r>
        <r>
          <rPr>
            <sz val="8"/>
            <color indexed="81"/>
            <rFont val="Tahoma"/>
            <family val="2"/>
          </rPr>
          <t xml:space="preserve">
jpm may incl alza</t>
        </r>
      </text>
    </comment>
    <comment ref="DS229" authorId="1" shapeId="0" xr:uid="{00000000-0006-0000-0700-000006030000}">
      <text>
        <r>
          <rPr>
            <b/>
            <sz val="8"/>
            <color indexed="81"/>
            <rFont val="Tahoma"/>
            <family val="2"/>
          </rPr>
          <t>Martin Shkreli:</t>
        </r>
        <r>
          <rPr>
            <sz val="8"/>
            <color indexed="81"/>
            <rFont val="Tahoma"/>
            <family val="2"/>
          </rPr>
          <t xml:space="preserve">
jpm may incl alza</t>
        </r>
      </text>
    </comment>
    <comment ref="DR230" authorId="1" shapeId="0" xr:uid="{00000000-0006-0000-0700-000007030000}">
      <text>
        <r>
          <rPr>
            <b/>
            <sz val="8"/>
            <color indexed="81"/>
            <rFont val="Tahoma"/>
            <family val="2"/>
          </rPr>
          <t>Martin Shkreli:</t>
        </r>
        <r>
          <rPr>
            <sz val="8"/>
            <color indexed="81"/>
            <rFont val="Tahoma"/>
            <family val="2"/>
          </rPr>
          <t xml:space="preserve">
5266 bear</t>
        </r>
      </text>
    </comment>
    <comment ref="DS230" authorId="1" shapeId="0" xr:uid="{00000000-0006-0000-0700-000008030000}">
      <text>
        <r>
          <rPr>
            <b/>
            <sz val="8"/>
            <color indexed="81"/>
            <rFont val="Tahoma"/>
            <family val="2"/>
          </rPr>
          <t>Martin Shkreli:</t>
        </r>
        <r>
          <rPr>
            <sz val="8"/>
            <color indexed="81"/>
            <rFont val="Tahoma"/>
            <family val="2"/>
          </rPr>
          <t xml:space="preserve">
5472 bear</t>
        </r>
      </text>
    </comment>
    <comment ref="Q231" authorId="1" shapeId="0" xr:uid="{00000000-0006-0000-0700-000009030000}">
      <text>
        <r>
          <rPr>
            <b/>
            <sz val="8"/>
            <color indexed="81"/>
            <rFont val="Tahoma"/>
            <family val="2"/>
          </rPr>
          <t>Martin Shkreli:</t>
        </r>
        <r>
          <rPr>
            <sz val="8"/>
            <color indexed="81"/>
            <rFont val="Tahoma"/>
            <family val="2"/>
          </rPr>
          <t xml:space="preserve">
12% constant FX growth</t>
        </r>
      </text>
    </comment>
    <comment ref="DR231" authorId="1" shapeId="0" xr:uid="{00000000-0006-0000-0700-00000A030000}">
      <text>
        <r>
          <rPr>
            <b/>
            <sz val="8"/>
            <color indexed="81"/>
            <rFont val="Tahoma"/>
            <family val="2"/>
          </rPr>
          <t>Martin Shkreli:</t>
        </r>
        <r>
          <rPr>
            <sz val="8"/>
            <color indexed="81"/>
            <rFont val="Tahoma"/>
            <family val="2"/>
          </rPr>
          <t xml:space="preserve">
4613 bear</t>
        </r>
      </text>
    </comment>
    <comment ref="DS231" authorId="1" shapeId="0" xr:uid="{00000000-0006-0000-0700-00000B030000}">
      <text>
        <r>
          <rPr>
            <b/>
            <sz val="8"/>
            <color indexed="81"/>
            <rFont val="Tahoma"/>
            <family val="2"/>
          </rPr>
          <t>Martin Shkreli:</t>
        </r>
        <r>
          <rPr>
            <sz val="8"/>
            <color indexed="81"/>
            <rFont val="Tahoma"/>
            <family val="2"/>
          </rPr>
          <t xml:space="preserve">
4768 bear</t>
        </r>
      </text>
    </comment>
    <comment ref="Q232" authorId="1" shapeId="0" xr:uid="{00000000-0006-0000-0700-00000C030000}">
      <text>
        <r>
          <rPr>
            <b/>
            <sz val="8"/>
            <color indexed="81"/>
            <rFont val="Tahoma"/>
            <family val="2"/>
          </rPr>
          <t>Martin Shkreli:</t>
        </r>
        <r>
          <rPr>
            <sz val="8"/>
            <color indexed="81"/>
            <rFont val="Tahoma"/>
            <family val="2"/>
          </rPr>
          <t xml:space="preserve">
8% constant FX growth</t>
        </r>
      </text>
    </comment>
    <comment ref="DR232" authorId="1" shapeId="0" xr:uid="{00000000-0006-0000-0700-00000D030000}">
      <text>
        <r>
          <rPr>
            <b/>
            <sz val="8"/>
            <color indexed="81"/>
            <rFont val="Tahoma"/>
            <family val="2"/>
          </rPr>
          <t>Martin Shkreli:</t>
        </r>
        <r>
          <rPr>
            <sz val="8"/>
            <color indexed="81"/>
            <rFont val="Tahoma"/>
            <family val="2"/>
          </rPr>
          <t xml:space="preserve">
9879 bear</t>
        </r>
      </text>
    </comment>
    <comment ref="DS232" authorId="1" shapeId="0" xr:uid="{00000000-0006-0000-0700-00000E030000}">
      <text>
        <r>
          <rPr>
            <b/>
            <sz val="8"/>
            <color indexed="81"/>
            <rFont val="Tahoma"/>
            <family val="2"/>
          </rPr>
          <t>Martin Shkreli:</t>
        </r>
        <r>
          <rPr>
            <sz val="8"/>
            <color indexed="81"/>
            <rFont val="Tahoma"/>
            <family val="2"/>
          </rPr>
          <t xml:space="preserve">
10240 bear</t>
        </r>
      </text>
    </comment>
    <comment ref="DR233" authorId="1" shapeId="0" xr:uid="{00000000-0006-0000-0700-00000F030000}">
      <text>
        <r>
          <rPr>
            <b/>
            <sz val="8"/>
            <color indexed="81"/>
            <rFont val="Tahoma"/>
            <family val="2"/>
          </rPr>
          <t>Martin Shkreli:</t>
        </r>
        <r>
          <rPr>
            <sz val="8"/>
            <color indexed="81"/>
            <rFont val="Tahoma"/>
            <family val="2"/>
          </rPr>
          <t xml:space="preserve">
3311 bear</t>
        </r>
      </text>
    </comment>
    <comment ref="DS233" authorId="1" shapeId="0" xr:uid="{00000000-0006-0000-0700-000010030000}">
      <text>
        <r>
          <rPr>
            <b/>
            <sz val="8"/>
            <color indexed="81"/>
            <rFont val="Tahoma"/>
            <family val="2"/>
          </rPr>
          <t>Martin Shkreli:</t>
        </r>
        <r>
          <rPr>
            <sz val="8"/>
            <color indexed="81"/>
            <rFont val="Tahoma"/>
            <family val="2"/>
          </rPr>
          <t xml:space="preserve">
3403 bear</t>
        </r>
      </text>
    </comment>
    <comment ref="Q234" authorId="1" shapeId="0" xr:uid="{00000000-0006-0000-0700-000011030000}">
      <text>
        <r>
          <rPr>
            <b/>
            <sz val="8"/>
            <color indexed="81"/>
            <rFont val="Tahoma"/>
            <family val="2"/>
          </rPr>
          <t>Martin Shkreli:</t>
        </r>
        <r>
          <rPr>
            <sz val="8"/>
            <color indexed="81"/>
            <rFont val="Tahoma"/>
            <family val="2"/>
          </rPr>
          <t xml:space="preserve">
7% constant FX growth</t>
        </r>
      </text>
    </comment>
    <comment ref="DR234" authorId="1" shapeId="0" xr:uid="{00000000-0006-0000-0700-000012030000}">
      <text>
        <r>
          <rPr>
            <b/>
            <sz val="8"/>
            <color indexed="81"/>
            <rFont val="Tahoma"/>
            <family val="2"/>
          </rPr>
          <t>Martin Shkreli:</t>
        </r>
        <r>
          <rPr>
            <sz val="8"/>
            <color indexed="81"/>
            <rFont val="Tahoma"/>
            <family val="2"/>
          </rPr>
          <t xml:space="preserve">
2937 bear</t>
        </r>
      </text>
    </comment>
    <comment ref="DS234" authorId="1" shapeId="0" xr:uid="{00000000-0006-0000-0700-000013030000}">
      <text>
        <r>
          <rPr>
            <b/>
            <sz val="8"/>
            <color indexed="81"/>
            <rFont val="Tahoma"/>
            <family val="2"/>
          </rPr>
          <t>Martin Shkreli:</t>
        </r>
        <r>
          <rPr>
            <sz val="8"/>
            <color indexed="81"/>
            <rFont val="Tahoma"/>
            <family val="2"/>
          </rPr>
          <t xml:space="preserve">
2868 bear</t>
        </r>
      </text>
    </comment>
    <comment ref="Q235" authorId="1" shapeId="0" xr:uid="{00000000-0006-0000-0700-000014030000}">
      <text>
        <r>
          <rPr>
            <b/>
            <sz val="8"/>
            <color indexed="81"/>
            <rFont val="Tahoma"/>
            <family val="2"/>
          </rPr>
          <t>Martin Shkreli:</t>
        </r>
        <r>
          <rPr>
            <sz val="8"/>
            <color indexed="81"/>
            <rFont val="Tahoma"/>
            <family val="2"/>
          </rPr>
          <t xml:space="preserve">
4% constant FX growth</t>
        </r>
      </text>
    </comment>
    <comment ref="DR235" authorId="1" shapeId="0" xr:uid="{00000000-0006-0000-0700-000015030000}">
      <text>
        <r>
          <rPr>
            <b/>
            <sz val="8"/>
            <color indexed="81"/>
            <rFont val="Tahoma"/>
            <family val="2"/>
          </rPr>
          <t>Martin Shkreli:</t>
        </r>
        <r>
          <rPr>
            <sz val="8"/>
            <color indexed="81"/>
            <rFont val="Tahoma"/>
            <family val="2"/>
          </rPr>
          <t xml:space="preserve">
6248 bear</t>
        </r>
      </text>
    </comment>
    <comment ref="DS235"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<sst xmlns="http://schemas.openxmlformats.org/spreadsheetml/2006/main" count="2850" uniqueCount="1857">
  <si>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</si>
  <si>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</si>
  <si>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</si>
  <si>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</si>
  <si>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</si>
  <si>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</si>
  <si>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</si>
  <si>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</si>
  <si>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</si>
  <si>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</si>
  <si>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</si>
  <si>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</si>
  <si>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Chemo</t>
  </si>
  <si>
    <t>Platinum, Taxane</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</si>
  <si>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</si>
  <si>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</si>
  <si>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</si>
  <si>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</si>
  <si>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</si>
  <si>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</si>
  <si>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</si>
  <si>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</si>
  <si>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</si>
  <si>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</si>
  <si>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</si>
  <si>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2013??</t>
  </si>
  <si>
    <t>Expired</t>
  </si>
  <si>
    <t>NCE</t>
  </si>
  <si>
    <t>PPIs</t>
  </si>
  <si>
    <t>EPO</t>
  </si>
  <si>
    <t>TNFs, Actemra</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</si>
  <si>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</si>
  <si>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</si>
  <si>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</si>
  <si>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</si>
  <si>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</si>
  <si>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</si>
  <si>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</si>
  <si>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</si>
  <si>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</si>
  <si>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</si>
  <si>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</si>
  <si>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</si>
  <si>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</si>
  <si>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</si>
  <si>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</si>
  <si>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</si>
  <si>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</si>
  <si>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</si>
  <si>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</si>
  <si>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</si>
  <si>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</si>
  <si>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</si>
  <si>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</si>
  <si>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</si>
  <si>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</si>
  <si>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</si>
  <si>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</si>
  <si>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</si>
  <si>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</si>
  <si>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</si>
  <si>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</si>
  <si>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</si>
  <si>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</si>
  <si>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</si>
  <si>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</si>
  <si>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</si>
  <si>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</si>
  <si>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</si>
  <si>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</si>
  <si>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</si>
  <si>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</si>
  <si>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</si>
  <si>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</si>
  <si>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</si>
  <si>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</si>
  <si>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</si>
  <si>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</si>
  <si>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</si>
  <si>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</si>
  <si>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</si>
  <si>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</si>
  <si>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</si>
  <si>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</si>
  <si>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</si>
  <si>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</si>
  <si>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</si>
  <si>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</si>
  <si>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</si>
  <si>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</si>
  <si>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</si>
  <si>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</si>
  <si>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</si>
  <si>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</si>
  <si>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</si>
  <si>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</si>
  <si>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</si>
  <si>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</si>
  <si>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</si>
  <si>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</si>
  <si>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</si>
  <si>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</si>
  <si>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</si>
  <si>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</si>
  <si>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</si>
  <si>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</si>
  <si>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</si>
  <si>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</si>
  <si>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</si>
  <si>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</si>
  <si>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</si>
  <si>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</si>
  <si>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</si>
  <si>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</si>
  <si>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</si>
  <si>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</si>
  <si>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</si>
  <si>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</si>
  <si>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Phase 3</t>
  </si>
  <si>
    <t>Guidant</t>
  </si>
  <si>
    <t>Failed acquisition, acquired by Boston Scientific.</t>
  </si>
  <si>
    <t>Alza</t>
  </si>
  <si>
    <t>Alza (Ditropan XL, Concerta, Doxil/Caelyx)</t>
  </si>
  <si>
    <t>Q3 2005</t>
  </si>
  <si>
    <t>Description</t>
  </si>
  <si>
    <t>Scios</t>
  </si>
  <si>
    <t>Centocor</t>
  </si>
  <si>
    <t>LifeScan y/y</t>
  </si>
  <si>
    <t/>
  </si>
  <si>
    <t>Ortho Diagnostics y/y</t>
  </si>
  <si>
    <t>Ethicon-Endo y/y</t>
  </si>
  <si>
    <t>Ethicon y/y</t>
  </si>
  <si>
    <t>Vision Care y/y</t>
  </si>
  <si>
    <t>Manufacturing</t>
  </si>
  <si>
    <t>Leiden, The Netherlands was the original site.</t>
  </si>
  <si>
    <t>Sustiva</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</si>
  <si>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</si>
  <si>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</si>
  <si>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</si>
  <si>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</si>
  <si>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</si>
  <si>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</si>
  <si>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</si>
  <si>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Dominick Caruso - CFO</t>
  </si>
  <si>
    <t>Louise Mehrotra - VP IR</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</si>
  <si>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</si>
  <si>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</si>
  <si>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</si>
  <si>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</si>
  <si>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</si>
  <si>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</si>
  <si>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</si>
  <si>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</si>
  <si>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</si>
  <si>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</si>
  <si>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Consumer - Colleen Goggins is WW Chairman. (24% of sales in 2007, 15.8% operating margin, 15% of operating profits).</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</si>
  <si>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</si>
  <si>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</si>
  <si>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</si>
  <si>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</si>
  <si>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</si>
  <si>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</si>
  <si>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</si>
  <si>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</si>
  <si>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</si>
  <si>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</si>
  <si>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</si>
  <si>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</si>
  <si>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</si>
  <si>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</si>
  <si>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</si>
  <si>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</si>
  <si>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</si>
  <si>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</si>
  <si>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</si>
  <si>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</si>
  <si>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 xml:space="preserve">Competition </t>
  </si>
  <si>
    <t>IP</t>
  </si>
  <si>
    <t>Phase</t>
  </si>
  <si>
    <t>Competition</t>
  </si>
  <si>
    <t>Procrit</t>
  </si>
  <si>
    <t>Anemia</t>
  </si>
  <si>
    <t>IV</t>
  </si>
  <si>
    <t>Schizophrenia</t>
  </si>
  <si>
    <t>Atypical</t>
  </si>
  <si>
    <t>Oral</t>
  </si>
  <si>
    <t>Zyprexa, Abilify</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</si>
  <si>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</si>
  <si>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</si>
  <si>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</si>
  <si>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</si>
  <si>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</si>
  <si>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</si>
  <si>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</si>
  <si>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</si>
  <si>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</si>
  <si>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Anti-TNF</t>
  </si>
  <si>
    <t>SGP</t>
  </si>
  <si>
    <t>Topamax</t>
  </si>
  <si>
    <t>Migraine, Epilepsy</t>
  </si>
  <si>
    <t>Unknown</t>
  </si>
  <si>
    <t>Invega</t>
  </si>
  <si>
    <t>Duragesic</t>
  </si>
  <si>
    <t>Pain</t>
  </si>
  <si>
    <t>Fentanyl</t>
  </si>
  <si>
    <t>ADHD</t>
  </si>
  <si>
    <t>Amphetamine</t>
  </si>
  <si>
    <t>Vyvanse</t>
  </si>
  <si>
    <t>2004/2017</t>
  </si>
  <si>
    <t>Xarelto (rivaroxaban)</t>
  </si>
  <si>
    <t>Factor Xa</t>
  </si>
  <si>
    <t>Velcade</t>
  </si>
  <si>
    <t>Multiple Myeloma</t>
  </si>
  <si>
    <t>Proteasome</t>
  </si>
  <si>
    <t>Revlimid</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</si>
  <si>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</si>
  <si>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</si>
  <si>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</si>
  <si>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</si>
  <si>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</si>
  <si>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</si>
  <si>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</si>
  <si>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</si>
  <si>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</si>
  <si>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</si>
  <si>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</si>
  <si>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</si>
  <si>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</si>
  <si>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</si>
  <si>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</si>
  <si>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</si>
  <si>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</si>
  <si>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</si>
  <si>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</si>
  <si>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</si>
  <si>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</si>
  <si>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</si>
  <si>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</si>
  <si>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</si>
  <si>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</si>
  <si>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</si>
  <si>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</si>
  <si>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</si>
  <si>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</si>
  <si>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</si>
  <si>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</si>
  <si>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</si>
  <si>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</si>
  <si>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</si>
  <si>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</si>
  <si>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</si>
  <si>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</si>
  <si>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</si>
  <si>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</si>
  <si>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</si>
  <si>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</si>
  <si>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</si>
  <si>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</si>
  <si>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</si>
  <si>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</si>
  <si>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</si>
  <si>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</si>
  <si>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</si>
  <si>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I/II</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</si>
  <si>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</si>
  <si>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</si>
  <si>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</si>
  <si>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</si>
  <si>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</si>
  <si>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</si>
  <si>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</si>
  <si>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</si>
  <si>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</si>
  <si>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</si>
  <si>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</si>
  <si>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</si>
  <si>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</si>
  <si>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</si>
  <si>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</si>
  <si>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</si>
  <si>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</si>
  <si>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</si>
  <si>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</si>
  <si>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</si>
  <si>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</si>
  <si>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</si>
  <si>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</si>
  <si>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</si>
  <si>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</si>
  <si>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</si>
  <si>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</si>
  <si>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</si>
  <si>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</si>
  <si>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</si>
  <si>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</si>
  <si>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</si>
  <si>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</si>
  <si>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</si>
  <si>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</si>
  <si>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</si>
  <si>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</si>
  <si>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</si>
  <si>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</si>
  <si>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</si>
  <si>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</si>
  <si>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</si>
  <si>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</si>
  <si>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</si>
  <si>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</si>
  <si>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</si>
  <si>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</si>
  <si>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</si>
  <si>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</si>
  <si>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</si>
  <si>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</si>
  <si>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</si>
  <si>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</si>
  <si>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</si>
  <si>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</si>
  <si>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</si>
  <si>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</si>
  <si>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</si>
  <si>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</si>
  <si>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</si>
  <si>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</si>
  <si>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</si>
  <si>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</si>
  <si>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</si>
  <si>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</si>
  <si>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</si>
  <si>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</si>
  <si>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</si>
  <si>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</si>
  <si>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</si>
  <si>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</si>
  <si>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</si>
  <si>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</si>
  <si>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</si>
  <si>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</si>
  <si>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</si>
  <si>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Fast D2?</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</si>
  <si>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</si>
  <si>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</si>
  <si>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</si>
  <si>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</si>
  <si>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</si>
  <si>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</si>
  <si>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</si>
  <si>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</si>
  <si>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</si>
  <si>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</si>
  <si>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</si>
  <si>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</si>
  <si>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</si>
  <si>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</si>
  <si>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</si>
  <si>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</si>
  <si>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</si>
  <si>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</si>
  <si>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</si>
  <si>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</si>
  <si>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</si>
  <si>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</si>
  <si>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</si>
  <si>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</si>
  <si>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</si>
  <si>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</si>
  <si>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</si>
  <si>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Procrit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</si>
  <si>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</si>
  <si>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</si>
  <si>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</si>
  <si>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</si>
  <si>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</si>
  <si>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</si>
  <si>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</si>
  <si>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</si>
  <si>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</si>
  <si>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</si>
  <si>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</si>
  <si>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</si>
  <si>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</si>
  <si>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</si>
  <si>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</si>
  <si>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</si>
  <si>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</si>
  <si>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</si>
  <si>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</si>
  <si>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</si>
  <si>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</si>
  <si>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</si>
  <si>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</si>
  <si>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</si>
  <si>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</si>
  <si>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</si>
  <si>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</si>
  <si>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</si>
  <si>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</si>
  <si>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</si>
  <si>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</si>
  <si>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</si>
  <si>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</si>
  <si>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</si>
  <si>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</si>
  <si>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</si>
  <si>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</si>
  <si>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</si>
  <si>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</si>
  <si>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</si>
  <si>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</si>
  <si>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</si>
  <si>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</si>
  <si>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</si>
  <si>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</si>
  <si>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</si>
  <si>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</si>
  <si>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</si>
  <si>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</si>
  <si>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</si>
  <si>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</si>
  <si>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</si>
  <si>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</si>
  <si>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</si>
  <si>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</si>
  <si>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</si>
  <si>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</si>
  <si>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</si>
  <si>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</si>
  <si>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</si>
  <si>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</si>
  <si>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</si>
  <si>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</si>
  <si>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</si>
  <si>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</si>
  <si>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</si>
  <si>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</si>
  <si>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</si>
  <si>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</si>
  <si>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</si>
  <si>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</si>
  <si>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</si>
  <si>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</si>
  <si>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</si>
  <si>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</si>
  <si>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</si>
  <si>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</si>
  <si>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</si>
  <si>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</si>
  <si>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</si>
  <si>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</si>
  <si>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</si>
  <si>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</si>
  <si>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</si>
  <si>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</si>
  <si>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</si>
  <si>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</si>
  <si>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</si>
  <si>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</si>
  <si>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</si>
  <si>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</si>
  <si>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</si>
  <si>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</si>
  <si>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</si>
  <si>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</si>
  <si>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</si>
  <si>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</si>
  <si>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</si>
  <si>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</si>
  <si>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</si>
  <si>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</si>
  <si>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</si>
  <si>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</si>
  <si>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</si>
  <si>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</si>
  <si>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</si>
  <si>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</si>
  <si>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</si>
  <si>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</si>
  <si>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</si>
  <si>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</si>
  <si>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</si>
  <si>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</si>
  <si>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</si>
  <si>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</si>
  <si>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</si>
  <si>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</si>
  <si>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</si>
  <si>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</si>
  <si>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</si>
  <si>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</si>
  <si>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</si>
  <si>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Cordis y/y</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</si>
  <si>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</si>
  <si>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</si>
  <si>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</si>
  <si>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</si>
  <si>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</si>
  <si>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</si>
  <si>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</si>
  <si>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</si>
  <si>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</si>
  <si>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</si>
  <si>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</si>
  <si>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</si>
  <si>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</si>
  <si>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</si>
  <si>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</si>
  <si>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</si>
  <si>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</si>
  <si>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</si>
  <si>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</si>
  <si>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</si>
  <si>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</si>
  <si>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</si>
  <si>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</si>
  <si>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</si>
  <si>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</si>
  <si>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</si>
  <si>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</si>
  <si>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</si>
  <si>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</si>
  <si>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</si>
  <si>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</si>
  <si>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</si>
  <si>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</si>
  <si>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</si>
  <si>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</si>
  <si>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</si>
  <si>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</si>
  <si>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</si>
  <si>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</si>
  <si>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</si>
  <si>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</si>
  <si>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</si>
  <si>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</si>
  <si>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</si>
  <si>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</si>
  <si>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</si>
  <si>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</si>
  <si>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</si>
  <si>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</si>
  <si>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</si>
  <si>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</si>
  <si>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</si>
  <si>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</si>
  <si>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</si>
  <si>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</si>
  <si>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</si>
  <si>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</si>
  <si>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</si>
  <si>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</si>
  <si>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</si>
  <si>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</si>
  <si>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</si>
  <si>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</si>
  <si>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</si>
  <si>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</si>
  <si>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</si>
  <si>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</si>
  <si>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</si>
  <si>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</si>
  <si>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</si>
  <si>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</si>
  <si>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</si>
  <si>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</si>
  <si>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</si>
  <si>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</si>
  <si>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</si>
  <si>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</si>
  <si>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</si>
  <si>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</si>
  <si>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</si>
  <si>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</si>
  <si>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</si>
  <si>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</si>
  <si>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</si>
  <si>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</si>
  <si>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</si>
  <si>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</si>
  <si>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1993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</si>
  <si>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</si>
  <si>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</si>
  <si>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</si>
  <si>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</si>
  <si>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</si>
  <si>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</si>
  <si>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</si>
  <si>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</si>
  <si>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</si>
  <si>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</si>
  <si>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</si>
  <si>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</si>
  <si>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</si>
  <si>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</si>
  <si>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</si>
  <si>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</si>
  <si>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</si>
  <si>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</si>
  <si>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</si>
  <si>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</si>
  <si>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</si>
  <si>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</si>
  <si>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</si>
  <si>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</si>
  <si>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</si>
  <si>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</si>
  <si>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</si>
  <si>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</si>
  <si>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</si>
  <si>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</si>
  <si>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</si>
  <si>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</si>
  <si>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</si>
  <si>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</si>
  <si>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</si>
  <si>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</si>
  <si>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</si>
  <si>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</si>
  <si>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</si>
  <si>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</si>
  <si>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</si>
  <si>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Company</t>
  </si>
  <si>
    <t>Generics</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</si>
  <si>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</si>
  <si>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</si>
  <si>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</si>
  <si>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</si>
  <si>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</si>
  <si>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</si>
  <si>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</si>
  <si>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</si>
  <si>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</si>
  <si>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</si>
  <si>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</si>
  <si>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</si>
  <si>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</si>
  <si>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</si>
  <si>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</si>
  <si>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</si>
  <si>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</si>
  <si>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</si>
  <si>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</si>
  <si>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</si>
  <si>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</si>
  <si>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</si>
  <si>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</si>
  <si>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</si>
  <si>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</si>
  <si>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</si>
  <si>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</si>
  <si>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</si>
  <si>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</si>
  <si>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</si>
  <si>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</si>
  <si>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</si>
  <si>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</si>
  <si>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</si>
  <si>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Upside</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</si>
  <si>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</si>
  <si>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</si>
  <si>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</si>
  <si>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</si>
  <si>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</si>
  <si>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</si>
  <si>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</si>
  <si>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</si>
  <si>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</si>
  <si>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</si>
  <si>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</si>
  <si>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</si>
  <si>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</si>
  <si>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</si>
  <si>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</si>
  <si>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</si>
  <si>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</si>
  <si>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</si>
  <si>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</si>
  <si>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</si>
  <si>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</si>
  <si>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</si>
  <si>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</si>
  <si>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</si>
  <si>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</si>
  <si>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</si>
  <si>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</si>
  <si>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</si>
  <si>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Invega (paliperidone)</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</si>
  <si>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</si>
  <si>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</si>
  <si>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</si>
  <si>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</si>
  <si>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</si>
  <si>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</si>
  <si>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</si>
  <si>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</si>
  <si>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</si>
  <si>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</si>
  <si>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</si>
  <si>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</si>
  <si>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</si>
  <si>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</si>
  <si>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</si>
  <si>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</si>
  <si>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</si>
  <si>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</si>
  <si>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</si>
  <si>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</si>
  <si>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</si>
  <si>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</si>
  <si>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</si>
  <si>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</si>
  <si>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</si>
  <si>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</si>
  <si>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</si>
  <si>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</si>
  <si>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</si>
  <si>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</si>
  <si>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</si>
  <si>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</si>
  <si>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</si>
  <si>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</si>
  <si>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</si>
  <si>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</si>
  <si>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</si>
  <si>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</si>
  <si>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</si>
  <si>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</si>
  <si>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</si>
  <si>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</si>
  <si>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</si>
  <si>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</si>
  <si>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</si>
  <si>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</si>
  <si>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</si>
  <si>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</si>
  <si>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</si>
  <si>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</si>
  <si>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</si>
  <si>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</si>
  <si>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</si>
  <si>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</si>
  <si>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</si>
  <si>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</si>
  <si>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</si>
  <si>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</si>
  <si>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</si>
  <si>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</si>
  <si>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</si>
  <si>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</si>
  <si>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</si>
  <si>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</si>
  <si>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</si>
  <si>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</si>
  <si>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</si>
  <si>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</si>
  <si>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</si>
  <si>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</si>
  <si>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</si>
  <si>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</si>
  <si>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</si>
  <si>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</si>
  <si>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</si>
  <si>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</si>
  <si>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</si>
  <si>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</si>
  <si>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</si>
  <si>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</si>
  <si>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</si>
  <si>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</si>
  <si>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</si>
  <si>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</si>
  <si>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</si>
  <si>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</si>
  <si>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</si>
  <si>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</si>
  <si>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</si>
  <si>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</si>
  <si>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</si>
  <si>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</si>
  <si>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</si>
  <si>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</si>
  <si>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</si>
  <si>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</si>
  <si>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</si>
  <si>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</si>
  <si>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</si>
  <si>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</si>
  <si>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</si>
  <si>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</si>
  <si>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</si>
  <si>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</si>
  <si>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</si>
  <si>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</si>
  <si>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</si>
  <si>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</si>
  <si>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</si>
  <si>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</si>
  <si>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</si>
  <si>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</si>
  <si>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</si>
  <si>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</si>
  <si>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</si>
  <si>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</si>
  <si>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</si>
  <si>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</si>
  <si>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</si>
  <si>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</si>
  <si>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</si>
  <si>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</si>
  <si>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</si>
  <si>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</si>
  <si>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</si>
  <si>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</si>
  <si>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</si>
  <si>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</si>
  <si>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</si>
  <si>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</si>
  <si>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</si>
  <si>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</si>
  <si>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</si>
  <si>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</si>
  <si>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</si>
  <si>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</si>
  <si>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</si>
  <si>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</si>
  <si>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</si>
  <si>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</si>
  <si>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</si>
  <si>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</si>
  <si>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</si>
  <si>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</si>
  <si>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</si>
  <si>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</si>
  <si>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</si>
  <si>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</si>
  <si>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</si>
  <si>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</si>
  <si>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</si>
  <si>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</si>
  <si>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</si>
  <si>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</si>
  <si>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</si>
  <si>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</si>
  <si>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</si>
  <si>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</si>
  <si>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</si>
  <si>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</si>
  <si>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</si>
  <si>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</si>
  <si>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</si>
  <si>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</si>
  <si>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</si>
  <si>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</si>
  <si>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</si>
  <si>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</si>
  <si>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</si>
  <si>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</si>
  <si>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</si>
  <si>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</si>
  <si>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</si>
  <si>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</si>
  <si>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</si>
  <si>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</si>
  <si>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</si>
  <si>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</si>
  <si>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</si>
  <si>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</si>
  <si>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Anti-NGF</t>
  </si>
  <si>
    <t>canagliflozin</t>
  </si>
  <si>
    <t>SGLT2</t>
  </si>
  <si>
    <t xml:space="preserve">  Paul Stoffels - Global Head of R&amp;D</t>
  </si>
  <si>
    <t>Narcolepsy, ADHD</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</si>
  <si>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</si>
  <si>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</si>
  <si>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</si>
  <si>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</si>
  <si>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</si>
  <si>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</si>
  <si>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</si>
  <si>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</si>
  <si>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</si>
  <si>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</si>
  <si>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</si>
  <si>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</si>
  <si>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</si>
  <si>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</si>
  <si>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</si>
  <si>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</si>
  <si>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</si>
  <si>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</si>
  <si>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</si>
  <si>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</si>
  <si>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</si>
  <si>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</si>
  <si>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</si>
  <si>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</si>
  <si>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</si>
  <si>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</si>
  <si>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</si>
  <si>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</si>
  <si>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</si>
  <si>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</si>
  <si>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</si>
  <si>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</si>
  <si>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</si>
  <si>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</si>
  <si>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</si>
  <si>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</si>
  <si>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</si>
  <si>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</si>
  <si>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</si>
  <si>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</si>
  <si>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</si>
  <si>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</si>
  <si>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</si>
  <si>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</si>
  <si>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</si>
  <si>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</si>
  <si>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</si>
  <si>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</si>
  <si>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</si>
  <si>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</si>
  <si>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</si>
  <si>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</si>
  <si>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</si>
  <si>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</si>
  <si>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</si>
  <si>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</si>
  <si>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</si>
  <si>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</si>
  <si>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</si>
  <si>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</si>
  <si>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</si>
  <si>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</si>
  <si>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</si>
  <si>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</si>
  <si>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</si>
  <si>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</si>
  <si>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</si>
  <si>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</si>
  <si>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</si>
  <si>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</si>
  <si>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</si>
  <si>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</si>
  <si>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</si>
  <si>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</si>
  <si>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</si>
  <si>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</si>
  <si>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</si>
  <si>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</si>
  <si>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</si>
  <si>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</si>
  <si>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</si>
  <si>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</si>
  <si>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</si>
  <si>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</si>
  <si>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</si>
  <si>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</si>
  <si>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</si>
  <si>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</si>
  <si>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</si>
  <si>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</si>
  <si>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</si>
  <si>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</si>
  <si>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</si>
  <si>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</si>
  <si>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</si>
  <si>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</si>
  <si>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</si>
  <si>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</si>
  <si>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</si>
  <si>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</si>
  <si>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</si>
  <si>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</si>
  <si>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</si>
  <si>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</si>
  <si>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</si>
  <si>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</si>
  <si>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</si>
  <si>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</si>
  <si>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</si>
  <si>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</si>
  <si>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</si>
  <si>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</si>
  <si>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</si>
  <si>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</si>
  <si>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</si>
  <si>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</si>
  <si>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</si>
  <si>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IL-12/23 antibody</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</si>
  <si>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</si>
  <si>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</si>
  <si>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</si>
  <si>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</si>
  <si>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</si>
  <si>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</si>
  <si>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</si>
  <si>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</si>
  <si>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</si>
  <si>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</si>
  <si>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</si>
  <si>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</si>
  <si>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</si>
  <si>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</si>
  <si>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</si>
  <si>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</si>
  <si>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</si>
  <si>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</si>
  <si>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</si>
  <si>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</si>
  <si>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</si>
  <si>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</si>
  <si>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</si>
  <si>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</si>
  <si>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</si>
  <si>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</si>
  <si>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</si>
  <si>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</si>
  <si>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</si>
  <si>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</si>
  <si>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</si>
  <si>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</si>
  <si>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</si>
  <si>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</si>
  <si>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</si>
  <si>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</si>
  <si>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</si>
  <si>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</si>
  <si>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</si>
  <si>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</si>
  <si>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</si>
  <si>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</si>
  <si>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</si>
  <si>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</si>
  <si>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</si>
  <si>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</si>
  <si>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</si>
  <si>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</si>
  <si>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</si>
  <si>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</si>
  <si>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</si>
  <si>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</si>
  <si>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</si>
  <si>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</si>
  <si>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</si>
  <si>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</si>
  <si>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</si>
  <si>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</si>
  <si>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</si>
  <si>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</si>
  <si>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</si>
  <si>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</si>
  <si>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</si>
  <si>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</si>
  <si>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</si>
  <si>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</si>
  <si>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</si>
  <si>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Psoriasis, Crohn's Disease.</t>
  </si>
  <si>
    <t>87%/91% on 45mg/90mg maintained PASI 75% at 52 weeks.</t>
  </si>
  <si>
    <t xml:space="preserve">  64%/62% had PASI 75% at 52 weeks after having discontinued at 40wks</t>
  </si>
  <si>
    <t>Psoriasis Patients</t>
  </si>
  <si>
    <t>% of Anti-TNF used for psoriasis.</t>
  </si>
  <si>
    <t>$ in sales of Anti-TNF for psoriasis.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</si>
  <si>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</si>
  <si>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</si>
  <si>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</si>
  <si>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</si>
  <si>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</si>
  <si>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</si>
  <si>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</si>
  <si>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</si>
  <si>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</si>
  <si>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</si>
  <si>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</si>
  <si>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</si>
  <si>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</si>
  <si>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</si>
  <si>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</si>
  <si>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</si>
  <si>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</si>
  <si>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</si>
  <si>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</si>
  <si>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</si>
  <si>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</si>
  <si>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</si>
  <si>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</si>
  <si>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</si>
  <si>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</si>
  <si>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</si>
  <si>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</si>
  <si>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</si>
  <si>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</si>
  <si>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</si>
  <si>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</si>
  <si>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</si>
  <si>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</si>
  <si>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</si>
  <si>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</si>
  <si>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</si>
  <si>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</si>
  <si>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</si>
  <si>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</si>
  <si>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</si>
  <si>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</si>
  <si>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</si>
  <si>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</si>
  <si>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</si>
  <si>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</si>
  <si>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</si>
  <si>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</si>
  <si>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</si>
  <si>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</si>
  <si>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</si>
  <si>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</si>
  <si>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</si>
  <si>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</si>
  <si>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</si>
  <si>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</si>
  <si>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</si>
  <si>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</si>
  <si>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</si>
  <si>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</si>
  <si>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</si>
  <si>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</si>
  <si>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</si>
  <si>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</si>
  <si>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</si>
  <si>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</si>
  <si>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</si>
  <si>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</si>
  <si>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</si>
  <si>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</si>
  <si>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</si>
  <si>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</si>
  <si>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</si>
  <si>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</si>
  <si>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</si>
  <si>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</si>
  <si>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</si>
  <si>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</si>
  <si>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</si>
  <si>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</si>
  <si>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</si>
  <si>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</si>
  <si>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</si>
  <si>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</si>
  <si>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</si>
  <si>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</si>
  <si>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</si>
  <si>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</si>
  <si>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</si>
  <si>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</si>
  <si>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</si>
  <si>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</si>
  <si>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</si>
  <si>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</si>
  <si>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</si>
  <si>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</si>
  <si>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</si>
  <si>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</si>
  <si>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</si>
  <si>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</si>
  <si>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</si>
  <si>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</si>
  <si>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</si>
  <si>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</si>
  <si>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</si>
  <si>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</si>
  <si>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IIB</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</si>
  <si>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</si>
  <si>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</si>
  <si>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</si>
  <si>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</si>
  <si>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</si>
  <si>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</si>
  <si>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</si>
  <si>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</si>
  <si>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</si>
  <si>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</si>
  <si>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</si>
  <si>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</si>
  <si>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</si>
  <si>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</si>
  <si>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</si>
  <si>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</si>
  <si>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</si>
  <si>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</si>
  <si>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</si>
  <si>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</si>
  <si>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</si>
  <si>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</si>
  <si>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</si>
  <si>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</si>
  <si>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</si>
  <si>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</si>
  <si>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</si>
  <si>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</si>
  <si>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</si>
  <si>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</si>
  <si>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</si>
  <si>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</si>
  <si>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</si>
  <si>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</si>
  <si>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</si>
  <si>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</si>
  <si>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</si>
  <si>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</si>
  <si>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</si>
  <si>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</si>
  <si>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</si>
  <si>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</si>
  <si>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</si>
  <si>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</si>
  <si>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Sub-cutaneous q3m.</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</si>
  <si>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</si>
  <si>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</si>
  <si>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</si>
  <si>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</si>
  <si>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</si>
  <si>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</si>
  <si>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</si>
  <si>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</si>
  <si>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</si>
  <si>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Aranesp, CERA, Binocrit, Dynepo</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</si>
  <si>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</si>
  <si>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</si>
  <si>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</si>
  <si>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</si>
  <si>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</si>
  <si>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</si>
  <si>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</si>
  <si>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</si>
  <si>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</si>
  <si>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</si>
  <si>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</si>
  <si>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</si>
  <si>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</si>
  <si>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</si>
  <si>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</si>
  <si>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</si>
  <si>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</si>
  <si>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</si>
  <si>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</si>
  <si>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</si>
  <si>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</si>
  <si>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</si>
  <si>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</si>
  <si>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</si>
  <si>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</si>
  <si>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</si>
  <si>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</si>
  <si>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</si>
  <si>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</si>
  <si>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</si>
  <si>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</si>
  <si>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</si>
  <si>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</si>
  <si>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</si>
  <si>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</si>
  <si>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</si>
  <si>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</si>
  <si>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</si>
  <si>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</si>
  <si>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</si>
  <si>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</si>
  <si>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</si>
  <si>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</si>
  <si>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</si>
  <si>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</si>
  <si>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</si>
  <si>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</si>
  <si>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</si>
  <si>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</si>
  <si>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</si>
  <si>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</si>
  <si>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</si>
  <si>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</si>
  <si>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</si>
  <si>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</si>
  <si>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</si>
  <si>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</si>
  <si>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</si>
  <si>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</si>
  <si>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</si>
  <si>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</si>
  <si>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</si>
  <si>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</si>
  <si>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</si>
  <si>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</si>
  <si>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</si>
  <si>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</si>
  <si>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</si>
  <si>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</si>
  <si>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</si>
  <si>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</si>
  <si>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</si>
  <si>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</si>
  <si>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</si>
  <si>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</si>
  <si>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</si>
  <si>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</si>
  <si>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</si>
  <si>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</si>
  <si>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</si>
  <si>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</si>
  <si>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</si>
  <si>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</si>
  <si>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</si>
  <si>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</si>
  <si>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</si>
  <si>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</si>
  <si>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</si>
  <si>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</si>
  <si>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</si>
  <si>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</si>
  <si>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</si>
  <si>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Consta</t>
  </si>
  <si>
    <t>2016??</t>
  </si>
  <si>
    <t>August 2009: GDH-PQQ testing strips found unsafe, ABT most exposed, JNJ to take share?</t>
  </si>
  <si>
    <t>Coronary Stents</t>
  </si>
  <si>
    <t>Competes with Immucor.</t>
  </si>
  <si>
    <t>Risperdal (risperidone)</t>
  </si>
  <si>
    <t>Generic</t>
  </si>
  <si>
    <t>ALKS</t>
  </si>
  <si>
    <t>2013-2019</t>
  </si>
  <si>
    <r>
      <t xml:space="preserve">Pharmaceuticals - Sheri McCoy replaced Chris Poon who retired in March 2008 (came from BMY in 2000?). </t>
    </r>
    <r>
      <rPr>
        <b/>
        <sz val="10"/>
        <rFont val="Arial"/>
        <family val="2"/>
      </rPr>
      <t>41% of sales in 2007, 30.8% operating margin, 49% of operating profits.</t>
    </r>
  </si>
  <si>
    <t xml:space="preserve">  Organized into Centocor/OBI, Jannsen?, Scios, Ortho-Biologics? Tibotec</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</si>
  <si>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</si>
  <si>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</si>
  <si>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</si>
  <si>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</si>
  <si>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</si>
  <si>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</si>
  <si>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</si>
  <si>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</si>
  <si>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</si>
  <si>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</si>
  <si>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</si>
  <si>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</si>
  <si>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</si>
  <si>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</si>
  <si>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</si>
  <si>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</si>
  <si>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TNFs</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</si>
  <si>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</si>
  <si>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</si>
  <si>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</si>
  <si>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</si>
  <si>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</si>
  <si>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</si>
  <si>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</si>
  <si>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</si>
  <si>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</si>
  <si>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</si>
  <si>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</si>
  <si>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</si>
  <si>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</si>
  <si>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</si>
  <si>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</si>
  <si>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</si>
  <si>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</si>
  <si>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</si>
  <si>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</si>
  <si>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</si>
  <si>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</si>
  <si>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</si>
  <si>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</si>
  <si>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</si>
  <si>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</si>
  <si>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</si>
  <si>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</si>
  <si>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</si>
  <si>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</si>
  <si>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</si>
  <si>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</si>
  <si>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</si>
  <si>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</si>
  <si>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</si>
  <si>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</si>
  <si>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</si>
  <si>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</si>
  <si>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</si>
  <si>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</si>
  <si>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</si>
  <si>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</si>
  <si>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</si>
  <si>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</si>
  <si>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</si>
  <si>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</si>
  <si>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</si>
  <si>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</si>
  <si>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</si>
  <si>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</si>
  <si>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</si>
  <si>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</si>
  <si>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CNTO1959</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</si>
  <si>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</si>
  <si>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</si>
  <si>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</si>
  <si>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</si>
  <si>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</si>
  <si>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</si>
  <si>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</si>
  <si>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</si>
  <si>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</si>
  <si>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</si>
  <si>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</si>
  <si>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</si>
  <si>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</si>
  <si>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</si>
  <si>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</si>
  <si>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</si>
  <si>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</si>
  <si>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</si>
  <si>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</si>
  <si>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</si>
  <si>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</si>
  <si>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</si>
  <si>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</si>
  <si>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</si>
  <si>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</si>
  <si>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</si>
  <si>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</si>
  <si>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</si>
  <si>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</si>
  <si>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</si>
  <si>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</si>
  <si>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</si>
  <si>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</si>
  <si>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</si>
  <si>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</si>
  <si>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</si>
  <si>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</si>
  <si>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</si>
  <si>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</si>
  <si>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</si>
  <si>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</si>
  <si>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</si>
  <si>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</si>
  <si>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</si>
  <si>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</si>
  <si>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</si>
  <si>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</si>
  <si>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</si>
  <si>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</si>
  <si>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</si>
  <si>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</si>
  <si>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</si>
  <si>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</si>
  <si>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</si>
  <si>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</si>
  <si>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</si>
  <si>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</si>
  <si>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</si>
  <si>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</si>
  <si>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</si>
  <si>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</si>
  <si>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</si>
  <si>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</si>
  <si>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</si>
  <si>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</si>
  <si>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</si>
  <si>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</si>
  <si>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</si>
  <si>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</si>
  <si>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</si>
  <si>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</si>
  <si>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</si>
  <si>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</si>
  <si>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</si>
  <si>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</si>
  <si>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</si>
  <si>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</si>
  <si>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</si>
  <si>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</si>
  <si>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</si>
  <si>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</si>
  <si>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</si>
  <si>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</si>
  <si>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</si>
  <si>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</si>
  <si>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</si>
  <si>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</si>
  <si>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</si>
  <si>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</si>
  <si>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</si>
  <si>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</si>
  <si>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</si>
  <si>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</si>
  <si>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</si>
  <si>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</si>
  <si>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</si>
  <si>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</si>
  <si>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</si>
  <si>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</si>
  <si>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</si>
  <si>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</si>
  <si>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</si>
  <si>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</si>
  <si>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</si>
  <si>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</si>
  <si>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</si>
  <si>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</si>
  <si>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</si>
  <si>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</si>
  <si>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</si>
  <si>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</si>
  <si>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</si>
  <si>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</si>
  <si>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</si>
  <si>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</si>
  <si>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</si>
  <si>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</si>
  <si>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</si>
  <si>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</si>
  <si>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</si>
  <si>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</si>
  <si>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</si>
  <si>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</si>
  <si>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</si>
  <si>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</si>
  <si>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</si>
  <si>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</si>
  <si>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</si>
  <si>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</si>
  <si>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</si>
  <si>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</si>
  <si>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</si>
  <si>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</si>
  <si>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</si>
  <si>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</si>
  <si>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</si>
  <si>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</si>
  <si>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</si>
  <si>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</si>
  <si>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</si>
  <si>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</si>
  <si>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</si>
  <si>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</si>
  <si>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</si>
  <si>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</si>
  <si>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</si>
  <si>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</si>
  <si>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</si>
  <si>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</si>
  <si>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Provenge</t>
  </si>
  <si>
    <t>Edurant (riplivirine)</t>
  </si>
  <si>
    <t>BAY GR</t>
  </si>
  <si>
    <t>Pradaxa</t>
  </si>
  <si>
    <t>CLL</t>
  </si>
  <si>
    <t>Btk Kinase</t>
  </si>
  <si>
    <t>PCYC</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</si>
  <si>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</si>
  <si>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</si>
  <si>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</si>
  <si>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</si>
  <si>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</si>
  <si>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</si>
  <si>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</si>
  <si>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</si>
  <si>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</si>
  <si>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</si>
  <si>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</si>
  <si>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</si>
  <si>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</si>
  <si>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</si>
  <si>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</si>
  <si>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</si>
  <si>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</si>
  <si>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</si>
  <si>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</si>
  <si>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</si>
  <si>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</si>
  <si>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William Weldon - CEO - Retired</t>
  </si>
  <si>
    <t>Alex Gorsky - CEO</t>
  </si>
  <si>
    <t>MD&amp;D - Alex Gorsky was WW head. Former head Nicholas Valeriani (35% of sales in 2007, 27.4% operating margin, 37% of operating profits, $270bn global market).</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</si>
  <si>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</si>
  <si>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</si>
  <si>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</si>
  <si>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</si>
  <si>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</si>
  <si>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</si>
  <si>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</si>
  <si>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</si>
  <si>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</si>
  <si>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</si>
  <si>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</si>
  <si>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</si>
  <si>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</si>
  <si>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</si>
  <si>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</si>
  <si>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</si>
  <si>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</si>
  <si>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</si>
  <si>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</si>
  <si>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</si>
  <si>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</si>
  <si>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</si>
  <si>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</si>
  <si>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</si>
  <si>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</si>
  <si>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</si>
  <si>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</si>
  <si>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</si>
  <si>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Cardiovascular Care (Cordis)</t>
  </si>
  <si>
    <t>Orthopedics (DePuy)</t>
  </si>
  <si>
    <t>LLY</t>
  </si>
  <si>
    <t>General Surgery/Surgical Care</t>
  </si>
  <si>
    <t>ASP015K</t>
  </si>
  <si>
    <t>Rheumatoid Arthritis</t>
  </si>
  <si>
    <t>JAK3</t>
  </si>
  <si>
    <t>Astellas</t>
  </si>
  <si>
    <t>Pfizer</t>
  </si>
  <si>
    <t>daratumumab</t>
  </si>
  <si>
    <t>CD38</t>
  </si>
  <si>
    <t>Genmab</t>
  </si>
  <si>
    <t>Many?</t>
  </si>
  <si>
    <t>1,621</t>
  </si>
  <si>
    <t>R&amp;D y/y</t>
  </si>
  <si>
    <t>SG&amp;A y/y</t>
  </si>
  <si>
    <t>GSK</t>
  </si>
  <si>
    <t>bapineuzumab</t>
  </si>
  <si>
    <t>Alzheimer's</t>
  </si>
  <si>
    <t>JNJ-42160443 (fulranumab)</t>
  </si>
  <si>
    <t>NGF</t>
  </si>
  <si>
    <t>PFE's tanezumab</t>
  </si>
  <si>
    <t>Psoriasis, RA</t>
  </si>
  <si>
    <t>IL-23</t>
  </si>
  <si>
    <t>Type 2 Diabetes</t>
  </si>
  <si>
    <t>Mitsubishi Tanabe</t>
  </si>
  <si>
    <t>Invokana</t>
  </si>
  <si>
    <t>Invokana (canagliflozin)</t>
  </si>
  <si>
    <t>JNJ-54861911</t>
  </si>
  <si>
    <t>TO DO</t>
  </si>
  <si>
    <t>Q114</t>
  </si>
  <si>
    <t>Q214</t>
  </si>
  <si>
    <t>Q314</t>
  </si>
  <si>
    <t>Q414</t>
  </si>
  <si>
    <t>5HT-7 antagonist</t>
  </si>
  <si>
    <t>TRD/ Epilepsy</t>
  </si>
  <si>
    <t>Na+, Ca2+ channel blocker</t>
  </si>
  <si>
    <t>a7nAChR PAM</t>
  </si>
  <si>
    <t>Imbruvica (ibrutinib)</t>
  </si>
  <si>
    <t>IN</t>
  </si>
  <si>
    <t>S/O</t>
  </si>
  <si>
    <t>Net S/O</t>
  </si>
  <si>
    <t>Demographics vs. unnecessary procedures.</t>
  </si>
  <si>
    <t>Selling to Carlyle.</t>
  </si>
  <si>
    <t>D2 antagonist</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</si>
  <si>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</si>
  <si>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</si>
  <si>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</si>
  <si>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</si>
  <si>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</si>
  <si>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</si>
  <si>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</si>
  <si>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</si>
  <si>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</si>
  <si>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</si>
  <si>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</si>
  <si>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</si>
  <si>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</si>
  <si>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</si>
  <si>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</si>
  <si>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</si>
  <si>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</si>
  <si>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</si>
  <si>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</si>
  <si>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</si>
  <si>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</si>
  <si>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</si>
  <si>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</si>
  <si>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</si>
  <si>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</si>
  <si>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</si>
  <si>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</si>
  <si>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</si>
  <si>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</si>
  <si>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</si>
  <si>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</si>
  <si>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</si>
  <si>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</si>
  <si>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</si>
  <si>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</si>
  <si>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</si>
  <si>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</si>
  <si>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</si>
  <si>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</si>
  <si>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</si>
  <si>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</si>
  <si>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</si>
  <si>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</si>
  <si>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</si>
  <si>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</si>
  <si>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</si>
  <si>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</si>
  <si>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</si>
  <si>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</si>
  <si>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</si>
  <si>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</si>
  <si>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</si>
  <si>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</si>
  <si>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</si>
  <si>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</si>
  <si>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</si>
  <si>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</si>
  <si>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</si>
  <si>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</si>
  <si>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</si>
  <si>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</si>
  <si>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</si>
  <si>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</si>
  <si>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</si>
  <si>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</si>
  <si>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</si>
  <si>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</si>
  <si>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</si>
  <si>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</si>
  <si>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</si>
  <si>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</si>
  <si>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</si>
  <si>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</si>
  <si>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</si>
  <si>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</si>
  <si>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</si>
  <si>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</si>
  <si>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</si>
  <si>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</si>
  <si>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</si>
  <si>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</si>
  <si>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</si>
  <si>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</si>
  <si>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</si>
  <si>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</si>
  <si>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</si>
  <si>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</si>
  <si>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</si>
  <si>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</si>
  <si>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</si>
  <si>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</si>
  <si>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</si>
  <si>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</si>
  <si>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</si>
  <si>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</si>
  <si>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</si>
  <si>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</si>
  <si>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</si>
  <si>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</si>
  <si>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</si>
  <si>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</si>
  <si>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</si>
  <si>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</si>
  <si>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</si>
  <si>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</si>
  <si>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</si>
  <si>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</si>
  <si>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</si>
  <si>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</si>
  <si>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</si>
  <si>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</si>
  <si>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</si>
  <si>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</si>
  <si>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</si>
  <si>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</si>
  <si>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</si>
  <si>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</si>
  <si>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</si>
  <si>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</si>
  <si>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</si>
  <si>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</si>
  <si>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</si>
  <si>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</si>
  <si>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</si>
  <si>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</si>
  <si>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</si>
  <si>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</si>
  <si>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</si>
  <si>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</si>
  <si>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</si>
  <si>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</si>
  <si>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</si>
  <si>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</si>
  <si>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</si>
  <si>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</si>
  <si>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</si>
  <si>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</si>
  <si>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</si>
  <si>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</si>
  <si>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</si>
  <si>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</si>
  <si>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</si>
  <si>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</si>
  <si>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</si>
  <si>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</si>
  <si>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</si>
  <si>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</si>
  <si>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</si>
  <si>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</si>
  <si>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</si>
  <si>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</si>
  <si>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</si>
  <si>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</si>
  <si>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</si>
  <si>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</si>
  <si>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</si>
  <si>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</si>
  <si>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</si>
  <si>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</si>
  <si>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</si>
  <si>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</si>
  <si>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</si>
  <si>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</si>
  <si>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</si>
  <si>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</si>
  <si>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</si>
  <si>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</si>
  <si>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</si>
  <si>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</si>
  <si>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</si>
  <si>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</si>
  <si>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</si>
  <si>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</si>
  <si>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</si>
  <si>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</si>
  <si>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</si>
  <si>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</si>
  <si>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</si>
  <si>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</si>
  <si>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</si>
  <si>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</si>
  <si>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</si>
  <si>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</si>
  <si>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</si>
  <si>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</si>
  <si>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</si>
  <si>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</si>
  <si>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</si>
  <si>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</si>
  <si>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</si>
  <si>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</si>
  <si>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</si>
  <si>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Sold to EUSA</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</si>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</sst>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0">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0" fontId="0" fillId="0" borderId="17" xfId="0" applyFont="1" applyFill="1" applyBorder="1"/>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0" xfId="0" applyFont="1" applyFill="1" applyBorder="1"/>
    <xf numFmtId="0" fontId="8" fillId="0" borderId="11" xfId="0" applyFont="1" applyFill="1" applyBorder="1"/>
    <xf numFmtId="9" fontId="8" fillId="0" borderId="0" xfId="0" applyNumberFormat="1" applyFont="1" applyFill="1" applyBorder="1" applyAlignment="1">
      <alignment horizontal="center"/>
    </xf>
    <xf numFmtId="0" fontId="31" fillId="0" borderId="0" xfId="0" applyFont="1" applyFill="1" applyBorder="1" applyAlignment="1">
      <alignment horizontal="center"/>
    </xf>
    <xf numFmtId="9" fontId="31" fillId="0" borderId="0" xfId="0" applyNumberFormat="1" applyFont="1" applyFill="1" applyBorder="1" applyAlignment="1">
      <alignment horizontal="center"/>
    </xf>
    <xf numFmtId="0" fontId="31" fillId="0" borderId="11" xfId="0" applyFont="1" applyFill="1" applyBorder="1"/>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0" xfId="0" applyFont="1" applyFill="1" applyBorder="1" applyAlignment="1">
      <alignment horizontal="left"/>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7" xfId="0" applyFont="1" applyFill="1" applyBorder="1"/>
    <xf numFmtId="0" fontId="0" fillId="0" borderId="13" xfId="0" applyFont="1" applyFill="1" applyBorder="1"/>
    <xf numFmtId="0" fontId="4" fillId="0" borderId="0" xfId="75"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9" fillId="0" borderId="0" xfId="0" applyFont="1" applyFill="1" applyBorder="1"/>
    <xf numFmtId="0" fontId="0" fillId="0" borderId="16" xfId="0" applyFont="1" applyFill="1" applyBorder="1"/>
    <xf numFmtId="0" fontId="31" fillId="0" borderId="0"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7" xfId="0" applyFill="1" applyBorder="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5.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6.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72</xdr:col>
      <xdr:colOff>38099</xdr:colOff>
      <xdr:row>0</xdr:row>
      <xdr:rowOff>0</xdr:rowOff>
    </xdr:from>
    <xdr:to>
      <xdr:col>72</xdr:col>
      <xdr:colOff>41412</xdr:colOff>
      <xdr:row>291</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35223449" y="0"/>
          <a:ext cx="3313" cy="44048572"/>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239</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103</xdr:col>
      <xdr:colOff>19050</xdr:colOff>
      <xdr:row>0</xdr:row>
      <xdr:rowOff>57150</xdr:rowOff>
    </xdr:from>
    <xdr:to>
      <xdr:col>103</xdr:col>
      <xdr:colOff>19050</xdr:colOff>
      <xdr:row>250</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0853975" y="57150"/>
          <a:ext cx="0" cy="3754755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CU13" dT="2022-06-17T01:13:02.90" personId="{B1B0F6F1-FCBF-4ADA-B0C2-E6331D9AF452}" id="{CDD2B99A-00BA-4EA8-B675-536C08C434B4}">
    <text>Q121: 428m</text>
  </threadedComment>
  <threadedComment ref="CU24" dT="2022-06-17T01:11:02.48" personId="{B1B0F6F1-FCBF-4ADA-B0C2-E6331D9AF452}" id="{E7F0D7A6-EE22-43A1-B4A6-C9D75BE5A1EB}">
    <text>Q121: 117m</text>
  </threadedComment>
  <threadedComment ref="CU54" dT="2022-06-17T01:08:52.72" personId="{B1B0F6F1-FCBF-4ADA-B0C2-E6331D9AF452}" id="{D4AB6CA5-1D56-4651-98CE-4220E7D81D4C}">
    <text>Q121 report: 3543m</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levaquin.com/levaquin/shared/pi/levaquin.pdf"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3.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fda.gov/ohrms/DOCKET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drug-injury.com/druginjurycom/2005/05/natrecor_linked.html"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29.bin"/><Relationship Id="rId4" Type="http://schemas.openxmlformats.org/officeDocument/2006/relationships/comments" Target="../comments7.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D9" sqref="D9"/>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167</v>
      </c>
    </row>
    <row r="2" spans="1:8" x14ac:dyDescent="0.2">
      <c r="A2" s="152"/>
      <c r="B2" s="98" t="s">
        <v>1787</v>
      </c>
      <c r="C2" t="s">
        <v>1788</v>
      </c>
      <c r="D2" t="s">
        <v>1789</v>
      </c>
      <c r="E2" t="s">
        <v>78</v>
      </c>
      <c r="F2" t="s">
        <v>1412</v>
      </c>
      <c r="G2" t="s">
        <v>1791</v>
      </c>
      <c r="H2" t="s">
        <v>1793</v>
      </c>
    </row>
    <row r="3" spans="1:8" x14ac:dyDescent="0.2">
      <c r="A3" s="152"/>
      <c r="B3" s="98">
        <v>11384122</v>
      </c>
      <c r="C3" t="s">
        <v>1786</v>
      </c>
      <c r="H3">
        <v>1</v>
      </c>
    </row>
    <row r="4" spans="1:8" x14ac:dyDescent="0.2">
      <c r="A4" s="152"/>
      <c r="B4" s="98">
        <v>11384099</v>
      </c>
      <c r="C4" t="s">
        <v>1790</v>
      </c>
      <c r="D4" t="s">
        <v>1792</v>
      </c>
      <c r="E4" s="428">
        <v>43427</v>
      </c>
      <c r="F4" s="428">
        <v>44754</v>
      </c>
      <c r="G4" t="s">
        <v>1794</v>
      </c>
      <c r="H4">
        <v>3</v>
      </c>
    </row>
    <row r="5" spans="1:8" x14ac:dyDescent="0.2">
      <c r="A5" s="152"/>
      <c r="B5" s="98">
        <v>11384075</v>
      </c>
      <c r="C5" t="s">
        <v>1795</v>
      </c>
      <c r="D5" t="s">
        <v>1792</v>
      </c>
      <c r="E5" s="428">
        <v>43277</v>
      </c>
      <c r="F5" s="428">
        <v>44754</v>
      </c>
      <c r="G5" t="s">
        <v>1794</v>
      </c>
      <c r="H5">
        <v>3</v>
      </c>
    </row>
    <row r="6" spans="1:8" x14ac:dyDescent="0.2">
      <c r="A6" s="152"/>
      <c r="B6" s="98">
        <v>11377640</v>
      </c>
      <c r="C6" t="s">
        <v>1796</v>
      </c>
      <c r="E6" s="428"/>
      <c r="F6" s="428"/>
      <c r="H6">
        <v>1</v>
      </c>
    </row>
    <row r="7" spans="1:8" x14ac:dyDescent="0.2">
      <c r="A7" s="152"/>
      <c r="B7" s="98" t="s">
        <v>1797</v>
      </c>
      <c r="C7" t="s">
        <v>1798</v>
      </c>
      <c r="E7" s="428"/>
      <c r="F7" s="428"/>
      <c r="H7">
        <v>1</v>
      </c>
    </row>
    <row r="8" spans="1:8" x14ac:dyDescent="0.2">
      <c r="A8" s="152"/>
      <c r="B8" s="98">
        <v>11369642</v>
      </c>
      <c r="C8" t="s">
        <v>1799</v>
      </c>
      <c r="D8" t="s">
        <v>1800</v>
      </c>
      <c r="E8" s="428">
        <v>43690</v>
      </c>
      <c r="F8" s="428">
        <v>44740</v>
      </c>
      <c r="G8" t="s">
        <v>1801</v>
      </c>
      <c r="H8">
        <v>2</v>
      </c>
    </row>
    <row r="9" spans="1:8" x14ac:dyDescent="0.2">
      <c r="A9" s="152"/>
      <c r="B9" s="98">
        <v>11369612</v>
      </c>
      <c r="C9" t="s">
        <v>1802</v>
      </c>
      <c r="D9" t="s">
        <v>1803</v>
      </c>
      <c r="E9" s="428">
        <v>43438</v>
      </c>
      <c r="F9" s="428">
        <v>44740</v>
      </c>
      <c r="G9" t="s">
        <v>1804</v>
      </c>
      <c r="H9">
        <v>3</v>
      </c>
    </row>
    <row r="10" spans="1:8" x14ac:dyDescent="0.2">
      <c r="A10" s="152"/>
      <c r="B10" s="98">
        <v>11369606</v>
      </c>
      <c r="C10" t="s">
        <v>1805</v>
      </c>
      <c r="D10" t="s">
        <v>1792</v>
      </c>
      <c r="E10" s="428">
        <v>43818</v>
      </c>
      <c r="F10" s="428">
        <v>44740</v>
      </c>
      <c r="G10" t="s">
        <v>1806</v>
      </c>
      <c r="H10">
        <v>3</v>
      </c>
    </row>
    <row r="11" spans="1:8" x14ac:dyDescent="0.2">
      <c r="A11" s="152"/>
      <c r="B11" s="98">
        <v>11365244</v>
      </c>
      <c r="C11" t="s">
        <v>1807</v>
      </c>
      <c r="D11" t="s">
        <v>1800</v>
      </c>
      <c r="E11" s="428">
        <v>44049</v>
      </c>
      <c r="F11" s="428">
        <v>44733</v>
      </c>
      <c r="G11" t="s">
        <v>1808</v>
      </c>
      <c r="H11">
        <v>4</v>
      </c>
    </row>
    <row r="12" spans="1:8" x14ac:dyDescent="0.2">
      <c r="A12" s="152"/>
      <c r="B12" s="98">
        <v>11365222</v>
      </c>
      <c r="C12" t="s">
        <v>1809</v>
      </c>
      <c r="D12" t="s">
        <v>1810</v>
      </c>
      <c r="E12" s="428">
        <v>44056</v>
      </c>
      <c r="F12" s="428">
        <v>44733</v>
      </c>
      <c r="G12" t="s">
        <v>1811</v>
      </c>
      <c r="H12">
        <v>3</v>
      </c>
    </row>
    <row r="13" spans="1:8" x14ac:dyDescent="0.2">
      <c r="A13" s="152"/>
      <c r="B13" s="98">
        <v>11364310</v>
      </c>
      <c r="C13" t="s">
        <v>1812</v>
      </c>
      <c r="D13" t="s">
        <v>1813</v>
      </c>
      <c r="E13" s="428">
        <v>42950</v>
      </c>
      <c r="F13" s="428">
        <v>44733</v>
      </c>
      <c r="H13">
        <v>2</v>
      </c>
    </row>
    <row r="14" spans="1:8" x14ac:dyDescent="0.2">
      <c r="A14" s="152"/>
      <c r="B14" s="98">
        <v>11359029</v>
      </c>
      <c r="C14" t="s">
        <v>1814</v>
      </c>
      <c r="D14" t="s">
        <v>1815</v>
      </c>
      <c r="E14" s="428">
        <v>43927</v>
      </c>
      <c r="F14" s="428">
        <v>44726</v>
      </c>
      <c r="G14" t="s">
        <v>1816</v>
      </c>
      <c r="H14">
        <v>4</v>
      </c>
    </row>
    <row r="15" spans="1:8" x14ac:dyDescent="0.2">
      <c r="A15" s="152"/>
      <c r="B15" s="98">
        <v>11345739</v>
      </c>
      <c r="C15" t="s">
        <v>1817</v>
      </c>
      <c r="E15" s="428"/>
      <c r="F15" s="428"/>
    </row>
    <row r="16" spans="1:8" x14ac:dyDescent="0.2">
      <c r="B16" s="98">
        <v>8785605</v>
      </c>
      <c r="C16" t="s">
        <v>1716</v>
      </c>
    </row>
    <row r="17" spans="2:3" x14ac:dyDescent="0.2">
      <c r="B17" s="98">
        <v>8785486</v>
      </c>
      <c r="C17" t="s">
        <v>1717</v>
      </c>
    </row>
    <row r="18" spans="2:3" x14ac:dyDescent="0.2">
      <c r="B18" s="98">
        <v>8784810</v>
      </c>
      <c r="C18" t="s">
        <v>1718</v>
      </c>
    </row>
    <row r="19" spans="2:3" x14ac:dyDescent="0.2">
      <c r="B19" s="98">
        <v>8779158</v>
      </c>
      <c r="C19" t="s">
        <v>1719</v>
      </c>
    </row>
    <row r="20" spans="2:3" x14ac:dyDescent="0.2">
      <c r="B20" s="98">
        <v>8778966</v>
      </c>
      <c r="C20" t="s">
        <v>1720</v>
      </c>
    </row>
    <row r="21" spans="2:3" x14ac:dyDescent="0.2">
      <c r="B21" s="98">
        <v>8778956</v>
      </c>
      <c r="C21" t="s">
        <v>1721</v>
      </c>
    </row>
    <row r="22" spans="2:3" x14ac:dyDescent="0.2">
      <c r="B22" s="98">
        <v>8778920</v>
      </c>
      <c r="C22" t="s">
        <v>1722</v>
      </c>
    </row>
    <row r="23" spans="2:3" x14ac:dyDescent="0.2">
      <c r="B23" s="98">
        <v>8778919</v>
      </c>
      <c r="C23" t="s">
        <v>1723</v>
      </c>
    </row>
    <row r="24" spans="2:3" x14ac:dyDescent="0.2">
      <c r="B24" s="98">
        <v>8772504</v>
      </c>
      <c r="C24" t="s">
        <v>1724</v>
      </c>
    </row>
    <row r="25" spans="2:3" x14ac:dyDescent="0.2">
      <c r="B25" s="98">
        <v>8772494</v>
      </c>
      <c r="C25" t="s">
        <v>1725</v>
      </c>
    </row>
    <row r="26" spans="2:3" x14ac:dyDescent="0.2">
      <c r="B26" s="98">
        <v>8772325</v>
      </c>
      <c r="C26" t="s">
        <v>1726</v>
      </c>
    </row>
  </sheetData>
  <hyperlinks>
    <hyperlink ref="A1" location="Main!A1" display="Main"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167</v>
      </c>
    </row>
    <row r="2" spans="1:6" x14ac:dyDescent="0.2">
      <c r="B2" s="195" t="s">
        <v>508</v>
      </c>
      <c r="C2" s="196" t="s">
        <v>649</v>
      </c>
      <c r="D2" s="196"/>
      <c r="E2" s="196"/>
      <c r="F2" s="196"/>
    </row>
    <row r="3" spans="1:6" x14ac:dyDescent="0.2">
      <c r="B3" s="195" t="s">
        <v>509</v>
      </c>
      <c r="C3" s="196" t="s">
        <v>762</v>
      </c>
      <c r="D3" s="196"/>
      <c r="E3" s="196"/>
      <c r="F3" s="196"/>
    </row>
    <row r="4" spans="1:6" x14ac:dyDescent="0.2">
      <c r="B4" s="195" t="s">
        <v>518</v>
      </c>
      <c r="C4" s="219" t="s">
        <v>1232</v>
      </c>
      <c r="D4" s="196"/>
      <c r="E4" s="196"/>
      <c r="F4" s="196"/>
    </row>
    <row r="5" spans="1:6" x14ac:dyDescent="0.2">
      <c r="B5" s="195" t="s">
        <v>511</v>
      </c>
      <c r="C5" s="196" t="s">
        <v>32</v>
      </c>
      <c r="D5" s="196"/>
      <c r="E5" s="196"/>
      <c r="F5" s="196"/>
    </row>
    <row r="6" spans="1:6" x14ac:dyDescent="0.2">
      <c r="B6" s="195" t="s">
        <v>177</v>
      </c>
      <c r="C6" s="196" t="s">
        <v>11</v>
      </c>
      <c r="D6" s="196"/>
      <c r="E6" s="196"/>
      <c r="F6" s="196"/>
    </row>
    <row r="7" spans="1:6" x14ac:dyDescent="0.2">
      <c r="B7" s="195"/>
      <c r="C7" s="219" t="s">
        <v>21</v>
      </c>
      <c r="D7" s="196"/>
      <c r="E7" s="196"/>
      <c r="F7" s="196"/>
    </row>
    <row r="8" spans="1:6" x14ac:dyDescent="0.2">
      <c r="B8" s="195"/>
      <c r="C8" s="219" t="s">
        <v>1176</v>
      </c>
      <c r="D8" s="196"/>
      <c r="E8" s="196"/>
      <c r="F8" s="196"/>
    </row>
    <row r="9" spans="1:6" x14ac:dyDescent="0.2">
      <c r="B9" s="195" t="s">
        <v>559</v>
      </c>
      <c r="C9" s="196" t="s">
        <v>33</v>
      </c>
      <c r="D9" s="196"/>
      <c r="E9" s="196"/>
      <c r="F9" s="196"/>
    </row>
    <row r="10" spans="1:6" x14ac:dyDescent="0.2">
      <c r="B10" s="195" t="s">
        <v>512</v>
      </c>
      <c r="C10" s="196" t="s">
        <v>764</v>
      </c>
      <c r="D10" s="196"/>
      <c r="E10" s="196"/>
      <c r="F10" s="196"/>
    </row>
    <row r="11" spans="1:6" x14ac:dyDescent="0.2">
      <c r="B11" s="195"/>
      <c r="C11" s="196" t="s">
        <v>668</v>
      </c>
      <c r="D11" s="196"/>
      <c r="E11" s="196"/>
      <c r="F11" s="196"/>
    </row>
    <row r="12" spans="1:6" x14ac:dyDescent="0.2">
      <c r="B12" s="195"/>
      <c r="C12" s="196" t="s">
        <v>669</v>
      </c>
      <c r="D12" s="196"/>
      <c r="E12" s="196"/>
      <c r="F12" s="196"/>
    </row>
    <row r="13" spans="1:6" x14ac:dyDescent="0.2">
      <c r="B13" s="195"/>
      <c r="C13" s="196" t="s">
        <v>481</v>
      </c>
      <c r="D13" s="196"/>
      <c r="E13" s="196"/>
      <c r="F13" s="196"/>
    </row>
    <row r="14" spans="1:6" x14ac:dyDescent="0.2">
      <c r="B14" s="195" t="s">
        <v>763</v>
      </c>
      <c r="C14" s="196" t="s">
        <v>480</v>
      </c>
      <c r="D14" s="196"/>
      <c r="E14" s="196"/>
      <c r="F14" s="196"/>
    </row>
    <row r="15" spans="1:6" x14ac:dyDescent="0.2">
      <c r="B15" s="195" t="s">
        <v>670</v>
      </c>
      <c r="C15" s="196" t="s">
        <v>671</v>
      </c>
      <c r="D15" s="196"/>
      <c r="E15" s="196"/>
      <c r="F15" s="196"/>
    </row>
    <row r="16" spans="1:6" x14ac:dyDescent="0.2">
      <c r="B16" s="195" t="s">
        <v>799</v>
      </c>
      <c r="C16" s="219" t="s">
        <v>1528</v>
      </c>
      <c r="D16" s="196"/>
      <c r="E16" s="196"/>
      <c r="F16" s="196"/>
    </row>
    <row r="17" spans="2:43" x14ac:dyDescent="0.2">
      <c r="B17" s="195"/>
      <c r="C17" s="219" t="s">
        <v>1529</v>
      </c>
      <c r="D17" s="196"/>
      <c r="E17" s="196"/>
      <c r="F17" s="196"/>
    </row>
    <row r="18" spans="2:43" x14ac:dyDescent="0.2">
      <c r="B18" s="195" t="s">
        <v>179</v>
      </c>
      <c r="C18" s="219" t="s">
        <v>1165</v>
      </c>
      <c r="D18" s="196"/>
      <c r="E18" s="196"/>
      <c r="F18" s="196"/>
    </row>
    <row r="19" spans="2:43" x14ac:dyDescent="0.2">
      <c r="B19" s="195" t="s">
        <v>482</v>
      </c>
      <c r="C19" s="196" t="s">
        <v>483</v>
      </c>
      <c r="D19" s="196"/>
      <c r="E19" s="196"/>
      <c r="F19" s="196"/>
    </row>
    <row r="20" spans="2:43" x14ac:dyDescent="0.2">
      <c r="B20" s="195" t="s">
        <v>133</v>
      </c>
      <c r="C20" s="196" t="s">
        <v>134</v>
      </c>
      <c r="D20" s="196"/>
      <c r="E20" s="196"/>
      <c r="F20" s="196"/>
    </row>
    <row r="21" spans="2:43" x14ac:dyDescent="0.2">
      <c r="B21" s="195" t="s">
        <v>734</v>
      </c>
      <c r="C21" s="196" t="s">
        <v>1017</v>
      </c>
      <c r="D21" s="196"/>
      <c r="E21" s="196"/>
      <c r="F21" s="196"/>
    </row>
    <row r="22" spans="2:43" x14ac:dyDescent="0.2">
      <c r="B22" s="195" t="s">
        <v>168</v>
      </c>
      <c r="C22" s="196" t="s">
        <v>484</v>
      </c>
      <c r="D22" s="196"/>
      <c r="E22" s="196"/>
      <c r="F22" s="196"/>
    </row>
    <row r="23" spans="2:43" x14ac:dyDescent="0.2">
      <c r="B23" s="195" t="s">
        <v>554</v>
      </c>
      <c r="C23" s="196"/>
      <c r="D23" s="196"/>
      <c r="E23" s="196"/>
      <c r="F23" s="196"/>
    </row>
    <row r="24" spans="2:43" x14ac:dyDescent="0.2">
      <c r="C24" s="216" t="s">
        <v>765</v>
      </c>
      <c r="E24" s="196"/>
      <c r="F24" s="196"/>
    </row>
    <row r="25" spans="2:43" x14ac:dyDescent="0.2">
      <c r="C25" s="196" t="s">
        <v>767</v>
      </c>
      <c r="D25" s="196"/>
      <c r="F25" s="196"/>
    </row>
    <row r="26" spans="2:43" x14ac:dyDescent="0.2">
      <c r="C26" s="196"/>
      <c r="D26" s="196"/>
      <c r="F26" s="196"/>
    </row>
    <row r="27" spans="2:43" x14ac:dyDescent="0.2">
      <c r="C27" s="216" t="s">
        <v>766</v>
      </c>
      <c r="F27" s="196"/>
    </row>
    <row r="28" spans="2:43" x14ac:dyDescent="0.2">
      <c r="C28" s="196" t="s">
        <v>768</v>
      </c>
      <c r="F28" s="196"/>
    </row>
    <row r="29" spans="2:43" x14ac:dyDescent="0.2">
      <c r="E29" s="196"/>
      <c r="J29" s="195"/>
      <c r="K29" s="194"/>
      <c r="AQ29" s="195"/>
    </row>
    <row r="30" spans="2:43" x14ac:dyDescent="0.2">
      <c r="C30" s="196"/>
      <c r="D30" s="196"/>
      <c r="F30" s="426" t="s">
        <v>769</v>
      </c>
      <c r="G30" s="426"/>
      <c r="H30" s="426"/>
      <c r="I30" s="426"/>
      <c r="J30" s="426"/>
      <c r="K30" s="426"/>
      <c r="L30" s="426"/>
      <c r="M30" s="426"/>
      <c r="N30" s="426"/>
      <c r="P30" s="426" t="s">
        <v>672</v>
      </c>
      <c r="Q30" s="426"/>
      <c r="R30" s="426"/>
      <c r="S30" s="426"/>
      <c r="T30" s="426"/>
      <c r="AP30" s="195"/>
      <c r="AQ30" s="195"/>
    </row>
    <row r="31" spans="2:43" x14ac:dyDescent="0.2">
      <c r="C31" s="196"/>
      <c r="D31" s="196"/>
      <c r="F31" s="194" t="s">
        <v>673</v>
      </c>
      <c r="H31" s="194" t="s">
        <v>674</v>
      </c>
      <c r="I31" s="195"/>
      <c r="J31" s="194" t="s">
        <v>674</v>
      </c>
      <c r="K31" s="194"/>
      <c r="L31" s="194" t="s">
        <v>675</v>
      </c>
      <c r="N31" s="194" t="s">
        <v>675</v>
      </c>
      <c r="P31" s="194" t="s">
        <v>673</v>
      </c>
      <c r="R31" s="194" t="s">
        <v>674</v>
      </c>
      <c r="T31" s="194" t="s">
        <v>676</v>
      </c>
      <c r="AP31" s="195"/>
      <c r="AQ31" s="195"/>
    </row>
    <row r="32" spans="2:43" x14ac:dyDescent="0.2">
      <c r="C32" s="196"/>
      <c r="D32" s="196" t="s">
        <v>677</v>
      </c>
      <c r="H32" s="194" t="s">
        <v>678</v>
      </c>
      <c r="I32" s="195"/>
      <c r="J32" s="194" t="s">
        <v>679</v>
      </c>
      <c r="K32" s="194"/>
      <c r="L32" s="194" t="s">
        <v>678</v>
      </c>
      <c r="N32" s="194" t="s">
        <v>679</v>
      </c>
      <c r="R32" s="194" t="s">
        <v>678</v>
      </c>
      <c r="T32" s="194" t="s">
        <v>678</v>
      </c>
      <c r="AP32" s="195"/>
      <c r="AQ32" s="195"/>
    </row>
    <row r="33" spans="3:43" x14ac:dyDescent="0.2">
      <c r="C33" s="196"/>
      <c r="D33" s="196" t="s">
        <v>680</v>
      </c>
      <c r="F33" s="197">
        <v>0.2</v>
      </c>
      <c r="H33" s="197">
        <v>0.5</v>
      </c>
      <c r="I33" s="195"/>
      <c r="J33" s="197">
        <v>0.5</v>
      </c>
      <c r="K33" s="194"/>
      <c r="L33" s="197">
        <v>0.52</v>
      </c>
      <c r="N33" s="197">
        <v>0.57999999999999996</v>
      </c>
      <c r="AP33" s="195"/>
      <c r="AQ33" s="195"/>
    </row>
    <row r="34" spans="3:43" x14ac:dyDescent="0.2">
      <c r="C34" s="196"/>
      <c r="D34" s="196" t="s">
        <v>681</v>
      </c>
      <c r="F34" s="197">
        <v>0.05</v>
      </c>
      <c r="H34" s="197">
        <v>0.27</v>
      </c>
      <c r="I34" s="195"/>
      <c r="J34" s="197">
        <v>0.28999999999999998</v>
      </c>
      <c r="K34" s="194"/>
      <c r="L34" s="197">
        <v>0.31</v>
      </c>
      <c r="N34" s="197">
        <v>0.26</v>
      </c>
      <c r="AP34" s="195"/>
      <c r="AQ34" s="195"/>
    </row>
    <row r="35" spans="3:43" x14ac:dyDescent="0.2">
      <c r="C35" s="196"/>
      <c r="D35" s="196" t="s">
        <v>682</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683</v>
      </c>
      <c r="F37" s="197"/>
      <c r="H37" s="197"/>
      <c r="I37" s="195"/>
      <c r="J37" s="197"/>
      <c r="K37" s="194"/>
      <c r="L37" s="197"/>
      <c r="N37" s="197"/>
      <c r="AP37" s="195"/>
      <c r="AQ37" s="195"/>
    </row>
    <row r="38" spans="3:43" x14ac:dyDescent="0.2">
      <c r="C38" s="196"/>
      <c r="D38" s="196" t="s">
        <v>680</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681</v>
      </c>
      <c r="F39" s="197">
        <v>0.09</v>
      </c>
      <c r="H39" s="197">
        <v>0.21</v>
      </c>
      <c r="I39" s="195"/>
      <c r="J39" s="197">
        <v>0.34</v>
      </c>
      <c r="K39" s="194"/>
      <c r="L39" s="197">
        <v>0.4</v>
      </c>
      <c r="N39" s="197">
        <v>0.38</v>
      </c>
      <c r="P39" s="197">
        <v>0.32</v>
      </c>
      <c r="R39" s="197">
        <v>0.46</v>
      </c>
      <c r="T39" s="197">
        <v>0.5</v>
      </c>
      <c r="AP39" s="195"/>
      <c r="AQ39" s="195"/>
    </row>
    <row r="40" spans="3:43" x14ac:dyDescent="0.2">
      <c r="C40" s="196"/>
      <c r="D40" s="196" t="s">
        <v>682</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684</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685</v>
      </c>
      <c r="I43" s="195"/>
      <c r="K43" s="194"/>
      <c r="AP43" s="195"/>
      <c r="AQ43" s="195"/>
    </row>
    <row r="44" spans="3:43" x14ac:dyDescent="0.2">
      <c r="I44" s="195"/>
      <c r="K44" s="194"/>
      <c r="AP44" s="195"/>
      <c r="AQ44" s="195"/>
    </row>
    <row r="45" spans="3:43" x14ac:dyDescent="0.2">
      <c r="C45" s="216" t="s">
        <v>34</v>
      </c>
    </row>
    <row r="47" spans="3:43" x14ac:dyDescent="0.2">
      <c r="C47" s="216" t="s">
        <v>35</v>
      </c>
    </row>
    <row r="49" spans="2:64" x14ac:dyDescent="0.2">
      <c r="C49" s="216" t="s">
        <v>36</v>
      </c>
    </row>
    <row r="51" spans="2:64" x14ac:dyDescent="0.2">
      <c r="C51" s="216" t="s">
        <v>37</v>
      </c>
    </row>
    <row r="53" spans="2:64" x14ac:dyDescent="0.2">
      <c r="C53" s="216" t="s">
        <v>1078</v>
      </c>
    </row>
    <row r="58" spans="2:64" x14ac:dyDescent="0.2">
      <c r="B58" s="195"/>
      <c r="C58" s="199" t="s">
        <v>240</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609</v>
      </c>
      <c r="R58" s="339" t="s">
        <v>610</v>
      </c>
      <c r="S58" s="339" t="s">
        <v>611</v>
      </c>
      <c r="T58" s="339" t="s">
        <v>612</v>
      </c>
      <c r="U58" s="339" t="s">
        <v>613</v>
      </c>
      <c r="V58" s="339" t="s">
        <v>614</v>
      </c>
      <c r="W58" s="339" t="s">
        <v>615</v>
      </c>
      <c r="X58" s="339" t="s">
        <v>616</v>
      </c>
      <c r="Y58" s="339" t="s">
        <v>617</v>
      </c>
      <c r="Z58" s="339" t="s">
        <v>618</v>
      </c>
      <c r="AA58" s="339" t="s">
        <v>619</v>
      </c>
      <c r="AB58" s="339" t="s">
        <v>620</v>
      </c>
      <c r="AC58" s="339" t="s">
        <v>623</v>
      </c>
      <c r="AD58" s="339" t="s">
        <v>624</v>
      </c>
      <c r="AE58" s="339" t="s">
        <v>625</v>
      </c>
      <c r="AF58" s="339" t="s">
        <v>626</v>
      </c>
      <c r="AG58" s="339" t="s">
        <v>627</v>
      </c>
      <c r="AH58" s="339" t="s">
        <v>628</v>
      </c>
      <c r="AI58" s="339" t="s">
        <v>629</v>
      </c>
      <c r="AJ58" s="339" t="s">
        <v>630</v>
      </c>
      <c r="AK58" s="339" t="s">
        <v>631</v>
      </c>
      <c r="AL58" s="339" t="s">
        <v>632</v>
      </c>
      <c r="AM58" s="339" t="s">
        <v>633</v>
      </c>
      <c r="AN58" s="339" t="s">
        <v>634</v>
      </c>
      <c r="AO58" s="339" t="s">
        <v>635</v>
      </c>
      <c r="AP58" s="339" t="s">
        <v>636</v>
      </c>
      <c r="AQ58" s="339" t="s">
        <v>637</v>
      </c>
      <c r="AR58" s="339" t="s">
        <v>638</v>
      </c>
      <c r="AS58" s="339" t="s">
        <v>639</v>
      </c>
      <c r="AT58" s="339" t="s">
        <v>640</v>
      </c>
      <c r="AU58" s="339" t="s">
        <v>641</v>
      </c>
      <c r="AV58" s="339" t="s">
        <v>642</v>
      </c>
      <c r="AW58" s="339" t="s">
        <v>950</v>
      </c>
      <c r="AX58" s="339" t="s">
        <v>951</v>
      </c>
      <c r="AY58" s="339" t="s">
        <v>994</v>
      </c>
      <c r="AZ58" s="339" t="s">
        <v>995</v>
      </c>
      <c r="BA58" s="339" t="s">
        <v>996</v>
      </c>
      <c r="BB58" s="339" t="s">
        <v>997</v>
      </c>
      <c r="BC58" s="339" t="s">
        <v>998</v>
      </c>
      <c r="BD58" s="339" t="s">
        <v>999</v>
      </c>
      <c r="BE58" s="339" t="s">
        <v>108</v>
      </c>
      <c r="BF58" s="339" t="s">
        <v>109</v>
      </c>
      <c r="BG58" s="339" t="s">
        <v>110</v>
      </c>
      <c r="BH58" s="339" t="s">
        <v>111</v>
      </c>
      <c r="BI58" s="339" t="s">
        <v>1523</v>
      </c>
      <c r="BJ58" s="339" t="s">
        <v>1524</v>
      </c>
      <c r="BK58" s="339" t="s">
        <v>1525</v>
      </c>
      <c r="BL58" s="200" t="s">
        <v>1526</v>
      </c>
    </row>
    <row r="59" spans="2:64" s="201" customFormat="1" x14ac:dyDescent="0.2">
      <c r="C59" s="201" t="s">
        <v>643</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644</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562</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645</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647</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648</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197</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240</v>
      </c>
      <c r="D70" s="341"/>
      <c r="E70" s="341"/>
      <c r="F70" s="341"/>
      <c r="G70" s="341"/>
      <c r="H70" s="341"/>
      <c r="I70" s="341"/>
      <c r="J70" s="341"/>
      <c r="K70" s="340">
        <f>K68+K62</f>
        <v>4253</v>
      </c>
      <c r="L70" s="340">
        <f>L68+L62</f>
        <v>4975</v>
      </c>
      <c r="M70" s="340">
        <f>M68+M62</f>
        <v>5866</v>
      </c>
      <c r="N70" s="340">
        <f>N68+N62</f>
        <v>6506.72</v>
      </c>
      <c r="O70" s="341"/>
    </row>
    <row r="71" spans="2:64" x14ac:dyDescent="0.2">
      <c r="C71" s="196" t="s">
        <v>477</v>
      </c>
      <c r="D71" s="341"/>
      <c r="E71" s="341"/>
      <c r="F71" s="341"/>
      <c r="G71" s="341"/>
      <c r="H71" s="341"/>
      <c r="I71" s="341"/>
      <c r="J71" s="341"/>
      <c r="K71" s="340">
        <v>4331</v>
      </c>
      <c r="L71" s="340">
        <v>5275</v>
      </c>
      <c r="M71" s="340">
        <v>6276</v>
      </c>
      <c r="N71" s="340">
        <f>M71*1.05</f>
        <v>6589.8</v>
      </c>
      <c r="O71" s="341"/>
    </row>
    <row r="72" spans="2:64" x14ac:dyDescent="0.2">
      <c r="C72" s="196" t="s">
        <v>478</v>
      </c>
      <c r="D72" s="341"/>
      <c r="E72" s="341"/>
      <c r="F72" s="341"/>
      <c r="G72" s="341"/>
      <c r="H72" s="341"/>
      <c r="I72" s="341"/>
      <c r="J72" s="341"/>
      <c r="K72" s="340">
        <v>2044</v>
      </c>
      <c r="L72" s="340">
        <v>3063</v>
      </c>
      <c r="M72" s="340">
        <v>4345</v>
      </c>
      <c r="N72" s="340">
        <f>M72*1.05</f>
        <v>4562.25</v>
      </c>
      <c r="O72" s="341"/>
    </row>
    <row r="73" spans="2:64" x14ac:dyDescent="0.2">
      <c r="C73" s="218" t="s">
        <v>385</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1527</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167</v>
      </c>
    </row>
    <row r="2" spans="1:35" x14ac:dyDescent="0.2">
      <c r="A2" s="5"/>
      <c r="B2" s="8" t="s">
        <v>508</v>
      </c>
      <c r="C2" s="21" t="s">
        <v>180</v>
      </c>
      <c r="E2" s="8" t="s">
        <v>509</v>
      </c>
      <c r="H2" s="21" t="s">
        <v>510</v>
      </c>
    </row>
    <row r="3" spans="1:35" x14ac:dyDescent="0.2">
      <c r="A3" s="5"/>
      <c r="B3" s="8" t="s">
        <v>512</v>
      </c>
      <c r="C3" s="21" t="s">
        <v>513</v>
      </c>
    </row>
    <row r="4" spans="1:35" x14ac:dyDescent="0.2">
      <c r="A4" s="5"/>
      <c r="B4" s="8" t="s">
        <v>177</v>
      </c>
      <c r="C4" s="131" t="s">
        <v>1225</v>
      </c>
    </row>
    <row r="5" spans="1:35" x14ac:dyDescent="0.2">
      <c r="A5" s="5"/>
      <c r="B5" s="132" t="s">
        <v>801</v>
      </c>
      <c r="C5" s="131" t="s">
        <v>983</v>
      </c>
    </row>
    <row r="6" spans="1:35" x14ac:dyDescent="0.2">
      <c r="A6" s="5"/>
      <c r="B6" s="8" t="s">
        <v>514</v>
      </c>
      <c r="C6" s="21" t="s">
        <v>515</v>
      </c>
    </row>
    <row r="7" spans="1:35" x14ac:dyDescent="0.2">
      <c r="A7" s="5"/>
      <c r="B7" s="8" t="s">
        <v>516</v>
      </c>
      <c r="C7" s="21" t="s">
        <v>517</v>
      </c>
    </row>
    <row r="8" spans="1:35" x14ac:dyDescent="0.2">
      <c r="A8" s="5"/>
      <c r="B8" s="8" t="s">
        <v>518</v>
      </c>
      <c r="C8" s="21" t="s">
        <v>519</v>
      </c>
    </row>
    <row r="9" spans="1:35" x14ac:dyDescent="0.2">
      <c r="A9" s="5"/>
      <c r="B9" s="8" t="s">
        <v>179</v>
      </c>
      <c r="C9" s="131" t="s">
        <v>1233</v>
      </c>
    </row>
    <row r="10" spans="1:35" x14ac:dyDescent="0.2">
      <c r="A10" s="5"/>
      <c r="C10" s="21" t="s">
        <v>520</v>
      </c>
    </row>
    <row r="11" spans="1:35" x14ac:dyDescent="0.2">
      <c r="A11" s="5"/>
      <c r="B11" s="8" t="s">
        <v>521</v>
      </c>
      <c r="C11" s="21" t="s">
        <v>522</v>
      </c>
    </row>
    <row r="12" spans="1:35" x14ac:dyDescent="0.2">
      <c r="A12" s="5"/>
      <c r="B12" s="8" t="s">
        <v>523</v>
      </c>
      <c r="C12" s="21" t="s">
        <v>524</v>
      </c>
    </row>
    <row r="13" spans="1:35" x14ac:dyDescent="0.2">
      <c r="A13" s="5"/>
      <c r="B13" s="132" t="s">
        <v>734</v>
      </c>
      <c r="C13" s="131" t="s">
        <v>735</v>
      </c>
    </row>
    <row r="14" spans="1:35" x14ac:dyDescent="0.2">
      <c r="A14" s="5"/>
      <c r="B14" s="8" t="s">
        <v>525</v>
      </c>
    </row>
    <row r="15" spans="1:35" x14ac:dyDescent="0.2">
      <c r="A15" s="5"/>
    </row>
    <row r="16" spans="1:35" x14ac:dyDescent="0.2">
      <c r="B16" s="22" t="s">
        <v>344</v>
      </c>
      <c r="C16" s="23" t="s">
        <v>297</v>
      </c>
      <c r="D16" s="23" t="s">
        <v>298</v>
      </c>
      <c r="E16" s="23" t="s">
        <v>299</v>
      </c>
      <c r="F16" s="23" t="s">
        <v>300</v>
      </c>
      <c r="G16" s="23" t="s">
        <v>301</v>
      </c>
      <c r="H16" s="23" t="s">
        <v>302</v>
      </c>
      <c r="I16" s="23" t="s">
        <v>303</v>
      </c>
      <c r="J16" s="23" t="s">
        <v>304</v>
      </c>
      <c r="K16" s="23" t="s">
        <v>305</v>
      </c>
      <c r="L16" s="23" t="s">
        <v>306</v>
      </c>
      <c r="M16" s="23" t="s">
        <v>307</v>
      </c>
      <c r="N16" s="23" t="s">
        <v>308</v>
      </c>
      <c r="O16" s="23" t="s">
        <v>309</v>
      </c>
      <c r="P16" s="23" t="s">
        <v>310</v>
      </c>
      <c r="Q16" s="23" t="s">
        <v>311</v>
      </c>
      <c r="R16" s="23" t="s">
        <v>312</v>
      </c>
      <c r="S16" s="23" t="s">
        <v>313</v>
      </c>
      <c r="T16" s="23" t="s">
        <v>314</v>
      </c>
      <c r="U16" s="23" t="s">
        <v>315</v>
      </c>
      <c r="V16" s="23" t="s">
        <v>316</v>
      </c>
      <c r="W16" s="23" t="s">
        <v>317</v>
      </c>
      <c r="X16" s="23" t="s">
        <v>318</v>
      </c>
      <c r="Y16" s="23" t="s">
        <v>319</v>
      </c>
      <c r="Z16" s="23" t="s">
        <v>320</v>
      </c>
      <c r="AA16" s="23" t="s">
        <v>321</v>
      </c>
      <c r="AB16" s="23" t="s">
        <v>322</v>
      </c>
      <c r="AC16" s="23" t="s">
        <v>323</v>
      </c>
      <c r="AD16" s="23" t="s">
        <v>324</v>
      </c>
      <c r="AE16" s="23" t="s">
        <v>325</v>
      </c>
      <c r="AF16" s="23" t="s">
        <v>326</v>
      </c>
      <c r="AG16" s="23" t="s">
        <v>327</v>
      </c>
      <c r="AH16" s="23" t="s">
        <v>328</v>
      </c>
      <c r="AI16" s="24"/>
    </row>
    <row r="17" spans="2:52" x14ac:dyDescent="0.2">
      <c r="B17" s="22" t="s">
        <v>526</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527</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528</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529</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530</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529</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531</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529</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532</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529</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344</v>
      </c>
      <c r="C28" s="23">
        <v>1997</v>
      </c>
      <c r="D28" s="23">
        <v>1998</v>
      </c>
      <c r="E28" s="23">
        <v>1999</v>
      </c>
      <c r="F28" s="23">
        <v>2000</v>
      </c>
      <c r="G28" s="23">
        <v>2001</v>
      </c>
      <c r="H28" s="23">
        <v>2002</v>
      </c>
      <c r="I28" s="23">
        <v>2003</v>
      </c>
      <c r="J28" s="23">
        <v>2004</v>
      </c>
      <c r="K28" s="23">
        <v>2005</v>
      </c>
      <c r="L28" s="23">
        <v>2006</v>
      </c>
      <c r="M28" s="23">
        <v>2007</v>
      </c>
      <c r="N28" s="23" t="s">
        <v>533</v>
      </c>
      <c r="O28" s="23" t="s">
        <v>534</v>
      </c>
      <c r="P28" s="23" t="s">
        <v>535</v>
      </c>
      <c r="Q28" s="23" t="s">
        <v>536</v>
      </c>
      <c r="R28" s="23" t="s">
        <v>537</v>
      </c>
      <c r="S28" s="23" t="s">
        <v>538</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526</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527</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528</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529</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530</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531</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532</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539</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540</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372</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358</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541</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542</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543</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544</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361</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373</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545</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546</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697</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1148</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698</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699</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700</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701</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702</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256</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703</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527</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704</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705</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256</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706</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167</v>
      </c>
    </row>
    <row r="2" spans="1:3" x14ac:dyDescent="0.2">
      <c r="B2" s="172" t="s">
        <v>508</v>
      </c>
      <c r="C2" s="172" t="s">
        <v>201</v>
      </c>
    </row>
    <row r="3" spans="1:3" x14ac:dyDescent="0.2">
      <c r="B3" s="172" t="s">
        <v>509</v>
      </c>
      <c r="C3" s="172" t="s">
        <v>987</v>
      </c>
    </row>
    <row r="4" spans="1:3" x14ac:dyDescent="0.2">
      <c r="B4" s="172" t="s">
        <v>512</v>
      </c>
      <c r="C4" s="172" t="s">
        <v>1181</v>
      </c>
    </row>
    <row r="5" spans="1:3" x14ac:dyDescent="0.2">
      <c r="C5" s="172" t="s">
        <v>1182</v>
      </c>
    </row>
    <row r="6" spans="1:3" x14ac:dyDescent="0.2">
      <c r="B6" s="172" t="s">
        <v>801</v>
      </c>
      <c r="C6" s="208">
        <v>39070</v>
      </c>
    </row>
    <row r="7" spans="1:3" x14ac:dyDescent="0.2">
      <c r="B7" s="172" t="s">
        <v>518</v>
      </c>
      <c r="C7" s="172" t="s">
        <v>185</v>
      </c>
    </row>
    <row r="8" spans="1:3" x14ac:dyDescent="0.2">
      <c r="B8" s="172" t="s">
        <v>172</v>
      </c>
      <c r="C8" s="172" t="s">
        <v>988</v>
      </c>
    </row>
    <row r="9" spans="1:3" x14ac:dyDescent="0.2">
      <c r="B9" s="172" t="s">
        <v>177</v>
      </c>
      <c r="C9" s="172" t="s">
        <v>92</v>
      </c>
    </row>
    <row r="10" spans="1:3" x14ac:dyDescent="0.2">
      <c r="B10" s="172" t="s">
        <v>559</v>
      </c>
      <c r="C10" s="172" t="s">
        <v>934</v>
      </c>
    </row>
    <row r="11" spans="1:3" x14ac:dyDescent="0.2">
      <c r="B11" s="172" t="s">
        <v>935</v>
      </c>
      <c r="C11" s="172" t="s">
        <v>1275</v>
      </c>
    </row>
    <row r="12" spans="1:3" x14ac:dyDescent="0.2">
      <c r="B12" s="172" t="s">
        <v>936</v>
      </c>
      <c r="C12" s="172" t="s">
        <v>937</v>
      </c>
    </row>
    <row r="13" spans="1:3" x14ac:dyDescent="0.2">
      <c r="B13" s="172" t="s">
        <v>168</v>
      </c>
      <c r="C13" s="172" t="s">
        <v>938</v>
      </c>
    </row>
    <row r="14" spans="1:3" x14ac:dyDescent="0.2">
      <c r="B14" s="172" t="s">
        <v>554</v>
      </c>
      <c r="C14" s="172" t="s">
        <v>939</v>
      </c>
    </row>
    <row r="16" spans="1:3" x14ac:dyDescent="0.2">
      <c r="C16" s="172" t="s">
        <v>940</v>
      </c>
    </row>
    <row r="18" spans="2:4" x14ac:dyDescent="0.2">
      <c r="C18" s="172" t="s">
        <v>941</v>
      </c>
    </row>
    <row r="20" spans="2:4" x14ac:dyDescent="0.2">
      <c r="C20" s="172" t="s">
        <v>942</v>
      </c>
    </row>
    <row r="21" spans="2:4" x14ac:dyDescent="0.2">
      <c r="D21" s="172" t="s">
        <v>943</v>
      </c>
    </row>
    <row r="22" spans="2:4" x14ac:dyDescent="0.2">
      <c r="D22" s="172" t="s">
        <v>944</v>
      </c>
    </row>
    <row r="23" spans="2:4" x14ac:dyDescent="0.2">
      <c r="D23" s="172" t="s">
        <v>945</v>
      </c>
    </row>
    <row r="24" spans="2:4" x14ac:dyDescent="0.2">
      <c r="D24" s="172" t="s">
        <v>946</v>
      </c>
    </row>
    <row r="26" spans="2:4" x14ac:dyDescent="0.2">
      <c r="C26" s="172" t="s">
        <v>947</v>
      </c>
    </row>
    <row r="27" spans="2:4" x14ac:dyDescent="0.2">
      <c r="B27" s="172" t="s">
        <v>565</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167</v>
      </c>
    </row>
    <row r="2" spans="1:26" x14ac:dyDescent="0.2">
      <c r="B2" s="4" t="s">
        <v>508</v>
      </c>
      <c r="C2" s="4" t="s">
        <v>192</v>
      </c>
    </row>
    <row r="3" spans="1:26" x14ac:dyDescent="0.2">
      <c r="B3" s="4" t="s">
        <v>509</v>
      </c>
      <c r="C3" s="4" t="s">
        <v>548</v>
      </c>
    </row>
    <row r="4" spans="1:26" x14ac:dyDescent="0.2">
      <c r="B4" s="4" t="s">
        <v>518</v>
      </c>
      <c r="C4" s="4" t="s">
        <v>1183</v>
      </c>
    </row>
    <row r="5" spans="1:26" x14ac:dyDescent="0.2">
      <c r="B5" s="4" t="s">
        <v>512</v>
      </c>
      <c r="C5" s="4" t="s">
        <v>1184</v>
      </c>
    </row>
    <row r="6" spans="1:26" x14ac:dyDescent="0.2">
      <c r="B6" s="4" t="s">
        <v>799</v>
      </c>
      <c r="C6" s="4" t="s">
        <v>948</v>
      </c>
    </row>
    <row r="7" spans="1:26" x14ac:dyDescent="0.2">
      <c r="B7" s="4" t="s">
        <v>801</v>
      </c>
      <c r="C7" s="4" t="s">
        <v>136</v>
      </c>
    </row>
    <row r="8" spans="1:26" x14ac:dyDescent="0.2">
      <c r="B8" s="4" t="s">
        <v>177</v>
      </c>
      <c r="C8" s="4" t="s">
        <v>949</v>
      </c>
    </row>
    <row r="9" spans="1:26" x14ac:dyDescent="0.2">
      <c r="C9" s="4" t="s">
        <v>137</v>
      </c>
    </row>
    <row r="10" spans="1:26" x14ac:dyDescent="0.2">
      <c r="C10" s="203" t="s">
        <v>138</v>
      </c>
    </row>
    <row r="12" spans="1:26" x14ac:dyDescent="0.2">
      <c r="C12" s="14" t="s">
        <v>627</v>
      </c>
      <c r="D12" s="14" t="s">
        <v>628</v>
      </c>
      <c r="E12" s="14" t="s">
        <v>629</v>
      </c>
      <c r="F12" s="14" t="s">
        <v>630</v>
      </c>
      <c r="G12" s="14" t="s">
        <v>631</v>
      </c>
      <c r="H12" s="14" t="s">
        <v>632</v>
      </c>
      <c r="I12" s="14" t="s">
        <v>633</v>
      </c>
      <c r="J12" s="14" t="s">
        <v>634</v>
      </c>
      <c r="K12" s="14" t="s">
        <v>635</v>
      </c>
      <c r="L12" s="14" t="s">
        <v>636</v>
      </c>
      <c r="M12" s="14" t="s">
        <v>637</v>
      </c>
      <c r="N12" s="14" t="s">
        <v>638</v>
      </c>
      <c r="O12" s="14" t="s">
        <v>639</v>
      </c>
      <c r="P12" s="14" t="s">
        <v>640</v>
      </c>
      <c r="Q12" s="14" t="s">
        <v>641</v>
      </c>
      <c r="R12" s="14" t="s">
        <v>642</v>
      </c>
      <c r="S12" s="14" t="s">
        <v>950</v>
      </c>
      <c r="T12" s="14" t="s">
        <v>951</v>
      </c>
      <c r="U12" s="14" t="s">
        <v>994</v>
      </c>
      <c r="V12" s="14" t="s">
        <v>995</v>
      </c>
      <c r="W12" s="14" t="s">
        <v>996</v>
      </c>
      <c r="X12" s="14" t="s">
        <v>997</v>
      </c>
      <c r="Y12" s="14" t="s">
        <v>998</v>
      </c>
      <c r="Z12" s="14" t="s">
        <v>999</v>
      </c>
    </row>
    <row r="13" spans="1:26" x14ac:dyDescent="0.2">
      <c r="B13" s="4" t="s">
        <v>386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387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562</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386</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387</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1000</v>
      </c>
      <c r="V19" s="60">
        <f t="shared" si="1"/>
        <v>0.30530973451327426</v>
      </c>
      <c r="W19" s="60">
        <f t="shared" si="1"/>
        <v>0.18390804597701149</v>
      </c>
    </row>
    <row r="21" spans="2:26" x14ac:dyDescent="0.2">
      <c r="C21" s="6">
        <v>2003</v>
      </c>
      <c r="D21" s="6">
        <v>2004</v>
      </c>
    </row>
    <row r="22" spans="2:26" x14ac:dyDescent="0.2">
      <c r="B22" s="4" t="s">
        <v>386</v>
      </c>
      <c r="C22" s="7">
        <v>61</v>
      </c>
      <c r="D22" s="7">
        <v>230</v>
      </c>
    </row>
    <row r="23" spans="2:26" x14ac:dyDescent="0.2">
      <c r="B23" s="4" t="s">
        <v>387</v>
      </c>
      <c r="C23" s="7">
        <v>249.8</v>
      </c>
      <c r="D23" s="7">
        <v>372</v>
      </c>
    </row>
    <row r="24" spans="2:26" x14ac:dyDescent="0.2">
      <c r="B24" s="4" t="s">
        <v>562</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167</v>
      </c>
    </row>
    <row r="2" spans="1:15" x14ac:dyDescent="0.2">
      <c r="A2" s="5"/>
      <c r="B2" s="8" t="s">
        <v>508</v>
      </c>
      <c r="C2" s="21" t="s">
        <v>798</v>
      </c>
    </row>
    <row r="3" spans="1:15" x14ac:dyDescent="0.2">
      <c r="A3" s="5"/>
      <c r="B3" s="8" t="s">
        <v>509</v>
      </c>
      <c r="C3" s="21" t="s">
        <v>1179</v>
      </c>
    </row>
    <row r="4" spans="1:15" x14ac:dyDescent="0.2">
      <c r="A4" s="5"/>
      <c r="B4" s="8" t="s">
        <v>172</v>
      </c>
      <c r="C4" s="21" t="s">
        <v>1180</v>
      </c>
    </row>
    <row r="5" spans="1:15" x14ac:dyDescent="0.2">
      <c r="A5" s="5"/>
      <c r="B5" s="8" t="s">
        <v>518</v>
      </c>
      <c r="C5" s="21" t="s">
        <v>185</v>
      </c>
    </row>
    <row r="6" spans="1:15" x14ac:dyDescent="0.2">
      <c r="A6" s="5"/>
      <c r="B6" s="8" t="s">
        <v>512</v>
      </c>
      <c r="C6" s="21" t="s">
        <v>220</v>
      </c>
    </row>
    <row r="7" spans="1:15" x14ac:dyDescent="0.2">
      <c r="A7" s="5"/>
      <c r="B7" s="8" t="s">
        <v>799</v>
      </c>
      <c r="C7" s="39" t="s">
        <v>800</v>
      </c>
    </row>
    <row r="8" spans="1:15" x14ac:dyDescent="0.2">
      <c r="A8" s="5"/>
      <c r="B8" s="132" t="s">
        <v>935</v>
      </c>
      <c r="C8" s="227" t="s">
        <v>1231</v>
      </c>
    </row>
    <row r="9" spans="1:15" x14ac:dyDescent="0.2">
      <c r="A9" s="5"/>
      <c r="B9" s="8" t="s">
        <v>177</v>
      </c>
      <c r="C9" s="40" t="s">
        <v>802</v>
      </c>
    </row>
    <row r="10" spans="1:15" x14ac:dyDescent="0.2">
      <c r="A10" s="5"/>
      <c r="B10" s="8" t="s">
        <v>179</v>
      </c>
      <c r="C10" s="21" t="s">
        <v>803</v>
      </c>
    </row>
    <row r="11" spans="1:15" x14ac:dyDescent="0.2">
      <c r="A11" s="5"/>
      <c r="B11" s="8" t="s">
        <v>565</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386</v>
      </c>
      <c r="C13" s="41"/>
      <c r="D13" s="41"/>
      <c r="E13" s="42"/>
      <c r="F13" s="42"/>
      <c r="G13" s="42"/>
      <c r="H13" s="42"/>
      <c r="I13" s="42"/>
      <c r="J13" s="42"/>
      <c r="M13" s="9"/>
      <c r="N13" s="9"/>
      <c r="O13" s="9"/>
    </row>
    <row r="14" spans="1:15" x14ac:dyDescent="0.2">
      <c r="B14" s="8" t="s">
        <v>387</v>
      </c>
      <c r="C14" s="41"/>
      <c r="D14" s="41"/>
      <c r="E14" s="41"/>
      <c r="F14" s="41"/>
      <c r="G14" s="41"/>
      <c r="H14" s="41"/>
      <c r="I14" s="41"/>
      <c r="J14" s="41"/>
      <c r="M14" s="9"/>
      <c r="N14" s="9"/>
      <c r="O14" s="9"/>
    </row>
    <row r="15" spans="1:15" x14ac:dyDescent="0.2">
      <c r="B15" s="8" t="s">
        <v>562</v>
      </c>
      <c r="C15" s="27"/>
      <c r="D15" s="27">
        <v>697</v>
      </c>
      <c r="E15" s="27">
        <v>966</v>
      </c>
      <c r="F15" s="27">
        <v>1116</v>
      </c>
      <c r="G15" s="27">
        <v>1169</v>
      </c>
      <c r="H15" s="27">
        <v>1239</v>
      </c>
      <c r="I15" s="27">
        <v>1357</v>
      </c>
      <c r="J15" s="27">
        <v>1158</v>
      </c>
      <c r="K15" s="27">
        <f>Model!EB15</f>
        <v>1096</v>
      </c>
      <c r="M15" s="9"/>
      <c r="N15" s="9"/>
      <c r="O15" s="9"/>
    </row>
    <row r="18" spans="2:3" x14ac:dyDescent="0.2">
      <c r="B18" s="8" t="s">
        <v>804</v>
      </c>
    </row>
    <row r="19" spans="2:3" s="21" customFormat="1" x14ac:dyDescent="0.2">
      <c r="C19" s="43" t="s">
        <v>805</v>
      </c>
    </row>
    <row r="20" spans="2:3" s="21" customFormat="1" x14ac:dyDescent="0.2">
      <c r="C20" s="21" t="s">
        <v>806</v>
      </c>
    </row>
    <row r="21" spans="2:3" s="21" customFormat="1" x14ac:dyDescent="0.2">
      <c r="C21" s="21" t="s">
        <v>807</v>
      </c>
    </row>
    <row r="22" spans="2:3" s="21" customFormat="1" x14ac:dyDescent="0.2">
      <c r="C22" s="21" t="s">
        <v>808</v>
      </c>
    </row>
    <row r="23" spans="2:3" s="21" customFormat="1" x14ac:dyDescent="0.2">
      <c r="C23" s="21" t="s">
        <v>809</v>
      </c>
    </row>
    <row r="24" spans="2:3" s="21" customFormat="1" x14ac:dyDescent="0.2"/>
    <row r="25" spans="2:3" s="21" customFormat="1" x14ac:dyDescent="0.2">
      <c r="C25" s="43" t="s">
        <v>810</v>
      </c>
    </row>
    <row r="26" spans="2:3" s="21" customFormat="1" x14ac:dyDescent="0.2">
      <c r="C26" s="21" t="s">
        <v>811</v>
      </c>
    </row>
    <row r="27" spans="2:3" s="21" customFormat="1" x14ac:dyDescent="0.2">
      <c r="C27" s="21" t="s">
        <v>812</v>
      </c>
    </row>
    <row r="28" spans="2:3" s="21" customFormat="1" x14ac:dyDescent="0.2">
      <c r="C28" s="21" t="s">
        <v>813</v>
      </c>
    </row>
    <row r="29" spans="2:3" s="21" customFormat="1" x14ac:dyDescent="0.2">
      <c r="C29" s="21" t="s">
        <v>814</v>
      </c>
    </row>
    <row r="33" spans="2:4" x14ac:dyDescent="0.2">
      <c r="B33" s="132" t="s">
        <v>565</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167</v>
      </c>
    </row>
    <row r="2" spans="1:3" x14ac:dyDescent="0.2">
      <c r="B2" s="122" t="s">
        <v>508</v>
      </c>
      <c r="C2" s="123" t="s">
        <v>223</v>
      </c>
    </row>
    <row r="3" spans="1:3" x14ac:dyDescent="0.2">
      <c r="B3" s="122" t="s">
        <v>509</v>
      </c>
      <c r="C3" s="123" t="s">
        <v>1185</v>
      </c>
    </row>
    <row r="4" spans="1:3" x14ac:dyDescent="0.2">
      <c r="B4" s="122" t="s">
        <v>518</v>
      </c>
      <c r="C4" s="123" t="s">
        <v>1186</v>
      </c>
    </row>
    <row r="5" spans="1:3" x14ac:dyDescent="0.2">
      <c r="B5" s="122" t="s">
        <v>511</v>
      </c>
      <c r="C5" s="224" t="s">
        <v>1187</v>
      </c>
    </row>
    <row r="6" spans="1:3" x14ac:dyDescent="0.2">
      <c r="B6" s="122" t="s">
        <v>512</v>
      </c>
      <c r="C6" s="123" t="s">
        <v>815</v>
      </c>
    </row>
    <row r="7" spans="1:3" x14ac:dyDescent="0.2">
      <c r="C7" s="123" t="s">
        <v>816</v>
      </c>
    </row>
    <row r="8" spans="1:3" x14ac:dyDescent="0.2">
      <c r="C8" s="123" t="s">
        <v>817</v>
      </c>
    </row>
    <row r="9" spans="1:3" x14ac:dyDescent="0.2">
      <c r="B9" s="122" t="s">
        <v>177</v>
      </c>
      <c r="C9" s="220" t="s">
        <v>1227</v>
      </c>
    </row>
    <row r="10" spans="1:3" x14ac:dyDescent="0.2">
      <c r="C10" s="44" t="s">
        <v>1228</v>
      </c>
    </row>
    <row r="11" spans="1:3" x14ac:dyDescent="0.2">
      <c r="B11" s="122" t="s">
        <v>799</v>
      </c>
      <c r="C11" s="44" t="s">
        <v>239</v>
      </c>
    </row>
    <row r="12" spans="1:3" x14ac:dyDescent="0.2">
      <c r="B12" s="122" t="s">
        <v>179</v>
      </c>
      <c r="C12" s="123" t="s">
        <v>707</v>
      </c>
    </row>
    <row r="13" spans="1:3" x14ac:dyDescent="0.2">
      <c r="B13" s="122" t="s">
        <v>554</v>
      </c>
    </row>
    <row r="14" spans="1:3" x14ac:dyDescent="0.2">
      <c r="C14" s="45" t="s">
        <v>583</v>
      </c>
    </row>
    <row r="15" spans="1:3" x14ac:dyDescent="0.2">
      <c r="C15" s="123" t="s">
        <v>584</v>
      </c>
    </row>
    <row r="16" spans="1:3" x14ac:dyDescent="0.2">
      <c r="C16" s="123" t="s">
        <v>585</v>
      </c>
    </row>
    <row r="18" spans="3:3" x14ac:dyDescent="0.2">
      <c r="C18" s="45" t="s">
        <v>581</v>
      </c>
    </row>
    <row r="19" spans="3:3" x14ac:dyDescent="0.2">
      <c r="C19" s="123" t="s">
        <v>582</v>
      </c>
    </row>
    <row r="21" spans="3:3" x14ac:dyDescent="0.2">
      <c r="C21" s="45" t="s">
        <v>163</v>
      </c>
    </row>
    <row r="22" spans="3:3" x14ac:dyDescent="0.2">
      <c r="C22" s="122" t="s">
        <v>586</v>
      </c>
    </row>
    <row r="23" spans="3:3" x14ac:dyDescent="0.2">
      <c r="C23" s="122" t="s">
        <v>825</v>
      </c>
    </row>
    <row r="24" spans="3:3" x14ac:dyDescent="0.2">
      <c r="C24" s="122" t="s">
        <v>826</v>
      </c>
    </row>
    <row r="25" spans="3:3" x14ac:dyDescent="0.2">
      <c r="C25" s="122" t="s">
        <v>580</v>
      </c>
    </row>
    <row r="26" spans="3:3" x14ac:dyDescent="0.2">
      <c r="C26" s="122" t="s">
        <v>827</v>
      </c>
    </row>
    <row r="28" spans="3:3" x14ac:dyDescent="0.2">
      <c r="C28" s="45" t="s">
        <v>831</v>
      </c>
    </row>
    <row r="29" spans="3:3" x14ac:dyDescent="0.2">
      <c r="C29" s="123" t="s">
        <v>164</v>
      </c>
    </row>
    <row r="30" spans="3:3" x14ac:dyDescent="0.2">
      <c r="C30" s="123" t="s">
        <v>832</v>
      </c>
    </row>
    <row r="32" spans="3:3" x14ac:dyDescent="0.2">
      <c r="C32" s="45" t="s">
        <v>828</v>
      </c>
    </row>
    <row r="33" spans="2:12" x14ac:dyDescent="0.2">
      <c r="C33" s="123" t="s">
        <v>829</v>
      </c>
    </row>
    <row r="34" spans="2:12" x14ac:dyDescent="0.2">
      <c r="C34" s="123" t="s">
        <v>830</v>
      </c>
    </row>
    <row r="36" spans="2:12" x14ac:dyDescent="0.2">
      <c r="C36" s="45" t="s">
        <v>162</v>
      </c>
    </row>
    <row r="37" spans="2:12" x14ac:dyDescent="0.2">
      <c r="C37" s="123" t="s">
        <v>818</v>
      </c>
    </row>
    <row r="38" spans="2:12" x14ac:dyDescent="0.2">
      <c r="C38" s="123" t="s">
        <v>819</v>
      </c>
    </row>
    <row r="39" spans="2:12" x14ac:dyDescent="0.2">
      <c r="C39" s="123" t="s">
        <v>820</v>
      </c>
    </row>
    <row r="40" spans="2:12" x14ac:dyDescent="0.2">
      <c r="C40" s="123" t="s">
        <v>821</v>
      </c>
    </row>
    <row r="41" spans="2:12" x14ac:dyDescent="0.2">
      <c r="C41" s="123" t="s">
        <v>823</v>
      </c>
    </row>
    <row r="42" spans="2:12" x14ac:dyDescent="0.2">
      <c r="C42" s="123" t="s">
        <v>824</v>
      </c>
    </row>
    <row r="45" spans="2:12" x14ac:dyDescent="0.2">
      <c r="B45" s="130" t="s">
        <v>165</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386</v>
      </c>
      <c r="D46" s="126" t="e">
        <f>#REF!</f>
        <v>#REF!</v>
      </c>
      <c r="E46" s="126" t="e">
        <f>#REF!</f>
        <v>#REF!</v>
      </c>
      <c r="F46" s="126" t="e">
        <f>#REF!</f>
        <v>#REF!</v>
      </c>
      <c r="G46" s="126" t="e">
        <f>#REF!</f>
        <v>#REF!</v>
      </c>
      <c r="H46" s="126" t="e">
        <f>#REF!</f>
        <v>#REF!</v>
      </c>
      <c r="I46" s="126"/>
      <c r="J46" s="126"/>
      <c r="K46" s="126"/>
      <c r="L46" s="127"/>
    </row>
    <row r="47" spans="2:12" x14ac:dyDescent="0.2">
      <c r="B47" s="122" t="s">
        <v>387</v>
      </c>
      <c r="C47" s="122"/>
      <c r="D47" s="126" t="e">
        <f>#REF!</f>
        <v>#REF!</v>
      </c>
      <c r="E47" s="126" t="e">
        <f>#REF!</f>
        <v>#REF!</v>
      </c>
      <c r="F47" s="126" t="e">
        <f>#REF!</f>
        <v>#REF!</v>
      </c>
      <c r="G47" s="126" t="e">
        <f>#REF!</f>
        <v>#REF!</v>
      </c>
      <c r="H47" s="126" t="e">
        <f>#REF!</f>
        <v>#REF!</v>
      </c>
      <c r="I47" s="126"/>
      <c r="J47" s="126"/>
      <c r="K47" s="126"/>
      <c r="L47" s="124"/>
    </row>
    <row r="48" spans="2:12" x14ac:dyDescent="0.2">
      <c r="B48" s="13" t="s">
        <v>385</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167</v>
      </c>
    </row>
    <row r="2" spans="1:12" x14ac:dyDescent="0.2">
      <c r="B2" s="144" t="s">
        <v>508</v>
      </c>
      <c r="C2" s="143" t="s">
        <v>211</v>
      </c>
    </row>
    <row r="3" spans="1:12" x14ac:dyDescent="0.2">
      <c r="B3" s="144" t="s">
        <v>509</v>
      </c>
      <c r="C3" s="143" t="s">
        <v>1188</v>
      </c>
    </row>
    <row r="4" spans="1:12" x14ac:dyDescent="0.2">
      <c r="B4" s="144" t="s">
        <v>512</v>
      </c>
      <c r="C4" s="143" t="s">
        <v>1189</v>
      </c>
    </row>
    <row r="5" spans="1:12" x14ac:dyDescent="0.2">
      <c r="B5" s="144" t="s">
        <v>670</v>
      </c>
      <c r="C5" s="143" t="s">
        <v>1190</v>
      </c>
    </row>
    <row r="6" spans="1:12" x14ac:dyDescent="0.2">
      <c r="B6" s="144" t="s">
        <v>518</v>
      </c>
      <c r="C6" s="143" t="s">
        <v>708</v>
      </c>
    </row>
    <row r="7" spans="1:12" x14ac:dyDescent="0.2">
      <c r="B7" s="144" t="s">
        <v>511</v>
      </c>
      <c r="C7" s="145" t="s">
        <v>709</v>
      </c>
    </row>
    <row r="8" spans="1:12" x14ac:dyDescent="0.2">
      <c r="B8" s="144" t="s">
        <v>172</v>
      </c>
      <c r="C8" s="143" t="s">
        <v>710</v>
      </c>
      <c r="L8" s="143" t="s">
        <v>711</v>
      </c>
    </row>
    <row r="9" spans="1:12" x14ac:dyDescent="0.2">
      <c r="B9" s="144"/>
      <c r="C9" s="143" t="s">
        <v>712</v>
      </c>
    </row>
    <row r="10" spans="1:12" x14ac:dyDescent="0.2">
      <c r="B10" s="144" t="s">
        <v>177</v>
      </c>
      <c r="C10" s="146" t="s">
        <v>713</v>
      </c>
    </row>
    <row r="11" spans="1:12" x14ac:dyDescent="0.2">
      <c r="B11" s="144" t="s">
        <v>559</v>
      </c>
      <c r="C11" s="143" t="s">
        <v>714</v>
      </c>
    </row>
    <row r="12" spans="1:12" x14ac:dyDescent="0.2">
      <c r="B12" s="144" t="s">
        <v>179</v>
      </c>
      <c r="C12" s="143" t="s">
        <v>715</v>
      </c>
    </row>
    <row r="13" spans="1:12" x14ac:dyDescent="0.2">
      <c r="B13" s="144" t="s">
        <v>799</v>
      </c>
      <c r="C13" s="143" t="s">
        <v>716</v>
      </c>
    </row>
    <row r="14" spans="1:12" x14ac:dyDescent="0.2">
      <c r="B14" s="144" t="s">
        <v>554</v>
      </c>
    </row>
    <row r="15" spans="1:12" x14ac:dyDescent="0.2">
      <c r="B15" s="144"/>
      <c r="C15" s="147" t="s">
        <v>717</v>
      </c>
    </row>
    <row r="16" spans="1:12" x14ac:dyDescent="0.2">
      <c r="B16" s="144"/>
      <c r="C16" s="143" t="s">
        <v>718</v>
      </c>
    </row>
    <row r="17" spans="2:3" x14ac:dyDescent="0.2">
      <c r="B17" s="144"/>
      <c r="C17" s="143" t="s">
        <v>719</v>
      </c>
    </row>
    <row r="18" spans="2:3" x14ac:dyDescent="0.2">
      <c r="B18" s="144"/>
      <c r="C18" s="143" t="s">
        <v>720</v>
      </c>
    </row>
    <row r="19" spans="2:3" x14ac:dyDescent="0.2">
      <c r="B19" s="144"/>
    </row>
    <row r="20" spans="2:3" x14ac:dyDescent="0.2">
      <c r="B20" s="144" t="s">
        <v>721</v>
      </c>
      <c r="C20" s="143" t="s">
        <v>722</v>
      </c>
    </row>
    <row r="21" spans="2:3" x14ac:dyDescent="0.2">
      <c r="B21" s="144"/>
    </row>
    <row r="22" spans="2:3" x14ac:dyDescent="0.2">
      <c r="B22" s="144"/>
      <c r="C22" s="147" t="s">
        <v>723</v>
      </c>
    </row>
    <row r="23" spans="2:3" x14ac:dyDescent="0.2">
      <c r="B23" s="144"/>
      <c r="C23" s="143" t="s">
        <v>724</v>
      </c>
    </row>
    <row r="24" spans="2:3" x14ac:dyDescent="0.2">
      <c r="B24" s="144"/>
      <c r="C24" s="143" t="s">
        <v>725</v>
      </c>
    </row>
    <row r="25" spans="2:3" x14ac:dyDescent="0.2">
      <c r="B25" s="144"/>
    </row>
    <row r="26" spans="2:3" x14ac:dyDescent="0.2">
      <c r="B26" s="144"/>
      <c r="C26" s="147" t="s">
        <v>726</v>
      </c>
    </row>
    <row r="27" spans="2:3" x14ac:dyDescent="0.2">
      <c r="B27" s="144"/>
      <c r="C27" s="143" t="s">
        <v>727</v>
      </c>
    </row>
    <row r="28" spans="2:3" x14ac:dyDescent="0.2">
      <c r="B28" s="144"/>
      <c r="C28" s="148" t="s">
        <v>728</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729</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401</v>
      </c>
      <c r="C40" s="143" t="s">
        <v>730</v>
      </c>
    </row>
    <row r="45" spans="2:7" x14ac:dyDescent="0.2">
      <c r="C45" s="143">
        <v>2004</v>
      </c>
      <c r="D45" s="143">
        <v>2005</v>
      </c>
      <c r="E45" s="143">
        <v>2006</v>
      </c>
      <c r="F45" s="143">
        <v>2007</v>
      </c>
      <c r="G45" s="143">
        <v>2008</v>
      </c>
    </row>
    <row r="46" spans="2:7" x14ac:dyDescent="0.2">
      <c r="B46" s="143" t="s">
        <v>853</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130" zoomScaleNormal="13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167</v>
      </c>
    </row>
    <row r="2" spans="1:13" x14ac:dyDescent="0.2">
      <c r="A2" s="5"/>
      <c r="B2" s="21" t="s">
        <v>508</v>
      </c>
      <c r="C2" s="21" t="s">
        <v>202</v>
      </c>
    </row>
    <row r="3" spans="1:13" x14ac:dyDescent="0.2">
      <c r="A3" s="5"/>
      <c r="B3" s="21" t="s">
        <v>509</v>
      </c>
      <c r="C3" s="21" t="s">
        <v>1191</v>
      </c>
    </row>
    <row r="4" spans="1:13" x14ac:dyDescent="0.2">
      <c r="A4" s="5"/>
      <c r="B4" s="21" t="s">
        <v>172</v>
      </c>
      <c r="C4" s="21" t="s">
        <v>1192</v>
      </c>
    </row>
    <row r="5" spans="1:13" x14ac:dyDescent="0.2">
      <c r="A5" s="5"/>
      <c r="B5" s="21" t="s">
        <v>511</v>
      </c>
      <c r="C5" s="21" t="s">
        <v>1193</v>
      </c>
    </row>
    <row r="6" spans="1:13" x14ac:dyDescent="0.2">
      <c r="A6" s="5"/>
      <c r="B6" s="21" t="s">
        <v>512</v>
      </c>
      <c r="C6" s="21" t="s">
        <v>833</v>
      </c>
    </row>
    <row r="7" spans="1:13" x14ac:dyDescent="0.2">
      <c r="A7" s="5"/>
      <c r="B7" s="21"/>
      <c r="C7" s="21" t="s">
        <v>834</v>
      </c>
    </row>
    <row r="8" spans="1:13" x14ac:dyDescent="0.2">
      <c r="A8" s="5"/>
      <c r="B8" s="21"/>
      <c r="C8" s="21" t="s">
        <v>835</v>
      </c>
    </row>
    <row r="9" spans="1:13" x14ac:dyDescent="0.2">
      <c r="A9" s="5"/>
      <c r="B9" s="21" t="s">
        <v>177</v>
      </c>
      <c r="C9" s="131" t="s">
        <v>836</v>
      </c>
    </row>
    <row r="10" spans="1:13" x14ac:dyDescent="0.2">
      <c r="A10" s="5"/>
      <c r="B10" s="21"/>
      <c r="C10" s="131" t="s">
        <v>81</v>
      </c>
    </row>
    <row r="11" spans="1:13" x14ac:dyDescent="0.2">
      <c r="A11" s="5"/>
      <c r="B11" s="21" t="s">
        <v>516</v>
      </c>
      <c r="C11" s="21" t="s">
        <v>837</v>
      </c>
    </row>
    <row r="12" spans="1:13" x14ac:dyDescent="0.2">
      <c r="A12" s="5"/>
      <c r="B12" s="21" t="s">
        <v>518</v>
      </c>
      <c r="C12" s="21" t="s">
        <v>838</v>
      </c>
    </row>
    <row r="13" spans="1:13" x14ac:dyDescent="0.2">
      <c r="A13" s="5"/>
      <c r="B13" s="21" t="s">
        <v>179</v>
      </c>
      <c r="C13" s="21" t="s">
        <v>839</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386</v>
      </c>
      <c r="D16" s="46"/>
      <c r="E16" s="46"/>
      <c r="F16" s="46"/>
      <c r="G16" s="46"/>
      <c r="H16" s="46"/>
      <c r="I16" s="46"/>
      <c r="J16" s="46"/>
      <c r="K16" s="46"/>
    </row>
    <row r="17" spans="2:11" x14ac:dyDescent="0.2">
      <c r="B17" s="26" t="s">
        <v>387</v>
      </c>
      <c r="D17" s="46"/>
      <c r="E17" s="46"/>
      <c r="F17" s="46"/>
      <c r="G17" s="46"/>
      <c r="H17" s="46"/>
      <c r="I17" s="46"/>
      <c r="J17" s="46"/>
      <c r="K17" s="46"/>
    </row>
    <row r="18" spans="2:11" x14ac:dyDescent="0.2">
      <c r="B18" s="26" t="s">
        <v>562</v>
      </c>
      <c r="D18" s="47"/>
      <c r="E18" s="47"/>
      <c r="F18" s="47"/>
      <c r="G18" s="47"/>
      <c r="H18" s="47"/>
      <c r="I18" s="47"/>
      <c r="J18" s="47"/>
      <c r="K18" s="47"/>
    </row>
    <row r="20" spans="2:11" x14ac:dyDescent="0.2">
      <c r="B20" s="21" t="s">
        <v>840</v>
      </c>
    </row>
    <row r="21" spans="2:11" x14ac:dyDescent="0.2">
      <c r="B21" s="48" t="s">
        <v>841</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167</v>
      </c>
    </row>
    <row r="2" spans="1:3" x14ac:dyDescent="0.2">
      <c r="B2" s="8" t="s">
        <v>508</v>
      </c>
      <c r="C2" s="8" t="s">
        <v>198</v>
      </c>
    </row>
    <row r="3" spans="1:3" x14ac:dyDescent="0.2">
      <c r="B3" s="8" t="s">
        <v>509</v>
      </c>
      <c r="C3" s="8" t="s">
        <v>1194</v>
      </c>
    </row>
    <row r="4" spans="1:3" x14ac:dyDescent="0.2">
      <c r="B4" s="8" t="s">
        <v>512</v>
      </c>
      <c r="C4" s="8" t="s">
        <v>1195</v>
      </c>
    </row>
    <row r="5" spans="1:3" x14ac:dyDescent="0.2">
      <c r="B5" s="8" t="s">
        <v>670</v>
      </c>
      <c r="C5" s="8" t="s">
        <v>1196</v>
      </c>
    </row>
    <row r="6" spans="1:3" x14ac:dyDescent="0.2">
      <c r="B6" s="8" t="s">
        <v>518</v>
      </c>
      <c r="C6" s="8" t="s">
        <v>185</v>
      </c>
    </row>
    <row r="7" spans="1:3" x14ac:dyDescent="0.2">
      <c r="B7" s="8" t="s">
        <v>511</v>
      </c>
      <c r="C7" s="8" t="s">
        <v>228</v>
      </c>
    </row>
    <row r="8" spans="1:3" x14ac:dyDescent="0.2">
      <c r="B8" s="8" t="s">
        <v>554</v>
      </c>
      <c r="C8" s="8" t="s">
        <v>789</v>
      </c>
    </row>
    <row r="9" spans="1:3" x14ac:dyDescent="0.2">
      <c r="C9" s="8" t="s">
        <v>790</v>
      </c>
    </row>
    <row r="10" spans="1:3" x14ac:dyDescent="0.2">
      <c r="B10" s="8" t="s">
        <v>177</v>
      </c>
      <c r="C10" s="8" t="s">
        <v>791</v>
      </c>
    </row>
    <row r="11" spans="1:3" x14ac:dyDescent="0.2">
      <c r="B11" s="8" t="s">
        <v>559</v>
      </c>
      <c r="C11" s="8" t="s">
        <v>792</v>
      </c>
    </row>
    <row r="12" spans="1:3" x14ac:dyDescent="0.2">
      <c r="B12" s="8" t="s">
        <v>793</v>
      </c>
      <c r="C12" s="8" t="s">
        <v>794</v>
      </c>
    </row>
    <row r="18" spans="2:37" x14ac:dyDescent="0.2">
      <c r="B18" s="174"/>
      <c r="C18" s="175" t="s">
        <v>623</v>
      </c>
      <c r="D18" s="175" t="s">
        <v>603</v>
      </c>
      <c r="E18" s="175" t="s">
        <v>604</v>
      </c>
      <c r="F18" s="175" t="s">
        <v>605</v>
      </c>
      <c r="G18" s="175" t="s">
        <v>627</v>
      </c>
      <c r="H18" s="175" t="s">
        <v>603</v>
      </c>
      <c r="I18" s="175" t="s">
        <v>604</v>
      </c>
      <c r="J18" s="175" t="s">
        <v>605</v>
      </c>
      <c r="K18" s="175" t="s">
        <v>631</v>
      </c>
      <c r="L18" s="175" t="s">
        <v>603</v>
      </c>
      <c r="M18" s="175" t="s">
        <v>604</v>
      </c>
      <c r="N18" s="175" t="s">
        <v>605</v>
      </c>
      <c r="O18" s="175" t="s">
        <v>635</v>
      </c>
      <c r="P18" s="175" t="s">
        <v>603</v>
      </c>
      <c r="Q18" s="175" t="s">
        <v>604</v>
      </c>
      <c r="R18" s="175" t="s">
        <v>605</v>
      </c>
      <c r="S18" s="175" t="s">
        <v>639</v>
      </c>
      <c r="T18" s="175" t="s">
        <v>603</v>
      </c>
      <c r="U18" s="175" t="s">
        <v>604</v>
      </c>
      <c r="V18" s="175" t="s">
        <v>605</v>
      </c>
      <c r="W18" s="175" t="s">
        <v>950</v>
      </c>
      <c r="X18" s="175" t="s">
        <v>603</v>
      </c>
      <c r="Y18" s="175" t="s">
        <v>604</v>
      </c>
      <c r="Z18" s="175" t="s">
        <v>605</v>
      </c>
      <c r="AA18" s="175" t="s">
        <v>996</v>
      </c>
      <c r="AB18" s="175"/>
      <c r="AC18" s="175"/>
      <c r="AD18" s="175"/>
      <c r="AE18" s="176"/>
      <c r="AF18" s="176"/>
      <c r="AG18" s="176"/>
      <c r="AH18" s="176"/>
      <c r="AI18" s="176"/>
      <c r="AJ18" s="176"/>
      <c r="AK18" s="176"/>
    </row>
    <row r="19" spans="2:37" s="38" customFormat="1" ht="12.6" customHeight="1" x14ac:dyDescent="0.2">
      <c r="B19" s="177" t="s">
        <v>787</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606</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607</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787</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606</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607</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788</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527</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562</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167</v>
      </c>
    </row>
    <row r="2" spans="1:3" x14ac:dyDescent="0.2">
      <c r="B2" s="4" t="s">
        <v>508</v>
      </c>
      <c r="C2" s="4" t="s">
        <v>547</v>
      </c>
    </row>
    <row r="3" spans="1:3" x14ac:dyDescent="0.2">
      <c r="B3" s="4" t="s">
        <v>509</v>
      </c>
      <c r="C3" s="4" t="s">
        <v>548</v>
      </c>
    </row>
    <row r="4" spans="1:3" x14ac:dyDescent="0.2">
      <c r="B4" s="4" t="s">
        <v>512</v>
      </c>
      <c r="C4" s="4" t="s">
        <v>1197</v>
      </c>
    </row>
    <row r="5" spans="1:3" x14ac:dyDescent="0.2">
      <c r="C5" s="4" t="s">
        <v>1198</v>
      </c>
    </row>
    <row r="6" spans="1:3" x14ac:dyDescent="0.2">
      <c r="C6" s="4" t="s">
        <v>549</v>
      </c>
    </row>
    <row r="7" spans="1:3" x14ac:dyDescent="0.2">
      <c r="B7" s="4" t="s">
        <v>550</v>
      </c>
      <c r="C7" s="4" t="s">
        <v>551</v>
      </c>
    </row>
    <row r="8" spans="1:3" x14ac:dyDescent="0.2">
      <c r="B8" s="4" t="s">
        <v>518</v>
      </c>
      <c r="C8" s="4" t="s">
        <v>185</v>
      </c>
    </row>
    <row r="9" spans="1:3" x14ac:dyDescent="0.2">
      <c r="B9" s="4" t="s">
        <v>511</v>
      </c>
      <c r="C9" s="4" t="s">
        <v>552</v>
      </c>
    </row>
    <row r="10" spans="1:3" x14ac:dyDescent="0.2">
      <c r="B10" s="4" t="s">
        <v>554</v>
      </c>
      <c r="C10" s="4" t="s">
        <v>555</v>
      </c>
    </row>
    <row r="11" spans="1:3" x14ac:dyDescent="0.2">
      <c r="B11" s="4" t="s">
        <v>177</v>
      </c>
      <c r="C11" s="34" t="s">
        <v>556</v>
      </c>
    </row>
    <row r="12" spans="1:3" x14ac:dyDescent="0.2">
      <c r="C12" s="34" t="s">
        <v>557</v>
      </c>
    </row>
    <row r="13" spans="1:3" x14ac:dyDescent="0.2">
      <c r="C13" s="34" t="s">
        <v>558</v>
      </c>
    </row>
    <row r="14" spans="1:3" x14ac:dyDescent="0.2">
      <c r="B14" s="4" t="s">
        <v>559</v>
      </c>
      <c r="C14" s="4" t="s">
        <v>560</v>
      </c>
    </row>
    <row r="15" spans="1:3" x14ac:dyDescent="0.2">
      <c r="B15" s="4" t="s">
        <v>179</v>
      </c>
      <c r="C15" s="4" t="s">
        <v>561</v>
      </c>
    </row>
    <row r="17" spans="2:34" x14ac:dyDescent="0.2">
      <c r="C17" s="6" t="s">
        <v>293</v>
      </c>
      <c r="D17" s="6" t="s">
        <v>294</v>
      </c>
      <c r="E17" s="6" t="s">
        <v>295</v>
      </c>
      <c r="F17" s="6" t="s">
        <v>296</v>
      </c>
      <c r="G17" s="6" t="s">
        <v>297</v>
      </c>
      <c r="H17" s="6" t="s">
        <v>298</v>
      </c>
      <c r="I17" s="6" t="s">
        <v>299</v>
      </c>
      <c r="J17" s="6" t="s">
        <v>300</v>
      </c>
      <c r="K17" s="6" t="s">
        <v>301</v>
      </c>
      <c r="L17" s="6" t="s">
        <v>302</v>
      </c>
      <c r="M17" s="6" t="s">
        <v>303</v>
      </c>
      <c r="N17" s="6" t="s">
        <v>304</v>
      </c>
      <c r="O17" s="6" t="s">
        <v>305</v>
      </c>
      <c r="P17" s="6" t="s">
        <v>306</v>
      </c>
      <c r="Q17" s="6" t="s">
        <v>307</v>
      </c>
      <c r="R17" s="6" t="s">
        <v>308</v>
      </c>
      <c r="S17" s="6" t="s">
        <v>309</v>
      </c>
      <c r="T17" s="6" t="s">
        <v>310</v>
      </c>
      <c r="U17" s="6" t="s">
        <v>311</v>
      </c>
      <c r="V17" s="6" t="s">
        <v>312</v>
      </c>
      <c r="W17" s="6" t="s">
        <v>313</v>
      </c>
      <c r="X17" s="6" t="s">
        <v>314</v>
      </c>
      <c r="Y17" s="6" t="s">
        <v>315</v>
      </c>
      <c r="Z17" s="6" t="s">
        <v>316</v>
      </c>
      <c r="AA17" s="6" t="s">
        <v>317</v>
      </c>
      <c r="AB17" s="6" t="s">
        <v>318</v>
      </c>
      <c r="AC17" s="6" t="s">
        <v>319</v>
      </c>
      <c r="AD17" s="6" t="s">
        <v>320</v>
      </c>
      <c r="AE17" s="6" t="s">
        <v>321</v>
      </c>
      <c r="AF17" s="6" t="s">
        <v>322</v>
      </c>
      <c r="AG17" s="6" t="s">
        <v>323</v>
      </c>
      <c r="AH17" s="6" t="s">
        <v>324</v>
      </c>
    </row>
    <row r="18" spans="2:34" x14ac:dyDescent="0.2">
      <c r="B18" s="4" t="s">
        <v>386</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387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562</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563</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386</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387</v>
      </c>
      <c r="C26" s="7">
        <f>D26/1.1899</f>
        <v>437.01151357256913</v>
      </c>
      <c r="D26" s="25">
        <v>520</v>
      </c>
      <c r="E26" s="25">
        <v>604.9</v>
      </c>
      <c r="F26" s="25">
        <v>741.9</v>
      </c>
      <c r="G26" s="25">
        <v>1059</v>
      </c>
      <c r="H26" s="25">
        <v>1339</v>
      </c>
      <c r="I26" s="25">
        <v>1606</v>
      </c>
      <c r="J26" s="25"/>
      <c r="K26" s="25"/>
      <c r="L26" s="25"/>
      <c r="M26" s="25"/>
      <c r="N26" s="25"/>
    </row>
    <row r="27" spans="2:34" x14ac:dyDescent="0.2">
      <c r="B27" s="4" t="s">
        <v>562</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563</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564</v>
      </c>
    </row>
    <row r="33" spans="2:5" x14ac:dyDescent="0.2">
      <c r="B33" s="4" t="s">
        <v>565</v>
      </c>
      <c r="C33" s="6"/>
      <c r="D33" s="6" t="s">
        <v>566</v>
      </c>
      <c r="E33" s="6" t="s">
        <v>567</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3"/>
  <sheetViews>
    <sheetView workbookViewId="0">
      <pane xSplit="2" ySplit="2" topLeftCell="C19" activePane="bottomRight" state="frozen"/>
      <selection pane="topRight" activeCell="C1" sqref="C1"/>
      <selection pane="bottomLeft" activeCell="A11" sqref="A11"/>
      <selection pane="bottomRight" activeCell="E47" sqref="E47"/>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8" x14ac:dyDescent="0.2">
      <c r="A1" s="228" t="s">
        <v>167</v>
      </c>
    </row>
    <row r="2" spans="1:8" x14ac:dyDescent="0.2">
      <c r="B2" s="58" t="s">
        <v>1778</v>
      </c>
      <c r="C2" s="58" t="s">
        <v>1322</v>
      </c>
      <c r="D2" s="58" t="s">
        <v>1779</v>
      </c>
      <c r="E2" s="58" t="s">
        <v>172</v>
      </c>
      <c r="F2" s="58" t="s">
        <v>1780</v>
      </c>
      <c r="G2" s="58" t="s">
        <v>799</v>
      </c>
    </row>
    <row r="3" spans="1:8" x14ac:dyDescent="0.2">
      <c r="B3" s="58" t="s">
        <v>1847</v>
      </c>
      <c r="C3" s="58" t="s">
        <v>1613</v>
      </c>
      <c r="D3" s="58" t="s">
        <v>1695</v>
      </c>
      <c r="E3" s="58" t="s">
        <v>212</v>
      </c>
      <c r="F3" s="58" t="s">
        <v>801</v>
      </c>
      <c r="G3" s="58" t="s">
        <v>1785</v>
      </c>
    </row>
    <row r="4" spans="1:8" x14ac:dyDescent="0.2">
      <c r="B4" s="58" t="s">
        <v>1677</v>
      </c>
      <c r="C4" s="58" t="s">
        <v>1212</v>
      </c>
      <c r="E4" s="58" t="s">
        <v>1696</v>
      </c>
    </row>
    <row r="5" spans="1:8" x14ac:dyDescent="0.2">
      <c r="B5" s="58" t="s">
        <v>1684</v>
      </c>
      <c r="C5" s="58" t="s">
        <v>1680</v>
      </c>
      <c r="E5" s="58" t="s">
        <v>203</v>
      </c>
      <c r="H5" s="325"/>
    </row>
    <row r="6" spans="1:8" x14ac:dyDescent="0.2">
      <c r="B6" s="58" t="s">
        <v>1702</v>
      </c>
      <c r="C6" s="58" t="s">
        <v>1376</v>
      </c>
      <c r="E6" s="58" t="s">
        <v>1671</v>
      </c>
    </row>
    <row r="7" spans="1:8" x14ac:dyDescent="0.2">
      <c r="B7" s="58" t="s">
        <v>1674</v>
      </c>
      <c r="C7" s="58" t="s">
        <v>984</v>
      </c>
      <c r="D7" s="58" t="s">
        <v>1822</v>
      </c>
      <c r="E7" s="58" t="s">
        <v>1704</v>
      </c>
    </row>
    <row r="8" spans="1:8" x14ac:dyDescent="0.2">
      <c r="B8" s="58" t="s">
        <v>1818</v>
      </c>
      <c r="C8" s="58" t="s">
        <v>1670</v>
      </c>
      <c r="D8" s="58" t="s">
        <v>1819</v>
      </c>
      <c r="E8" s="58" t="s">
        <v>1821</v>
      </c>
      <c r="G8" s="58" t="s">
        <v>1820</v>
      </c>
    </row>
    <row r="9" spans="1:8" x14ac:dyDescent="0.2">
      <c r="B9" s="58" t="s">
        <v>1701</v>
      </c>
      <c r="C9" s="58" t="s">
        <v>868</v>
      </c>
      <c r="D9" s="58" t="s">
        <v>869</v>
      </c>
      <c r="E9" s="58" t="s">
        <v>1628</v>
      </c>
    </row>
    <row r="10" spans="1:8" x14ac:dyDescent="0.2">
      <c r="B10" s="440" t="s">
        <v>1830</v>
      </c>
      <c r="C10" s="20" t="s">
        <v>1829</v>
      </c>
      <c r="D10" s="433" t="s">
        <v>259</v>
      </c>
      <c r="E10" s="58" t="s">
        <v>1827</v>
      </c>
    </row>
    <row r="11" spans="1:8" x14ac:dyDescent="0.2">
      <c r="B11" s="440" t="s">
        <v>1839</v>
      </c>
      <c r="C11" s="20" t="s">
        <v>1665</v>
      </c>
      <c r="D11" s="20" t="s">
        <v>1840</v>
      </c>
      <c r="E11" s="20" t="s">
        <v>1842</v>
      </c>
      <c r="F11" s="58" t="s">
        <v>1841</v>
      </c>
    </row>
    <row r="12" spans="1:8" x14ac:dyDescent="0.2">
      <c r="B12" s="58" t="s">
        <v>1668</v>
      </c>
      <c r="C12" s="58" t="s">
        <v>1310</v>
      </c>
      <c r="E12" s="58" t="s">
        <v>1703</v>
      </c>
    </row>
    <row r="13" spans="1:8" x14ac:dyDescent="0.2">
      <c r="B13" s="440"/>
      <c r="C13" s="433"/>
      <c r="D13" s="433"/>
    </row>
    <row r="14" spans="1:8" x14ac:dyDescent="0.2">
      <c r="B14" s="58" t="s">
        <v>1694</v>
      </c>
    </row>
    <row r="15" spans="1:8" x14ac:dyDescent="0.2">
      <c r="B15" s="58" t="s">
        <v>1685</v>
      </c>
      <c r="C15" s="58" t="s">
        <v>1664</v>
      </c>
      <c r="D15" s="58" t="s">
        <v>1690</v>
      </c>
      <c r="E15" s="58" t="s">
        <v>1782</v>
      </c>
      <c r="F15" s="58" t="s">
        <v>1781</v>
      </c>
      <c r="G15" s="58" t="s">
        <v>1620</v>
      </c>
    </row>
    <row r="16" spans="1:8" x14ac:dyDescent="0.2">
      <c r="B16" s="58" t="s">
        <v>1395</v>
      </c>
      <c r="C16" s="58" t="s">
        <v>1659</v>
      </c>
      <c r="E16" s="58" t="s">
        <v>1609</v>
      </c>
    </row>
    <row r="17" spans="2:13" x14ac:dyDescent="0.2">
      <c r="B17" s="58" t="s">
        <v>1676</v>
      </c>
    </row>
    <row r="18" spans="2:13" x14ac:dyDescent="0.2">
      <c r="B18" s="58" t="s">
        <v>1682</v>
      </c>
    </row>
    <row r="19" spans="2:13" x14ac:dyDescent="0.2">
      <c r="D19" s="58" t="s">
        <v>1690</v>
      </c>
      <c r="E19" s="58" t="s">
        <v>212</v>
      </c>
      <c r="J19"/>
      <c r="K19"/>
      <c r="L19"/>
      <c r="M19"/>
    </row>
    <row r="20" spans="2:13" x14ac:dyDescent="0.2">
      <c r="B20" s="58" t="s">
        <v>1675</v>
      </c>
      <c r="E20" s="58" t="s">
        <v>1688</v>
      </c>
      <c r="J20"/>
      <c r="K20"/>
      <c r="L20"/>
      <c r="M20"/>
    </row>
    <row r="21" spans="2:13" x14ac:dyDescent="0.2">
      <c r="B21" s="58" t="s">
        <v>1783</v>
      </c>
      <c r="C21" s="58" t="s">
        <v>1784</v>
      </c>
      <c r="D21" s="58" t="s">
        <v>1832</v>
      </c>
      <c r="E21" s="58" t="s">
        <v>1831</v>
      </c>
      <c r="G21" s="467"/>
      <c r="H21" s="436"/>
      <c r="I21" s="436"/>
      <c r="J21"/>
      <c r="K21"/>
      <c r="L21"/>
      <c r="M21"/>
    </row>
    <row r="22" spans="2:13" x14ac:dyDescent="0.2">
      <c r="B22" s="58" t="s">
        <v>1833</v>
      </c>
      <c r="C22" s="58" t="s">
        <v>1834</v>
      </c>
      <c r="D22" s="58" t="s">
        <v>1836</v>
      </c>
      <c r="E22" s="58" t="s">
        <v>1835</v>
      </c>
      <c r="G22" s="467"/>
      <c r="H22" s="436"/>
      <c r="I22" s="436"/>
      <c r="J22"/>
      <c r="K22"/>
      <c r="L22"/>
      <c r="M22"/>
    </row>
    <row r="23" spans="2:13" x14ac:dyDescent="0.2">
      <c r="B23" s="58" t="s">
        <v>1353</v>
      </c>
      <c r="J23"/>
      <c r="K23"/>
      <c r="L23"/>
      <c r="M23"/>
    </row>
    <row r="24" spans="2:13" x14ac:dyDescent="0.2">
      <c r="B24" s="58" t="s">
        <v>1649</v>
      </c>
      <c r="E24" s="58" t="s">
        <v>1650</v>
      </c>
      <c r="J24"/>
      <c r="K24"/>
      <c r="L24"/>
      <c r="M24"/>
    </row>
    <row r="25" spans="2:13" x14ac:dyDescent="0.2">
      <c r="B25" s="58" t="s">
        <v>254</v>
      </c>
      <c r="J25"/>
      <c r="K25"/>
      <c r="L25"/>
      <c r="M25"/>
    </row>
    <row r="26" spans="2:13" x14ac:dyDescent="0.2">
      <c r="B26" s="58" t="s">
        <v>1692</v>
      </c>
      <c r="D26" s="58" t="s">
        <v>864</v>
      </c>
      <c r="J26"/>
      <c r="K26"/>
      <c r="L26"/>
      <c r="M26"/>
    </row>
    <row r="27" spans="2:13" x14ac:dyDescent="0.2">
      <c r="B27" s="58" t="s">
        <v>1485</v>
      </c>
      <c r="E27" s="58" t="s">
        <v>338</v>
      </c>
      <c r="J27" s="324"/>
      <c r="K27"/>
      <c r="L27"/>
      <c r="M27"/>
    </row>
    <row r="28" spans="2:13" x14ac:dyDescent="0.2">
      <c r="B28" s="58" t="s">
        <v>1683</v>
      </c>
      <c r="J28"/>
      <c r="K28"/>
      <c r="L28"/>
      <c r="M28"/>
    </row>
    <row r="29" spans="2:13" x14ac:dyDescent="0.2">
      <c r="B29" s="58" t="s">
        <v>1699</v>
      </c>
      <c r="J29"/>
      <c r="K29"/>
      <c r="L29"/>
      <c r="M29"/>
    </row>
    <row r="30" spans="2:13" x14ac:dyDescent="0.2">
      <c r="B30" s="58" t="s">
        <v>258</v>
      </c>
      <c r="D30" s="58" t="s">
        <v>1648</v>
      </c>
      <c r="E30" s="58" t="s">
        <v>183</v>
      </c>
      <c r="J30"/>
      <c r="K30"/>
      <c r="L30"/>
      <c r="M30"/>
    </row>
    <row r="31" spans="2:13" x14ac:dyDescent="0.2">
      <c r="B31" s="58" t="s">
        <v>1669</v>
      </c>
      <c r="E31" s="58" t="s">
        <v>1673</v>
      </c>
      <c r="J31"/>
      <c r="K31"/>
      <c r="L31"/>
      <c r="M31"/>
    </row>
    <row r="32" spans="2:13" x14ac:dyDescent="0.2">
      <c r="B32" s="58" t="s">
        <v>1488</v>
      </c>
      <c r="J32"/>
      <c r="K32"/>
      <c r="L32"/>
      <c r="M32"/>
    </row>
    <row r="33" spans="2:13" x14ac:dyDescent="0.2">
      <c r="B33" s="58" t="s">
        <v>1656</v>
      </c>
      <c r="E33" s="58" t="s">
        <v>1657</v>
      </c>
      <c r="J33"/>
      <c r="K33"/>
      <c r="L33"/>
      <c r="M33"/>
    </row>
    <row r="34" spans="2:13" x14ac:dyDescent="0.2">
      <c r="B34" s="58" t="s">
        <v>1375</v>
      </c>
      <c r="D34" s="58" t="s">
        <v>1856</v>
      </c>
      <c r="E34" s="58" t="s">
        <v>1855</v>
      </c>
      <c r="J34"/>
      <c r="K34"/>
      <c r="L34"/>
      <c r="M34"/>
    </row>
    <row r="35" spans="2:13" x14ac:dyDescent="0.2">
      <c r="B35" s="58" t="s">
        <v>1651</v>
      </c>
    </row>
    <row r="36" spans="2:13" x14ac:dyDescent="0.2">
      <c r="B36" s="58" t="s">
        <v>1384</v>
      </c>
      <c r="E36" s="58" t="s">
        <v>1681</v>
      </c>
    </row>
    <row r="37" spans="2:13" x14ac:dyDescent="0.2">
      <c r="B37" s="58" t="s">
        <v>1486</v>
      </c>
      <c r="D37" s="58" t="s">
        <v>1658</v>
      </c>
      <c r="E37" s="58" t="s">
        <v>1667</v>
      </c>
    </row>
    <row r="38" spans="2:13" x14ac:dyDescent="0.2">
      <c r="B38" s="58" t="s">
        <v>1689</v>
      </c>
      <c r="E38" s="58" t="s">
        <v>1698</v>
      </c>
    </row>
    <row r="39" spans="2:13" x14ac:dyDescent="0.2">
      <c r="B39" s="58" t="s">
        <v>1655</v>
      </c>
    </row>
    <row r="40" spans="2:13" x14ac:dyDescent="0.2">
      <c r="B40" s="58" t="s">
        <v>1679</v>
      </c>
      <c r="E40" s="58" t="s">
        <v>256</v>
      </c>
    </row>
    <row r="41" spans="2:13" x14ac:dyDescent="0.2">
      <c r="B41" s="58" t="s">
        <v>1700</v>
      </c>
      <c r="E41" s="58" t="s">
        <v>338</v>
      </c>
    </row>
    <row r="42" spans="2:13" x14ac:dyDescent="0.2">
      <c r="B42" s="58" t="s">
        <v>1691</v>
      </c>
      <c r="E42" s="58" t="s">
        <v>1688</v>
      </c>
    </row>
    <row r="43" spans="2:13" x14ac:dyDescent="0.2">
      <c r="B43" s="58" t="s">
        <v>1687</v>
      </c>
      <c r="E43" s="58" t="s">
        <v>1484</v>
      </c>
    </row>
    <row r="44" spans="2:13" x14ac:dyDescent="0.2">
      <c r="B44" s="58" t="s">
        <v>1849</v>
      </c>
      <c r="C44" s="58" t="s">
        <v>1846</v>
      </c>
      <c r="D44" s="58" t="s">
        <v>1850</v>
      </c>
      <c r="E44" s="58" t="s">
        <v>1697</v>
      </c>
      <c r="F44" s="58" t="s">
        <v>1851</v>
      </c>
    </row>
    <row r="45" spans="2:13" x14ac:dyDescent="0.2">
      <c r="B45" s="58" t="s">
        <v>1632</v>
      </c>
      <c r="E45" s="58" t="s">
        <v>1622</v>
      </c>
    </row>
    <row r="46" spans="2:13" x14ac:dyDescent="0.2">
      <c r="B46" s="58" t="s">
        <v>1693</v>
      </c>
    </row>
    <row r="47" spans="2:13" x14ac:dyDescent="0.2">
      <c r="B47" s="58" t="s">
        <v>1848</v>
      </c>
      <c r="C47" s="58" t="s">
        <v>1686</v>
      </c>
    </row>
    <row r="48" spans="2:13" x14ac:dyDescent="0.2">
      <c r="B48" s="58" t="s">
        <v>1660</v>
      </c>
      <c r="C48" s="58" t="s">
        <v>1661</v>
      </c>
    </row>
    <row r="49" spans="2:5" x14ac:dyDescent="0.2">
      <c r="B49" s="58" t="s">
        <v>1662</v>
      </c>
      <c r="D49" s="58" t="s">
        <v>1663</v>
      </c>
    </row>
    <row r="50" spans="2:5" x14ac:dyDescent="0.2">
      <c r="B50" s="58" t="s">
        <v>243</v>
      </c>
      <c r="E50" s="58" t="s">
        <v>233</v>
      </c>
    </row>
    <row r="51" spans="2:5" x14ac:dyDescent="0.2">
      <c r="B51" s="58" t="s">
        <v>1672</v>
      </c>
    </row>
    <row r="52" spans="2:5" x14ac:dyDescent="0.2">
      <c r="C52" s="58" t="s">
        <v>1621</v>
      </c>
      <c r="E52" s="58" t="s">
        <v>1622</v>
      </c>
    </row>
    <row r="53" spans="2:5" x14ac:dyDescent="0.2">
      <c r="C53" s="58" t="s">
        <v>1665</v>
      </c>
      <c r="E53" s="58" t="s">
        <v>1666</v>
      </c>
    </row>
    <row r="54" spans="2:5" x14ac:dyDescent="0.2">
      <c r="C54" s="58" t="s">
        <v>1678</v>
      </c>
      <c r="E54" s="58" t="s">
        <v>1705</v>
      </c>
    </row>
    <row r="56" spans="2:5" x14ac:dyDescent="0.2">
      <c r="B56" t="s">
        <v>1276</v>
      </c>
    </row>
    <row r="57" spans="2:5" x14ac:dyDescent="0.2">
      <c r="B57" t="s">
        <v>1277</v>
      </c>
    </row>
    <row r="58" spans="2:5" x14ac:dyDescent="0.2">
      <c r="B58" t="s">
        <v>1278</v>
      </c>
    </row>
    <row r="59" spans="2:5" x14ac:dyDescent="0.2">
      <c r="B59" t="s">
        <v>1353</v>
      </c>
    </row>
    <row r="60" spans="2:5" x14ac:dyDescent="0.2">
      <c r="B60" t="s">
        <v>1389</v>
      </c>
    </row>
    <row r="61" spans="2:5" x14ac:dyDescent="0.2">
      <c r="B61" t="s">
        <v>1390</v>
      </c>
    </row>
    <row r="62" spans="2:5" x14ac:dyDescent="0.2">
      <c r="B62" t="s">
        <v>1391</v>
      </c>
    </row>
    <row r="63" spans="2:5" x14ac:dyDescent="0.2">
      <c r="B63" t="s">
        <v>1392</v>
      </c>
    </row>
  </sheetData>
  <sortState xmlns:xlrd2="http://schemas.microsoft.com/office/spreadsheetml/2017/richdata2" ref="B14:E54">
    <sortCondition ref="B14:B54"/>
  </sortState>
  <hyperlinks>
    <hyperlink ref="A1" location="Main!A1" display="Main" xr:uid="{F54B6BB6-F7A2-4FF6-9B6A-07DD022BF6E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1561</v>
      </c>
    </row>
    <row r="3" spans="1:3" x14ac:dyDescent="0.2">
      <c r="B3" t="s">
        <v>509</v>
      </c>
      <c r="C3" t="s">
        <v>761</v>
      </c>
    </row>
    <row r="4" spans="1:3" x14ac:dyDescent="0.2">
      <c r="B4" t="s">
        <v>512</v>
      </c>
      <c r="C4" t="s">
        <v>1477</v>
      </c>
    </row>
    <row r="5" spans="1:3" x14ac:dyDescent="0.2">
      <c r="B5" t="s">
        <v>799</v>
      </c>
      <c r="C5" t="s">
        <v>1478</v>
      </c>
    </row>
    <row r="6" spans="1:3" x14ac:dyDescent="0.2">
      <c r="B6" t="s">
        <v>804</v>
      </c>
    </row>
    <row r="7" spans="1:3" x14ac:dyDescent="0.2">
      <c r="C7" s="324" t="s">
        <v>1479</v>
      </c>
    </row>
    <row r="8" spans="1:3" x14ac:dyDescent="0.2">
      <c r="C8" t="s">
        <v>1480</v>
      </c>
    </row>
  </sheetData>
  <hyperlinks>
    <hyperlink ref="A1" location="Main!A1" display="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167</v>
      </c>
    </row>
    <row r="2" spans="1:3" x14ac:dyDescent="0.2">
      <c r="B2" s="21" t="s">
        <v>508</v>
      </c>
      <c r="C2" s="21" t="s">
        <v>842</v>
      </c>
    </row>
    <row r="3" spans="1:3" x14ac:dyDescent="0.2">
      <c r="B3" s="21" t="s">
        <v>509</v>
      </c>
      <c r="C3" s="21" t="s">
        <v>1199</v>
      </c>
    </row>
    <row r="4" spans="1:3" x14ac:dyDescent="0.2">
      <c r="B4" s="21" t="s">
        <v>511</v>
      </c>
      <c r="C4" s="21" t="s">
        <v>1200</v>
      </c>
    </row>
    <row r="5" spans="1:3" x14ac:dyDescent="0.2">
      <c r="B5" s="21" t="s">
        <v>172</v>
      </c>
      <c r="C5" s="21" t="s">
        <v>205</v>
      </c>
    </row>
    <row r="6" spans="1:3" x14ac:dyDescent="0.2">
      <c r="B6" s="21" t="s">
        <v>512</v>
      </c>
      <c r="C6" s="21" t="s">
        <v>843</v>
      </c>
    </row>
    <row r="7" spans="1:3" x14ac:dyDescent="0.2">
      <c r="B7" s="21" t="s">
        <v>801</v>
      </c>
      <c r="C7" s="49" t="s">
        <v>844</v>
      </c>
    </row>
    <row r="8" spans="1:3" x14ac:dyDescent="0.2">
      <c r="B8" s="21" t="s">
        <v>179</v>
      </c>
      <c r="C8" s="21" t="s">
        <v>845</v>
      </c>
    </row>
    <row r="9" spans="1:3" x14ac:dyDescent="0.2">
      <c r="B9" s="21" t="s">
        <v>177</v>
      </c>
      <c r="C9" s="21" t="s">
        <v>846</v>
      </c>
    </row>
    <row r="10" spans="1:3" x14ac:dyDescent="0.2">
      <c r="B10" s="21"/>
      <c r="C10" s="21" t="s">
        <v>847</v>
      </c>
    </row>
    <row r="11" spans="1:3" x14ac:dyDescent="0.2">
      <c r="B11" s="21"/>
      <c r="C11" s="5" t="s">
        <v>848</v>
      </c>
    </row>
    <row r="12" spans="1:3" x14ac:dyDescent="0.2">
      <c r="B12" s="21" t="s">
        <v>799</v>
      </c>
      <c r="C12" s="50">
        <v>1</v>
      </c>
    </row>
    <row r="13" spans="1:3" x14ac:dyDescent="0.2">
      <c r="B13" s="21" t="s">
        <v>554</v>
      </c>
      <c r="C13" s="21"/>
    </row>
    <row r="14" spans="1:3" x14ac:dyDescent="0.2">
      <c r="B14" s="21"/>
      <c r="C14" s="43" t="s">
        <v>849</v>
      </c>
    </row>
    <row r="15" spans="1:3" x14ac:dyDescent="0.2">
      <c r="B15" s="21"/>
      <c r="C15" s="21" t="s">
        <v>850</v>
      </c>
    </row>
    <row r="16" spans="1:3" x14ac:dyDescent="0.2">
      <c r="B16" s="21"/>
      <c r="C16" s="21" t="s">
        <v>851</v>
      </c>
    </row>
    <row r="17" spans="2:13" x14ac:dyDescent="0.2">
      <c r="B17" s="21"/>
      <c r="C17" s="21" t="s">
        <v>852</v>
      </c>
    </row>
    <row r="18" spans="2:13" x14ac:dyDescent="0.2">
      <c r="B18" s="21"/>
      <c r="C18" s="21"/>
    </row>
    <row r="19" spans="2:13" x14ac:dyDescent="0.2">
      <c r="B19" s="21"/>
      <c r="C19" s="21"/>
    </row>
    <row r="20" spans="2:13" x14ac:dyDescent="0.2">
      <c r="B20" s="21" t="s">
        <v>565</v>
      </c>
      <c r="D20" s="9" t="s">
        <v>566</v>
      </c>
      <c r="E20" s="9" t="s">
        <v>567</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386</v>
      </c>
      <c r="F27" s="27" t="e">
        <f>+#REF!</f>
        <v>#REF!</v>
      </c>
      <c r="G27" s="27" t="e">
        <f>+#REF!</f>
        <v>#REF!</v>
      </c>
      <c r="H27" s="27" t="e">
        <f>+#REF!</f>
        <v>#REF!</v>
      </c>
      <c r="I27" s="27"/>
      <c r="J27" s="27"/>
      <c r="K27" s="27"/>
    </row>
    <row r="28" spans="2:13" x14ac:dyDescent="0.2">
      <c r="B28" s="9" t="s">
        <v>387</v>
      </c>
      <c r="E28" s="46"/>
      <c r="F28" s="41" t="e">
        <f>+#REF!</f>
        <v>#REF!</v>
      </c>
      <c r="G28" s="41" t="e">
        <f>+#REF!</f>
        <v>#REF!</v>
      </c>
      <c r="H28" s="41" t="e">
        <f>+#REF!</f>
        <v>#REF!</v>
      </c>
      <c r="I28" s="41"/>
      <c r="J28" s="41"/>
      <c r="K28" s="41"/>
      <c r="L28" s="46"/>
    </row>
    <row r="29" spans="2:13" x14ac:dyDescent="0.2">
      <c r="B29" s="9" t="s">
        <v>562</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167</v>
      </c>
    </row>
    <row r="2" spans="1:3" x14ac:dyDescent="0.2">
      <c r="B2" s="53" t="s">
        <v>508</v>
      </c>
      <c r="C2" s="53" t="s">
        <v>1201</v>
      </c>
    </row>
    <row r="3" spans="1:3" x14ac:dyDescent="0.2">
      <c r="B3" s="53" t="s">
        <v>177</v>
      </c>
      <c r="C3" s="53" t="s">
        <v>914</v>
      </c>
    </row>
    <row r="4" spans="1:3" x14ac:dyDescent="0.2">
      <c r="C4" s="53" t="s">
        <v>915</v>
      </c>
    </row>
    <row r="5" spans="1:3" x14ac:dyDescent="0.2">
      <c r="B5" s="53" t="s">
        <v>916</v>
      </c>
      <c r="C5" s="53" t="s">
        <v>926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167</v>
      </c>
    </row>
    <row r="2" spans="1:3" x14ac:dyDescent="0.2">
      <c r="B2" s="144" t="s">
        <v>508</v>
      </c>
      <c r="C2" s="151" t="s">
        <v>225</v>
      </c>
    </row>
    <row r="3" spans="1:3" x14ac:dyDescent="0.2">
      <c r="B3" s="144" t="s">
        <v>509</v>
      </c>
      <c r="C3" s="151" t="s">
        <v>1202</v>
      </c>
    </row>
    <row r="4" spans="1:3" x14ac:dyDescent="0.2">
      <c r="B4" s="144" t="s">
        <v>512</v>
      </c>
      <c r="C4" s="151" t="s">
        <v>1203</v>
      </c>
    </row>
    <row r="5" spans="1:3" x14ac:dyDescent="0.2">
      <c r="B5" s="144" t="s">
        <v>670</v>
      </c>
      <c r="C5" s="151" t="s">
        <v>1204</v>
      </c>
    </row>
    <row r="6" spans="1:3" x14ac:dyDescent="0.2">
      <c r="B6" s="144" t="s">
        <v>518</v>
      </c>
      <c r="C6" s="151" t="s">
        <v>182</v>
      </c>
    </row>
    <row r="7" spans="1:3" x14ac:dyDescent="0.2">
      <c r="B7" s="144" t="s">
        <v>511</v>
      </c>
      <c r="C7" s="151" t="s">
        <v>731</v>
      </c>
    </row>
    <row r="8" spans="1:3" x14ac:dyDescent="0.2">
      <c r="B8" s="144" t="s">
        <v>172</v>
      </c>
      <c r="C8" s="151" t="s">
        <v>732</v>
      </c>
    </row>
    <row r="9" spans="1:3" x14ac:dyDescent="0.2">
      <c r="B9" s="144" t="s">
        <v>177</v>
      </c>
      <c r="C9" s="151" t="s">
        <v>733</v>
      </c>
    </row>
    <row r="10" spans="1:3" x14ac:dyDescent="0.2">
      <c r="B10" s="144" t="s">
        <v>559</v>
      </c>
      <c r="C10" s="152" t="s">
        <v>736</v>
      </c>
    </row>
    <row r="11" spans="1:3" x14ac:dyDescent="0.2">
      <c r="B11" s="144" t="s">
        <v>179</v>
      </c>
      <c r="C11" s="151" t="s">
        <v>737</v>
      </c>
    </row>
    <row r="12" spans="1:3" x14ac:dyDescent="0.2">
      <c r="B12" s="144" t="s">
        <v>799</v>
      </c>
      <c r="C12" s="151" t="s">
        <v>738</v>
      </c>
    </row>
    <row r="13" spans="1:3" x14ac:dyDescent="0.2">
      <c r="B13" s="144" t="s">
        <v>554</v>
      </c>
    </row>
    <row r="14" spans="1:3" x14ac:dyDescent="0.2">
      <c r="C14" s="151" t="s">
        <v>739</v>
      </c>
    </row>
    <row r="17" spans="3:16" x14ac:dyDescent="0.2">
      <c r="C17" s="151" t="s">
        <v>310</v>
      </c>
      <c r="D17" s="6" t="s">
        <v>311</v>
      </c>
      <c r="E17" s="6" t="s">
        <v>312</v>
      </c>
      <c r="F17" s="6" t="s">
        <v>927</v>
      </c>
      <c r="K17" s="6" t="s">
        <v>928</v>
      </c>
      <c r="P17" s="6" t="s">
        <v>929</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930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1178</v>
      </c>
    </row>
    <row r="3" spans="1:3" x14ac:dyDescent="0.2">
      <c r="B3" s="4" t="s">
        <v>509</v>
      </c>
      <c r="C3" s="4" t="s">
        <v>1205</v>
      </c>
    </row>
    <row r="4" spans="1:3" x14ac:dyDescent="0.2">
      <c r="B4" s="4" t="s">
        <v>512</v>
      </c>
      <c r="C4" s="4" t="s">
        <v>1206</v>
      </c>
    </row>
    <row r="5" spans="1:3" x14ac:dyDescent="0.2">
      <c r="B5" s="4" t="s">
        <v>518</v>
      </c>
      <c r="C5" s="4" t="s">
        <v>1207</v>
      </c>
    </row>
    <row r="6" spans="1:3" x14ac:dyDescent="0.2">
      <c r="B6" s="4" t="s">
        <v>172</v>
      </c>
      <c r="C6" s="4" t="s">
        <v>233</v>
      </c>
    </row>
    <row r="7" spans="1:3" x14ac:dyDescent="0.2">
      <c r="B7" s="4" t="s">
        <v>177</v>
      </c>
      <c r="C7" s="4" t="s">
        <v>1101</v>
      </c>
    </row>
    <row r="8" spans="1:3" x14ac:dyDescent="0.2">
      <c r="B8" s="4" t="s">
        <v>550</v>
      </c>
      <c r="C8" s="4" t="s">
        <v>1102</v>
      </c>
    </row>
    <row r="9" spans="1:3" x14ac:dyDescent="0.2">
      <c r="B9" s="4" t="s">
        <v>559</v>
      </c>
      <c r="C9" s="4" t="s">
        <v>1103</v>
      </c>
    </row>
    <row r="10" spans="1:3" x14ac:dyDescent="0.2">
      <c r="B10" s="4" t="s">
        <v>935</v>
      </c>
      <c r="C10" s="4" t="s">
        <v>1104</v>
      </c>
    </row>
    <row r="11" spans="1:3" x14ac:dyDescent="0.2">
      <c r="B11" s="4" t="s">
        <v>1105</v>
      </c>
      <c r="C11" s="4" t="s">
        <v>1106</v>
      </c>
    </row>
    <row r="12" spans="1:3" x14ac:dyDescent="0.2">
      <c r="B12" s="4" t="s">
        <v>554</v>
      </c>
    </row>
    <row r="13" spans="1:3" x14ac:dyDescent="0.2">
      <c r="C13" s="70" t="s">
        <v>1107</v>
      </c>
    </row>
    <row r="14" spans="1:3" x14ac:dyDescent="0.2">
      <c r="C14" s="37" t="s">
        <v>1108</v>
      </c>
    </row>
    <row r="15" spans="1:3" x14ac:dyDescent="0.2">
      <c r="C15" s="4" t="s">
        <v>1110</v>
      </c>
    </row>
    <row r="16" spans="1:3" x14ac:dyDescent="0.2">
      <c r="C16" s="4" t="s">
        <v>1111</v>
      </c>
    </row>
    <row r="17" spans="3:8" x14ac:dyDescent="0.2">
      <c r="C17" s="4" t="s">
        <v>1112</v>
      </c>
    </row>
    <row r="19" spans="3:8" x14ac:dyDescent="0.2">
      <c r="C19" s="70" t="s">
        <v>1113</v>
      </c>
    </row>
    <row r="20" spans="3:8" x14ac:dyDescent="0.2">
      <c r="C20" s="4" t="s">
        <v>1114</v>
      </c>
    </row>
    <row r="21" spans="3:8" x14ac:dyDescent="0.2">
      <c r="C21" s="4" t="s">
        <v>1115</v>
      </c>
    </row>
    <row r="24" spans="3:8" x14ac:dyDescent="0.2">
      <c r="C24" s="70" t="s">
        <v>1116</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1269</v>
      </c>
    </row>
    <row r="3" spans="1:3" x14ac:dyDescent="0.2">
      <c r="B3" s="4" t="s">
        <v>509</v>
      </c>
      <c r="C3" s="4" t="s">
        <v>1270</v>
      </c>
    </row>
    <row r="4" spans="1:3" x14ac:dyDescent="0.2">
      <c r="B4" s="4" t="s">
        <v>512</v>
      </c>
      <c r="C4" s="4" t="s">
        <v>1208</v>
      </c>
    </row>
    <row r="5" spans="1:3" x14ac:dyDescent="0.2">
      <c r="C5" s="4" t="s">
        <v>1209</v>
      </c>
    </row>
    <row r="6" spans="1:3" x14ac:dyDescent="0.2">
      <c r="B6" s="4" t="s">
        <v>518</v>
      </c>
      <c r="C6" s="4" t="s">
        <v>185</v>
      </c>
    </row>
    <row r="7" spans="1:3" x14ac:dyDescent="0.2">
      <c r="B7" s="4" t="s">
        <v>172</v>
      </c>
      <c r="C7" s="4" t="s">
        <v>233</v>
      </c>
    </row>
    <row r="8" spans="1:3" x14ac:dyDescent="0.2">
      <c r="B8" s="4" t="s">
        <v>177</v>
      </c>
      <c r="C8" s="4" t="s">
        <v>1273</v>
      </c>
    </row>
    <row r="9" spans="1:3" x14ac:dyDescent="0.2">
      <c r="B9" s="4" t="s">
        <v>793</v>
      </c>
      <c r="C9" s="4" t="s">
        <v>1071</v>
      </c>
    </row>
    <row r="10" spans="1:3" x14ac:dyDescent="0.2">
      <c r="B10" s="4" t="s">
        <v>559</v>
      </c>
      <c r="C10" s="4" t="s">
        <v>1072</v>
      </c>
    </row>
    <row r="11" spans="1:3" x14ac:dyDescent="0.2">
      <c r="B11" s="4" t="s">
        <v>935</v>
      </c>
      <c r="C11" s="4" t="s">
        <v>1272</v>
      </c>
    </row>
    <row r="12" spans="1:3" x14ac:dyDescent="0.2">
      <c r="B12" s="4" t="s">
        <v>336</v>
      </c>
      <c r="C12" s="4" t="s">
        <v>1073</v>
      </c>
    </row>
    <row r="13" spans="1:3" x14ac:dyDescent="0.2">
      <c r="B13" s="4" t="s">
        <v>554</v>
      </c>
    </row>
    <row r="14" spans="1:3" x14ac:dyDescent="0.2">
      <c r="C14" s="4" t="s">
        <v>1074</v>
      </c>
    </row>
    <row r="15" spans="1:3" x14ac:dyDescent="0.2">
      <c r="C15" s="4" t="s">
        <v>1075</v>
      </c>
    </row>
    <row r="16" spans="1:3" x14ac:dyDescent="0.2">
      <c r="C16" s="4" t="s">
        <v>1076</v>
      </c>
    </row>
    <row r="17" spans="2:11" x14ac:dyDescent="0.2">
      <c r="C17" s="4" t="s">
        <v>1077</v>
      </c>
    </row>
    <row r="18" spans="2:11" x14ac:dyDescent="0.2">
      <c r="C18" s="4" t="s">
        <v>1079</v>
      </c>
    </row>
    <row r="19" spans="2:11" x14ac:dyDescent="0.2">
      <c r="D19" s="4" t="s">
        <v>1080</v>
      </c>
    </row>
    <row r="20" spans="2:11" x14ac:dyDescent="0.2">
      <c r="C20" s="4" t="s">
        <v>1081</v>
      </c>
    </row>
    <row r="21" spans="2:11" x14ac:dyDescent="0.2">
      <c r="D21" s="4" t="s">
        <v>1082</v>
      </c>
      <c r="F21" s="15">
        <v>1</v>
      </c>
      <c r="G21" s="15">
        <v>2</v>
      </c>
      <c r="H21" s="15">
        <v>3</v>
      </c>
    </row>
    <row r="22" spans="2:11" x14ac:dyDescent="0.2">
      <c r="C22" s="4" t="s">
        <v>1083</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1084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1271</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234</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167</v>
      </c>
    </row>
    <row r="2" spans="1:5" x14ac:dyDescent="0.2">
      <c r="A2" s="155"/>
      <c r="B2" s="156" t="s">
        <v>740</v>
      </c>
      <c r="C2" s="157" t="s">
        <v>741</v>
      </c>
    </row>
    <row r="3" spans="1:5" x14ac:dyDescent="0.2">
      <c r="A3" s="155"/>
      <c r="B3" s="156" t="s">
        <v>518</v>
      </c>
      <c r="C3" s="156" t="s">
        <v>742</v>
      </c>
    </row>
    <row r="4" spans="1:5" x14ac:dyDescent="0.2">
      <c r="A4" s="155"/>
      <c r="C4" s="157" t="s">
        <v>1210</v>
      </c>
    </row>
    <row r="5" spans="1:5" x14ac:dyDescent="0.2">
      <c r="A5" s="155"/>
      <c r="B5" s="156" t="s">
        <v>177</v>
      </c>
      <c r="C5" s="157" t="s">
        <v>1211</v>
      </c>
    </row>
    <row r="6" spans="1:5" x14ac:dyDescent="0.2">
      <c r="A6" s="155"/>
      <c r="C6" s="157"/>
      <c r="E6" s="157"/>
    </row>
    <row r="7" spans="1:5" x14ac:dyDescent="0.2">
      <c r="A7" s="155"/>
      <c r="B7" s="156" t="s">
        <v>743</v>
      </c>
      <c r="C7" s="157" t="s">
        <v>741</v>
      </c>
    </row>
    <row r="8" spans="1:5" x14ac:dyDescent="0.2">
      <c r="A8" s="155"/>
      <c r="B8" s="156" t="s">
        <v>518</v>
      </c>
      <c r="C8" s="156" t="s">
        <v>742</v>
      </c>
      <c r="E8" s="157"/>
    </row>
    <row r="9" spans="1:5" x14ac:dyDescent="0.2">
      <c r="A9" s="155"/>
      <c r="C9" s="157" t="s">
        <v>744</v>
      </c>
      <c r="E9" s="157"/>
    </row>
    <row r="10" spans="1:5" x14ac:dyDescent="0.2">
      <c r="A10" s="155"/>
      <c r="B10" s="156" t="s">
        <v>177</v>
      </c>
      <c r="C10" s="156" t="s">
        <v>745</v>
      </c>
      <c r="E10" s="157"/>
    </row>
    <row r="11" spans="1:5" x14ac:dyDescent="0.2">
      <c r="A11" s="155"/>
      <c r="C11" s="157"/>
      <c r="E11" s="157"/>
    </row>
    <row r="12" spans="1:5" x14ac:dyDescent="0.2">
      <c r="A12" s="155"/>
      <c r="B12" s="156" t="s">
        <v>746</v>
      </c>
      <c r="C12" s="157" t="s">
        <v>741</v>
      </c>
    </row>
    <row r="13" spans="1:5" x14ac:dyDescent="0.2">
      <c r="A13" s="155"/>
      <c r="B13" s="156" t="s">
        <v>518</v>
      </c>
      <c r="C13" s="156" t="s">
        <v>742</v>
      </c>
      <c r="E13" s="157"/>
    </row>
    <row r="14" spans="1:5" x14ac:dyDescent="0.2">
      <c r="A14" s="155"/>
      <c r="C14" s="157" t="s">
        <v>747</v>
      </c>
      <c r="E14" s="157"/>
    </row>
    <row r="15" spans="1:5" x14ac:dyDescent="0.2">
      <c r="A15" s="155"/>
      <c r="B15" s="156" t="s">
        <v>177</v>
      </c>
      <c r="C15" s="157" t="s">
        <v>748</v>
      </c>
      <c r="E15" s="157"/>
    </row>
    <row r="16" spans="1:5" x14ac:dyDescent="0.2">
      <c r="A16" s="155"/>
      <c r="C16" s="157"/>
      <c r="E16" s="157"/>
    </row>
    <row r="17" spans="1:10" x14ac:dyDescent="0.2">
      <c r="A17" s="155"/>
      <c r="B17" s="156" t="s">
        <v>749</v>
      </c>
      <c r="C17" s="157" t="s">
        <v>750</v>
      </c>
    </row>
    <row r="18" spans="1:10" x14ac:dyDescent="0.2">
      <c r="B18" s="156" t="s">
        <v>518</v>
      </c>
      <c r="C18" s="158" t="s">
        <v>742</v>
      </c>
    </row>
    <row r="19" spans="1:10" x14ac:dyDescent="0.2">
      <c r="C19" s="158" t="s">
        <v>751</v>
      </c>
    </row>
    <row r="20" spans="1:10" x14ac:dyDescent="0.2">
      <c r="B20" s="156" t="s">
        <v>177</v>
      </c>
      <c r="C20" s="158" t="s">
        <v>752</v>
      </c>
    </row>
    <row r="22" spans="1:10" x14ac:dyDescent="0.2">
      <c r="B22" s="156" t="s">
        <v>753</v>
      </c>
      <c r="C22" s="157" t="s">
        <v>770</v>
      </c>
    </row>
    <row r="23" spans="1:10" x14ac:dyDescent="0.2">
      <c r="B23" s="156" t="s">
        <v>518</v>
      </c>
      <c r="C23" s="156" t="s">
        <v>771</v>
      </c>
      <c r="E23" s="157"/>
    </row>
    <row r="24" spans="1:10" x14ac:dyDescent="0.2">
      <c r="C24" s="157" t="s">
        <v>772</v>
      </c>
      <c r="E24" s="157"/>
    </row>
    <row r="25" spans="1:10" x14ac:dyDescent="0.2">
      <c r="B25" s="156" t="s">
        <v>177</v>
      </c>
      <c r="C25" s="157" t="s">
        <v>773</v>
      </c>
    </row>
    <row r="27" spans="1:10" x14ac:dyDescent="0.2">
      <c r="B27" s="159" t="s">
        <v>351</v>
      </c>
      <c r="C27" s="160">
        <v>2001</v>
      </c>
      <c r="D27" s="160">
        <v>2002</v>
      </c>
      <c r="E27" s="160">
        <v>2003</v>
      </c>
      <c r="F27" s="160">
        <v>2004</v>
      </c>
      <c r="G27" s="160">
        <v>2005</v>
      </c>
      <c r="H27" s="161">
        <v>2006</v>
      </c>
      <c r="I27" s="161">
        <v>2007</v>
      </c>
      <c r="J27" s="162"/>
    </row>
    <row r="28" spans="1:10" s="159" customFormat="1" ht="12.6" customHeight="1" x14ac:dyDescent="0.2">
      <c r="B28" s="159" t="s">
        <v>386</v>
      </c>
      <c r="C28" s="163"/>
      <c r="D28" s="163" t="e">
        <f>#REF!</f>
        <v>#REF!</v>
      </c>
      <c r="E28" s="163" t="e">
        <f>#REF!</f>
        <v>#REF!</v>
      </c>
      <c r="F28" s="163" t="e">
        <f>#REF!</f>
        <v>#REF!</v>
      </c>
      <c r="G28" s="164">
        <v>920</v>
      </c>
      <c r="H28" s="164">
        <v>781</v>
      </c>
      <c r="I28" s="164">
        <v>662</v>
      </c>
      <c r="J28" s="165"/>
    </row>
    <row r="29" spans="1:10" x14ac:dyDescent="0.2">
      <c r="B29" s="156" t="s">
        <v>387</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1056</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991</v>
      </c>
    </row>
    <row r="3" spans="1:3" x14ac:dyDescent="0.2">
      <c r="B3" s="4" t="s">
        <v>509</v>
      </c>
      <c r="C3" s="4" t="s">
        <v>984</v>
      </c>
    </row>
    <row r="4" spans="1:3" x14ac:dyDescent="0.2">
      <c r="B4" s="4" t="s">
        <v>172</v>
      </c>
      <c r="C4" s="4" t="s">
        <v>418</v>
      </c>
    </row>
    <row r="5" spans="1:3" x14ac:dyDescent="0.2">
      <c r="B5" s="4" t="s">
        <v>419</v>
      </c>
      <c r="C5" s="4" t="s">
        <v>1220</v>
      </c>
    </row>
    <row r="6" spans="1:3" x14ac:dyDescent="0.2">
      <c r="B6" s="4" t="s">
        <v>177</v>
      </c>
      <c r="C6" s="4" t="s">
        <v>1177</v>
      </c>
    </row>
    <row r="7" spans="1:3" x14ac:dyDescent="0.2">
      <c r="B7" s="4" t="s">
        <v>512</v>
      </c>
      <c r="C7" s="4" t="s">
        <v>422</v>
      </c>
    </row>
    <row r="8" spans="1:3" x14ac:dyDescent="0.2">
      <c r="B8" s="4" t="s">
        <v>550</v>
      </c>
      <c r="C8" s="4" t="s">
        <v>423</v>
      </c>
    </row>
    <row r="9" spans="1:3" x14ac:dyDescent="0.2">
      <c r="B9" s="4" t="s">
        <v>559</v>
      </c>
      <c r="C9" s="4" t="s">
        <v>421</v>
      </c>
    </row>
    <row r="10" spans="1:3" x14ac:dyDescent="0.2">
      <c r="B10" s="4" t="s">
        <v>935</v>
      </c>
      <c r="C10" s="4" t="s">
        <v>1175</v>
      </c>
    </row>
    <row r="11" spans="1:3" x14ac:dyDescent="0.2">
      <c r="B11" s="4" t="s">
        <v>112</v>
      </c>
      <c r="C11" s="4" t="s">
        <v>651</v>
      </c>
    </row>
    <row r="12" spans="1:3" x14ac:dyDescent="0.2">
      <c r="B12" s="4" t="s">
        <v>799</v>
      </c>
      <c r="C12" s="4" t="s">
        <v>992</v>
      </c>
    </row>
    <row r="13" spans="1:3" x14ac:dyDescent="0.2">
      <c r="B13" s="4" t="s">
        <v>554</v>
      </c>
    </row>
    <row r="14" spans="1:3" x14ac:dyDescent="0.2">
      <c r="C14" s="70" t="s">
        <v>425</v>
      </c>
    </row>
    <row r="15" spans="1:3" x14ac:dyDescent="0.2">
      <c r="C15" s="195" t="s">
        <v>461</v>
      </c>
    </row>
    <row r="16" spans="1:3" x14ac:dyDescent="0.2">
      <c r="C16" s="4" t="s">
        <v>597</v>
      </c>
    </row>
    <row r="17" spans="3:3" x14ac:dyDescent="0.2">
      <c r="C17" s="4" t="s">
        <v>462</v>
      </c>
    </row>
    <row r="18" spans="3:3" x14ac:dyDescent="0.2">
      <c r="C18" s="4" t="s">
        <v>463</v>
      </c>
    </row>
    <row r="19" spans="3:3" x14ac:dyDescent="0.2">
      <c r="C19" s="4" t="s">
        <v>464</v>
      </c>
    </row>
    <row r="21" spans="3:3" x14ac:dyDescent="0.2">
      <c r="C21" s="70" t="s">
        <v>652</v>
      </c>
    </row>
    <row r="22" spans="3:3" x14ac:dyDescent="0.2">
      <c r="C22" s="4" t="s">
        <v>459</v>
      </c>
    </row>
    <row r="23" spans="3:3" x14ac:dyDescent="0.2">
      <c r="C23" s="4" t="s">
        <v>465</v>
      </c>
    </row>
    <row r="24" spans="3:3" x14ac:dyDescent="0.2">
      <c r="C24" s="4" t="s">
        <v>466</v>
      </c>
    </row>
    <row r="25" spans="3:3" x14ac:dyDescent="0.2">
      <c r="C25" s="4" t="s">
        <v>467</v>
      </c>
    </row>
    <row r="27" spans="3:3" x14ac:dyDescent="0.2">
      <c r="C27" s="70" t="s">
        <v>424</v>
      </c>
    </row>
    <row r="28" spans="3:3" x14ac:dyDescent="0.2">
      <c r="C28" s="4" t="s">
        <v>460</v>
      </c>
    </row>
    <row r="29" spans="3:3" x14ac:dyDescent="0.2">
      <c r="C29" s="4" t="s">
        <v>468</v>
      </c>
    </row>
    <row r="30" spans="3:3" x14ac:dyDescent="0.2">
      <c r="C30" s="4" t="s">
        <v>469</v>
      </c>
    </row>
    <row r="31" spans="3:3" x14ac:dyDescent="0.2">
      <c r="C31" s="4" t="s">
        <v>470</v>
      </c>
    </row>
    <row r="33" spans="3:3" x14ac:dyDescent="0.2">
      <c r="C33" s="70" t="s">
        <v>471</v>
      </c>
    </row>
    <row r="34" spans="3:3" x14ac:dyDescent="0.2">
      <c r="C34" s="217" t="s">
        <v>472</v>
      </c>
    </row>
    <row r="35" spans="3:3" x14ac:dyDescent="0.2">
      <c r="C35" s="217" t="s">
        <v>473</v>
      </c>
    </row>
    <row r="36" spans="3:3" x14ac:dyDescent="0.2">
      <c r="C36" s="217" t="s">
        <v>474</v>
      </c>
    </row>
    <row r="38" spans="3:3" x14ac:dyDescent="0.2">
      <c r="C38" s="70" t="s">
        <v>475</v>
      </c>
    </row>
    <row r="39" spans="3:3" x14ac:dyDescent="0.2">
      <c r="C39" s="4" t="s">
        <v>476</v>
      </c>
    </row>
    <row r="41" spans="3:3" x14ac:dyDescent="0.2">
      <c r="C41" s="70" t="s">
        <v>1093</v>
      </c>
    </row>
    <row r="42" spans="3:3" x14ac:dyDescent="0.2">
      <c r="C42" s="4" t="s">
        <v>1085</v>
      </c>
    </row>
    <row r="44" spans="3:3" x14ac:dyDescent="0.2">
      <c r="C44" s="70" t="s">
        <v>653</v>
      </c>
    </row>
    <row r="45" spans="3:3" x14ac:dyDescent="0.2">
      <c r="C45" s="4" t="s">
        <v>654</v>
      </c>
    </row>
    <row r="47" spans="3:3" x14ac:dyDescent="0.2">
      <c r="C47" s="70" t="s">
        <v>237</v>
      </c>
    </row>
    <row r="48" spans="3:3" x14ac:dyDescent="0.2">
      <c r="C48" s="4" t="s">
        <v>238</v>
      </c>
    </row>
    <row r="51" spans="2:19" x14ac:dyDescent="0.2">
      <c r="B51" s="4" t="s">
        <v>565</v>
      </c>
      <c r="L51" s="427" t="s">
        <v>1336</v>
      </c>
      <c r="M51" s="427"/>
      <c r="N51" s="427" t="s">
        <v>1337</v>
      </c>
      <c r="O51" s="427"/>
      <c r="P51" s="427" t="s">
        <v>477</v>
      </c>
      <c r="Q51" s="427"/>
      <c r="R51" s="427" t="s">
        <v>478</v>
      </c>
      <c r="S51" s="427"/>
    </row>
    <row r="52" spans="2:19" x14ac:dyDescent="0.2">
      <c r="D52" s="202" t="s">
        <v>1336</v>
      </c>
      <c r="E52" s="202" t="s">
        <v>477</v>
      </c>
      <c r="F52" s="202" t="s">
        <v>478</v>
      </c>
      <c r="G52" s="202" t="s">
        <v>1337</v>
      </c>
      <c r="H52" s="303" t="s">
        <v>1338</v>
      </c>
      <c r="I52" s="303" t="s">
        <v>1339</v>
      </c>
      <c r="L52" s="202" t="s">
        <v>1338</v>
      </c>
      <c r="M52" s="202" t="s">
        <v>1339</v>
      </c>
      <c r="N52" s="202" t="s">
        <v>1338</v>
      </c>
      <c r="O52" s="202" t="s">
        <v>1339</v>
      </c>
      <c r="P52" s="202" t="s">
        <v>1338</v>
      </c>
      <c r="Q52" s="202" t="s">
        <v>1339</v>
      </c>
      <c r="R52" s="202" t="s">
        <v>1338</v>
      </c>
      <c r="S52" s="202" t="s">
        <v>1339</v>
      </c>
    </row>
    <row r="53" spans="2:19" x14ac:dyDescent="0.2">
      <c r="C53" s="301">
        <v>40060</v>
      </c>
      <c r="D53" s="303"/>
      <c r="E53" s="303"/>
      <c r="F53" s="303"/>
      <c r="G53" s="303"/>
      <c r="H53" s="17">
        <v>485</v>
      </c>
      <c r="I53" s="17">
        <v>972</v>
      </c>
      <c r="K53" s="4" t="s">
        <v>1340</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1341</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1342</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167</v>
      </c>
    </row>
    <row r="2" spans="1:3" x14ac:dyDescent="0.2">
      <c r="B2" s="4" t="s">
        <v>508</v>
      </c>
      <c r="C2" s="4" t="s">
        <v>1289</v>
      </c>
    </row>
    <row r="3" spans="1:3" x14ac:dyDescent="0.2">
      <c r="B3" s="4" t="s">
        <v>509</v>
      </c>
      <c r="C3" s="4" t="s">
        <v>1310</v>
      </c>
    </row>
    <row r="4" spans="1:3" x14ac:dyDescent="0.2">
      <c r="B4" s="4" t="s">
        <v>512</v>
      </c>
      <c r="C4" s="4" t="s">
        <v>1293</v>
      </c>
    </row>
    <row r="5" spans="1:3" x14ac:dyDescent="0.2">
      <c r="B5" s="4" t="s">
        <v>550</v>
      </c>
      <c r="C5" s="4" t="s">
        <v>1294</v>
      </c>
    </row>
    <row r="6" spans="1:3" x14ac:dyDescent="0.2">
      <c r="B6" s="4" t="s">
        <v>518</v>
      </c>
      <c r="C6" s="4" t="s">
        <v>185</v>
      </c>
    </row>
    <row r="7" spans="1:3" x14ac:dyDescent="0.2">
      <c r="B7" s="4" t="s">
        <v>799</v>
      </c>
      <c r="C7" s="4" t="s">
        <v>1464</v>
      </c>
    </row>
    <row r="8" spans="1:3" x14ac:dyDescent="0.2">
      <c r="B8" s="4" t="s">
        <v>172</v>
      </c>
      <c r="C8" s="4" t="s">
        <v>1117</v>
      </c>
    </row>
    <row r="9" spans="1:3" x14ac:dyDescent="0.2">
      <c r="C9" s="4" t="s">
        <v>1118</v>
      </c>
    </row>
    <row r="10" spans="1:3" x14ac:dyDescent="0.2">
      <c r="B10" s="4" t="s">
        <v>177</v>
      </c>
      <c r="C10" s="4" t="s">
        <v>933</v>
      </c>
    </row>
    <row r="11" spans="1:3" x14ac:dyDescent="0.2">
      <c r="B11" s="4" t="s">
        <v>179</v>
      </c>
      <c r="C11" s="4" t="s">
        <v>1314</v>
      </c>
    </row>
    <row r="12" spans="1:3" x14ac:dyDescent="0.2">
      <c r="C12" s="4" t="s">
        <v>1290</v>
      </c>
    </row>
    <row r="13" spans="1:3" x14ac:dyDescent="0.2">
      <c r="B13" s="4" t="s">
        <v>935</v>
      </c>
      <c r="C13" s="4" t="s">
        <v>1465</v>
      </c>
    </row>
    <row r="14" spans="1:3" x14ac:dyDescent="0.2">
      <c r="C14" s="4" t="s">
        <v>1566</v>
      </c>
    </row>
    <row r="15" spans="1:3" x14ac:dyDescent="0.2">
      <c r="C15" s="4" t="s">
        <v>1568</v>
      </c>
    </row>
    <row r="16" spans="1:3" x14ac:dyDescent="0.2">
      <c r="C16" s="4" t="s">
        <v>1567</v>
      </c>
    </row>
    <row r="17" spans="2:3" x14ac:dyDescent="0.2">
      <c r="B17" s="4" t="s">
        <v>112</v>
      </c>
      <c r="C17" s="4" t="s">
        <v>1288</v>
      </c>
    </row>
    <row r="18" spans="2:3" x14ac:dyDescent="0.2">
      <c r="C18" s="4" t="s">
        <v>1291</v>
      </c>
    </row>
    <row r="19" spans="2:3" x14ac:dyDescent="0.2">
      <c r="B19" s="4" t="s">
        <v>516</v>
      </c>
      <c r="C19" s="4" t="s">
        <v>1302</v>
      </c>
    </row>
    <row r="20" spans="2:3" x14ac:dyDescent="0.2">
      <c r="B20" s="4" t="s">
        <v>1303</v>
      </c>
      <c r="C20" s="4" t="s">
        <v>1304</v>
      </c>
    </row>
    <row r="21" spans="2:3" x14ac:dyDescent="0.2">
      <c r="B21" s="4" t="s">
        <v>804</v>
      </c>
    </row>
    <row r="22" spans="2:3" x14ac:dyDescent="0.2">
      <c r="C22" s="70" t="s">
        <v>1559</v>
      </c>
    </row>
    <row r="23" spans="2:3" x14ac:dyDescent="0.2">
      <c r="C23" s="4" t="s">
        <v>1560</v>
      </c>
    </row>
    <row r="25" spans="2:3" x14ac:dyDescent="0.2">
      <c r="C25" s="70" t="s">
        <v>1468</v>
      </c>
    </row>
    <row r="26" spans="2:3" x14ac:dyDescent="0.2">
      <c r="C26" s="4" t="s">
        <v>1469</v>
      </c>
    </row>
    <row r="27" spans="2:3" x14ac:dyDescent="0.2">
      <c r="C27" s="4" t="s">
        <v>1539</v>
      </c>
    </row>
    <row r="28" spans="2:3" x14ac:dyDescent="0.2">
      <c r="C28" s="4" t="s">
        <v>1540</v>
      </c>
    </row>
    <row r="29" spans="2:3" x14ac:dyDescent="0.2">
      <c r="C29" s="4" t="s">
        <v>1541</v>
      </c>
    </row>
    <row r="31" spans="2:3" x14ac:dyDescent="0.2">
      <c r="C31" s="70" t="s">
        <v>1471</v>
      </c>
    </row>
    <row r="32" spans="2:3" x14ac:dyDescent="0.2">
      <c r="C32" s="4" t="s">
        <v>1473</v>
      </c>
    </row>
    <row r="33" spans="1:3" x14ac:dyDescent="0.2">
      <c r="C33" s="4" t="s">
        <v>1472</v>
      </c>
    </row>
    <row r="35" spans="1:3" x14ac:dyDescent="0.2">
      <c r="C35" s="70" t="s">
        <v>1301</v>
      </c>
    </row>
    <row r="36" spans="1:3" x14ac:dyDescent="0.2">
      <c r="C36" s="4" t="s">
        <v>1119</v>
      </c>
    </row>
    <row r="37" spans="1:3" x14ac:dyDescent="0.2">
      <c r="C37" s="71" t="s">
        <v>1120</v>
      </c>
    </row>
    <row r="38" spans="1:3" x14ac:dyDescent="0.2">
      <c r="A38" s="18"/>
      <c r="C38" s="4" t="s">
        <v>1295</v>
      </c>
    </row>
    <row r="40" spans="1:3" x14ac:dyDescent="0.2">
      <c r="C40" s="70" t="s">
        <v>1297</v>
      </c>
    </row>
    <row r="41" spans="1:3" x14ac:dyDescent="0.2">
      <c r="C41" s="4" t="s">
        <v>1296</v>
      </c>
    </row>
    <row r="43" spans="1:3" x14ac:dyDescent="0.2">
      <c r="C43" s="70" t="s">
        <v>1298</v>
      </c>
    </row>
    <row r="44" spans="1:3" x14ac:dyDescent="0.2">
      <c r="C44" s="4" t="s">
        <v>1299</v>
      </c>
    </row>
    <row r="46" spans="1:3" x14ac:dyDescent="0.2">
      <c r="C46" s="70" t="s">
        <v>1300</v>
      </c>
    </row>
    <row r="47" spans="1:3" x14ac:dyDescent="0.2">
      <c r="C47" s="4" t="s">
        <v>931</v>
      </c>
    </row>
    <row r="48" spans="1:3" x14ac:dyDescent="0.2">
      <c r="C48" s="4" t="s">
        <v>932</v>
      </c>
    </row>
    <row r="50" spans="3:3" x14ac:dyDescent="0.2">
      <c r="C50" s="70" t="s">
        <v>1292</v>
      </c>
    </row>
    <row r="52" spans="3:3" x14ac:dyDescent="0.2">
      <c r="C52" s="70" t="s">
        <v>1305</v>
      </c>
    </row>
    <row r="54" spans="3:3" x14ac:dyDescent="0.2">
      <c r="C54" s="70" t="s">
        <v>1306</v>
      </c>
    </row>
    <row r="56" spans="3:3" x14ac:dyDescent="0.2">
      <c r="C56" s="70" t="s">
        <v>1307</v>
      </c>
    </row>
    <row r="58" spans="3:3" x14ac:dyDescent="0.2">
      <c r="C58" s="70" t="s">
        <v>1311</v>
      </c>
    </row>
    <row r="60" spans="3:3" x14ac:dyDescent="0.2">
      <c r="C60" s="70" t="s">
        <v>1309</v>
      </c>
    </row>
    <row r="61" spans="3:3" x14ac:dyDescent="0.2">
      <c r="C61" s="4" t="s">
        <v>1308</v>
      </c>
    </row>
    <row r="64" spans="3:3" x14ac:dyDescent="0.2">
      <c r="C64" s="70" t="s">
        <v>1312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1"/>
  <sheetViews>
    <sheetView zoomScale="120" zoomScaleNormal="130" workbookViewId="0">
      <selection activeCell="C11" sqref="C11"/>
    </sheetView>
  </sheetViews>
  <sheetFormatPr defaultColWidth="9.140625" defaultRowHeight="12.75" x14ac:dyDescent="0.2"/>
  <cols>
    <col min="1" max="1" width="5.28515625" style="4" customWidth="1"/>
    <col min="2" max="2" width="14" style="4" customWidth="1"/>
    <col min="3" max="16384" width="9.140625" style="4"/>
  </cols>
  <sheetData>
    <row r="1" spans="1:3" x14ac:dyDescent="0.2">
      <c r="A1" s="5" t="s">
        <v>167</v>
      </c>
    </row>
    <row r="2" spans="1:3" x14ac:dyDescent="0.2">
      <c r="B2" s="4" t="s">
        <v>508</v>
      </c>
      <c r="C2" s="4" t="s">
        <v>1044</v>
      </c>
    </row>
    <row r="3" spans="1:3" x14ac:dyDescent="0.2">
      <c r="B3" s="4" t="s">
        <v>509</v>
      </c>
      <c r="C3" s="4" t="s">
        <v>1212</v>
      </c>
    </row>
    <row r="4" spans="1:3" x14ac:dyDescent="0.2">
      <c r="B4" s="4" t="s">
        <v>512</v>
      </c>
      <c r="C4" s="4" t="s">
        <v>1214</v>
      </c>
    </row>
    <row r="5" spans="1:3" x14ac:dyDescent="0.2">
      <c r="B5" s="4" t="s">
        <v>518</v>
      </c>
      <c r="C5" s="4" t="s">
        <v>1213</v>
      </c>
    </row>
    <row r="6" spans="1:3" x14ac:dyDescent="0.2">
      <c r="B6" s="4" t="s">
        <v>172</v>
      </c>
      <c r="C6" s="4" t="s">
        <v>1057</v>
      </c>
    </row>
    <row r="7" spans="1:3" x14ac:dyDescent="0.2">
      <c r="B7" s="4" t="s">
        <v>177</v>
      </c>
      <c r="C7" s="4" t="s">
        <v>20</v>
      </c>
    </row>
    <row r="8" spans="1:3" x14ac:dyDescent="0.2">
      <c r="B8" s="4" t="s">
        <v>799</v>
      </c>
      <c r="C8" s="4" t="s">
        <v>1064</v>
      </c>
    </row>
    <row r="9" spans="1:3" x14ac:dyDescent="0.2">
      <c r="B9" s="4" t="s">
        <v>793</v>
      </c>
      <c r="C9" s="4" t="s">
        <v>1065</v>
      </c>
    </row>
    <row r="10" spans="1:3" x14ac:dyDescent="0.2">
      <c r="B10" s="4" t="s">
        <v>559</v>
      </c>
      <c r="C10" s="4" t="s">
        <v>1215</v>
      </c>
    </row>
    <row r="11" spans="1:3" x14ac:dyDescent="0.2">
      <c r="B11" s="4" t="s">
        <v>935</v>
      </c>
      <c r="C11" s="4" t="s">
        <v>990</v>
      </c>
    </row>
    <row r="12" spans="1:3" x14ac:dyDescent="0.2">
      <c r="B12" s="4" t="s">
        <v>179</v>
      </c>
      <c r="C12" s="4" t="s">
        <v>1109</v>
      </c>
    </row>
    <row r="13" spans="1:3" x14ac:dyDescent="0.2">
      <c r="B13" s="4" t="s">
        <v>554</v>
      </c>
    </row>
    <row r="14" spans="1:3" x14ac:dyDescent="0.2">
      <c r="C14" s="4" t="s">
        <v>1060</v>
      </c>
    </row>
    <row r="15" spans="1:3" x14ac:dyDescent="0.2">
      <c r="C15" s="4" t="s">
        <v>1061</v>
      </c>
    </row>
    <row r="16" spans="1:3" x14ac:dyDescent="0.2">
      <c r="C16" s="4" t="s">
        <v>1062</v>
      </c>
    </row>
    <row r="18" spans="3:3" x14ac:dyDescent="0.2">
      <c r="C18" s="70" t="s">
        <v>189</v>
      </c>
    </row>
    <row r="19" spans="3:3" x14ac:dyDescent="0.2">
      <c r="C19" s="4" t="s">
        <v>191</v>
      </c>
    </row>
    <row r="20" spans="3:3" x14ac:dyDescent="0.2">
      <c r="C20" s="4" t="s">
        <v>190</v>
      </c>
    </row>
    <row r="22" spans="3:3" x14ac:dyDescent="0.2">
      <c r="C22" s="70" t="s">
        <v>822</v>
      </c>
    </row>
    <row r="23" spans="3:3" x14ac:dyDescent="0.2">
      <c r="C23" s="4" t="s">
        <v>1058</v>
      </c>
    </row>
    <row r="24" spans="3:3" x14ac:dyDescent="0.2">
      <c r="C24" s="4" t="s">
        <v>1059</v>
      </c>
    </row>
    <row r="26" spans="3:3" x14ac:dyDescent="0.2">
      <c r="C26" s="4" t="s">
        <v>646</v>
      </c>
    </row>
    <row r="28" spans="3:3" x14ac:dyDescent="0.2">
      <c r="C28" s="70" t="s">
        <v>24</v>
      </c>
    </row>
    <row r="31" spans="3:3" x14ac:dyDescent="0.2">
      <c r="C31" s="70" t="s">
        <v>882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B2" s="58" t="s">
        <v>1329</v>
      </c>
    </row>
    <row r="3" spans="1:2" x14ac:dyDescent="0.2">
      <c r="B3" s="58" t="s">
        <v>1333</v>
      </c>
    </row>
    <row r="4" spans="1:2" x14ac:dyDescent="0.2">
      <c r="B4" s="58" t="s">
        <v>1354</v>
      </c>
    </row>
    <row r="5" spans="1:2" x14ac:dyDescent="0.2">
      <c r="B5" s="58" t="s">
        <v>1332</v>
      </c>
    </row>
    <row r="7" spans="1:2" x14ac:dyDescent="0.2">
      <c r="B7" s="241" t="s">
        <v>148</v>
      </c>
    </row>
    <row r="8" spans="1:2" x14ac:dyDescent="0.2">
      <c r="B8" s="58" t="s">
        <v>1355</v>
      </c>
    </row>
    <row r="9" spans="1:2" x14ac:dyDescent="0.2">
      <c r="B9" s="58" t="s">
        <v>146</v>
      </c>
    </row>
    <row r="10" spans="1:2" x14ac:dyDescent="0.2">
      <c r="B10" s="58" t="s">
        <v>147</v>
      </c>
    </row>
    <row r="11" spans="1:2" x14ac:dyDescent="0.2">
      <c r="B11" s="58" t="s">
        <v>1357</v>
      </c>
    </row>
    <row r="12" spans="1:2" x14ac:dyDescent="0.2">
      <c r="B12" s="58" t="s">
        <v>1356</v>
      </c>
    </row>
    <row r="13" spans="1:2" x14ac:dyDescent="0.2">
      <c r="B13" s="58" t="s">
        <v>149</v>
      </c>
    </row>
    <row r="14" spans="1:2" x14ac:dyDescent="0.2">
      <c r="B14" s="58" t="s">
        <v>150</v>
      </c>
    </row>
    <row r="15" spans="1:2" x14ac:dyDescent="0.2">
      <c r="B15" s="58" t="s">
        <v>151</v>
      </c>
    </row>
    <row r="16" spans="1:2" x14ac:dyDescent="0.2">
      <c r="B16" s="58" t="s">
        <v>152</v>
      </c>
    </row>
    <row r="17" spans="2:2" x14ac:dyDescent="0.2">
      <c r="B17" s="58" t="s">
        <v>153</v>
      </c>
    </row>
    <row r="19" spans="2:2" x14ac:dyDescent="0.2">
      <c r="B19" s="58" t="s">
        <v>154</v>
      </c>
    </row>
    <row r="22" spans="2:2" x14ac:dyDescent="0.2">
      <c r="B22" s="241" t="s">
        <v>1169</v>
      </c>
    </row>
    <row r="23" spans="2:2" x14ac:dyDescent="0.2">
      <c r="B23" s="58" t="s">
        <v>1334</v>
      </c>
    </row>
    <row r="24" spans="2:2" x14ac:dyDescent="0.2">
      <c r="B24" s="58" t="s">
        <v>1335</v>
      </c>
    </row>
    <row r="25" spans="2:2" x14ac:dyDescent="0.2">
      <c r="B25" s="58" t="s">
        <v>1396</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167</v>
      </c>
    </row>
    <row r="2" spans="1:4" x14ac:dyDescent="0.2">
      <c r="B2" s="172" t="s">
        <v>508</v>
      </c>
      <c r="C2" s="172" t="s">
        <v>1569</v>
      </c>
    </row>
    <row r="3" spans="1:4" x14ac:dyDescent="0.2">
      <c r="B3" s="172" t="s">
        <v>509</v>
      </c>
      <c r="C3" s="172" t="s">
        <v>353</v>
      </c>
    </row>
    <row r="4" spans="1:4" x14ac:dyDescent="0.2">
      <c r="B4" s="172" t="s">
        <v>172</v>
      </c>
      <c r="C4" s="172" t="s">
        <v>226</v>
      </c>
    </row>
    <row r="5" spans="1:4" x14ac:dyDescent="0.2">
      <c r="B5" s="172" t="s">
        <v>518</v>
      </c>
      <c r="C5" s="172" t="s">
        <v>185</v>
      </c>
    </row>
    <row r="6" spans="1:4" x14ac:dyDescent="0.2">
      <c r="B6" s="172" t="s">
        <v>512</v>
      </c>
      <c r="C6" s="172" t="s">
        <v>774</v>
      </c>
    </row>
    <row r="7" spans="1:4" x14ac:dyDescent="0.2">
      <c r="B7" s="172" t="s">
        <v>799</v>
      </c>
      <c r="C7" s="172" t="s">
        <v>775</v>
      </c>
    </row>
    <row r="8" spans="1:4" x14ac:dyDescent="0.2">
      <c r="B8" s="172" t="s">
        <v>935</v>
      </c>
      <c r="C8" s="172" t="s">
        <v>1570</v>
      </c>
    </row>
    <row r="9" spans="1:4" x14ac:dyDescent="0.2">
      <c r="C9" s="172" t="s">
        <v>1572</v>
      </c>
    </row>
    <row r="10" spans="1:4" x14ac:dyDescent="0.2">
      <c r="B10" s="172" t="s">
        <v>804</v>
      </c>
    </row>
    <row r="11" spans="1:4" x14ac:dyDescent="0.2">
      <c r="C11" s="172" t="s">
        <v>776</v>
      </c>
    </row>
    <row r="12" spans="1:4" x14ac:dyDescent="0.2">
      <c r="C12" s="147" t="s">
        <v>777</v>
      </c>
    </row>
    <row r="13" spans="1:4" x14ac:dyDescent="0.2">
      <c r="C13" s="172" t="s">
        <v>778</v>
      </c>
    </row>
    <row r="14" spans="1:4" x14ac:dyDescent="0.2">
      <c r="C14" s="172" t="s">
        <v>559</v>
      </c>
      <c r="D14" s="172" t="s">
        <v>779</v>
      </c>
    </row>
    <row r="15" spans="1:4" x14ac:dyDescent="0.2">
      <c r="D15" s="172" t="s">
        <v>780</v>
      </c>
    </row>
    <row r="16" spans="1:4" x14ac:dyDescent="0.2">
      <c r="D16" s="172" t="s">
        <v>781</v>
      </c>
    </row>
    <row r="17" spans="2:4" x14ac:dyDescent="0.2">
      <c r="C17" s="172" t="s">
        <v>782</v>
      </c>
    </row>
    <row r="18" spans="2:4" x14ac:dyDescent="0.2">
      <c r="D18" s="172" t="s">
        <v>783</v>
      </c>
    </row>
    <row r="19" spans="2:4" x14ac:dyDescent="0.2">
      <c r="D19" s="172" t="s">
        <v>784</v>
      </c>
    </row>
    <row r="21" spans="2:4" x14ac:dyDescent="0.2">
      <c r="B21" s="173" t="s">
        <v>785</v>
      </c>
    </row>
    <row r="22" spans="2:4" x14ac:dyDescent="0.2">
      <c r="B22" s="173" t="s">
        <v>786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167</v>
      </c>
    </row>
    <row r="2" spans="1:3" x14ac:dyDescent="0.2">
      <c r="B2" s="172" t="s">
        <v>508</v>
      </c>
      <c r="C2" s="172" t="s">
        <v>243</v>
      </c>
    </row>
    <row r="3" spans="1:3" x14ac:dyDescent="0.2">
      <c r="B3" s="172" t="s">
        <v>509</v>
      </c>
      <c r="C3" s="172" t="s">
        <v>1481</v>
      </c>
    </row>
    <row r="4" spans="1:3" x14ac:dyDescent="0.2">
      <c r="B4" s="172" t="s">
        <v>172</v>
      </c>
      <c r="C4" s="172" t="s">
        <v>233</v>
      </c>
    </row>
    <row r="5" spans="1:3" x14ac:dyDescent="0.2">
      <c r="B5" s="172" t="s">
        <v>512</v>
      </c>
      <c r="C5" s="172" t="s">
        <v>236</v>
      </c>
    </row>
    <row r="6" spans="1:3" x14ac:dyDescent="0.2">
      <c r="B6" s="172" t="s">
        <v>516</v>
      </c>
      <c r="C6" s="172" t="s">
        <v>1216</v>
      </c>
    </row>
    <row r="7" spans="1:3" x14ac:dyDescent="0.2">
      <c r="B7" s="172" t="s">
        <v>804</v>
      </c>
    </row>
    <row r="8" spans="1:3" x14ac:dyDescent="0.2">
      <c r="C8" s="147" t="s">
        <v>921</v>
      </c>
    </row>
    <row r="9" spans="1:3" x14ac:dyDescent="0.2">
      <c r="C9" s="172" t="s">
        <v>922</v>
      </c>
    </row>
    <row r="10" spans="1:3" x14ac:dyDescent="0.2">
      <c r="C10" s="172" t="s">
        <v>925</v>
      </c>
    </row>
    <row r="12" spans="1:3" x14ac:dyDescent="0.2">
      <c r="C12" s="147" t="s">
        <v>923</v>
      </c>
    </row>
    <row r="13" spans="1:3" x14ac:dyDescent="0.2">
      <c r="C13" s="172" t="s">
        <v>924</v>
      </c>
    </row>
    <row r="14" spans="1:3" x14ac:dyDescent="0.2">
      <c r="C14" s="172" t="s">
        <v>925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167</v>
      </c>
    </row>
    <row r="2" spans="1:3" x14ac:dyDescent="0.2">
      <c r="B2" s="4" t="s">
        <v>508</v>
      </c>
      <c r="C2" s="4" t="s">
        <v>894</v>
      </c>
    </row>
    <row r="3" spans="1:3" x14ac:dyDescent="0.2">
      <c r="B3" s="4" t="s">
        <v>509</v>
      </c>
      <c r="C3" s="4" t="s">
        <v>187</v>
      </c>
    </row>
    <row r="4" spans="1:3" x14ac:dyDescent="0.2">
      <c r="B4" s="4" t="s">
        <v>518</v>
      </c>
      <c r="C4" s="4" t="s">
        <v>1221</v>
      </c>
    </row>
    <row r="5" spans="1:3" x14ac:dyDescent="0.2">
      <c r="B5" s="4" t="s">
        <v>935</v>
      </c>
      <c r="C5" s="4" t="s">
        <v>895</v>
      </c>
    </row>
    <row r="6" spans="1:3" x14ac:dyDescent="0.2">
      <c r="B6" s="4" t="s">
        <v>799</v>
      </c>
      <c r="C6" s="4" t="s">
        <v>1774</v>
      </c>
    </row>
    <row r="7" spans="1:3" x14ac:dyDescent="0.2">
      <c r="B7" s="4" t="s">
        <v>177</v>
      </c>
    </row>
    <row r="8" spans="1:3" x14ac:dyDescent="0.2">
      <c r="C8" s="4" t="s">
        <v>1775</v>
      </c>
    </row>
    <row r="9" spans="1:3" x14ac:dyDescent="0.2">
      <c r="C9" s="4" t="s">
        <v>1776</v>
      </c>
    </row>
    <row r="10" spans="1:3" x14ac:dyDescent="0.2">
      <c r="C10" s="4" t="s">
        <v>1777</v>
      </c>
    </row>
    <row r="11" spans="1:3" x14ac:dyDescent="0.2">
      <c r="B11" s="4" t="s">
        <v>804</v>
      </c>
    </row>
    <row r="12" spans="1:3" x14ac:dyDescent="0.2">
      <c r="C12" s="4" t="s">
        <v>1222</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167</v>
      </c>
    </row>
    <row r="2" spans="1:3" x14ac:dyDescent="0.2">
      <c r="B2" s="4" t="s">
        <v>508</v>
      </c>
      <c r="C2" s="4" t="s">
        <v>352</v>
      </c>
    </row>
    <row r="3" spans="1:3" x14ac:dyDescent="0.2">
      <c r="B3" s="4" t="s">
        <v>509</v>
      </c>
      <c r="C3" s="4" t="s">
        <v>1217</v>
      </c>
    </row>
    <row r="4" spans="1:3" x14ac:dyDescent="0.2">
      <c r="B4" s="4" t="s">
        <v>172</v>
      </c>
      <c r="C4" s="4" t="s">
        <v>1218</v>
      </c>
    </row>
    <row r="5" spans="1:3" x14ac:dyDescent="0.2">
      <c r="B5" s="4" t="s">
        <v>173</v>
      </c>
      <c r="C5" s="4" t="s">
        <v>1219</v>
      </c>
    </row>
    <row r="6" spans="1:3" x14ac:dyDescent="0.2">
      <c r="B6" s="4" t="s">
        <v>512</v>
      </c>
      <c r="C6" s="4" t="s">
        <v>1067</v>
      </c>
    </row>
    <row r="7" spans="1:3" x14ac:dyDescent="0.2">
      <c r="B7" s="4" t="s">
        <v>518</v>
      </c>
      <c r="C7" s="4" t="s">
        <v>182</v>
      </c>
    </row>
    <row r="8" spans="1:3" x14ac:dyDescent="0.2">
      <c r="B8" s="4" t="s">
        <v>935</v>
      </c>
      <c r="C8" s="4" t="s">
        <v>598</v>
      </c>
    </row>
    <row r="9" spans="1:3" x14ac:dyDescent="0.2">
      <c r="B9" s="4" t="s">
        <v>804</v>
      </c>
    </row>
    <row r="11" spans="1:3" x14ac:dyDescent="0.2">
      <c r="C11" s="4" t="s">
        <v>1068</v>
      </c>
    </row>
    <row r="12" spans="1:3" x14ac:dyDescent="0.2">
      <c r="C12" s="4" t="s">
        <v>1069</v>
      </c>
    </row>
    <row r="13" spans="1:3" x14ac:dyDescent="0.2">
      <c r="C13" s="4" t="s">
        <v>1070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1630</v>
      </c>
    </row>
    <row r="3" spans="1:3" x14ac:dyDescent="0.2">
      <c r="B3" t="s">
        <v>509</v>
      </c>
      <c r="C3" t="s">
        <v>868</v>
      </c>
    </row>
    <row r="4" spans="1:3" x14ac:dyDescent="0.2">
      <c r="B4" t="s">
        <v>172</v>
      </c>
      <c r="C4" t="s">
        <v>1628</v>
      </c>
    </row>
    <row r="5" spans="1:3" x14ac:dyDescent="0.2">
      <c r="B5" t="s">
        <v>799</v>
      </c>
      <c r="C5" t="s">
        <v>1629</v>
      </c>
    </row>
    <row r="6" spans="1:3" x14ac:dyDescent="0.2">
      <c r="B6" t="s">
        <v>512</v>
      </c>
      <c r="C6" t="s">
        <v>869</v>
      </c>
    </row>
    <row r="7" spans="1:3" x14ac:dyDescent="0.2">
      <c r="B7" t="s">
        <v>804</v>
      </c>
    </row>
    <row r="8" spans="1:3" x14ac:dyDescent="0.2">
      <c r="C8" s="324" t="s">
        <v>1381</v>
      </c>
    </row>
    <row r="10" spans="1:3" x14ac:dyDescent="0.2">
      <c r="C10" s="324" t="s">
        <v>1387</v>
      </c>
    </row>
  </sheetData>
  <hyperlinks>
    <hyperlink ref="A1" location="Main!A1" display="Main" xr:uid="{00000000-0004-0000-20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509</v>
      </c>
      <c r="C2" t="s">
        <v>1376</v>
      </c>
    </row>
    <row r="3" spans="1:3" x14ac:dyDescent="0.2">
      <c r="B3" t="s">
        <v>512</v>
      </c>
    </row>
    <row r="4" spans="1:3" x14ac:dyDescent="0.2">
      <c r="B4" t="s">
        <v>804</v>
      </c>
    </row>
    <row r="5" spans="1:3" x14ac:dyDescent="0.2">
      <c r="C5" s="324" t="s">
        <v>1378</v>
      </c>
    </row>
    <row r="6" spans="1:3" x14ac:dyDescent="0.2">
      <c r="C6" t="s">
        <v>1377</v>
      </c>
    </row>
    <row r="8" spans="1:3" x14ac:dyDescent="0.2">
      <c r="C8" s="324" t="s">
        <v>1379</v>
      </c>
    </row>
    <row r="9" spans="1:3" x14ac:dyDescent="0.2">
      <c r="C9" t="s">
        <v>1380</v>
      </c>
    </row>
  </sheetData>
  <hyperlinks>
    <hyperlink ref="A1" location="Main!A1" display="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874</v>
      </c>
    </row>
    <row r="3" spans="1:3" x14ac:dyDescent="0.2">
      <c r="B3" s="4" t="s">
        <v>985</v>
      </c>
      <c r="C3" s="219" t="s">
        <v>880</v>
      </c>
    </row>
    <row r="4" spans="1:3" x14ac:dyDescent="0.2">
      <c r="B4" s="4" t="s">
        <v>172</v>
      </c>
      <c r="C4" s="4" t="s">
        <v>986</v>
      </c>
    </row>
    <row r="5" spans="1:3" x14ac:dyDescent="0.2">
      <c r="B5" s="4" t="s">
        <v>512</v>
      </c>
      <c r="C5" s="4" t="s">
        <v>891</v>
      </c>
    </row>
    <row r="6" spans="1:3" x14ac:dyDescent="0.2">
      <c r="B6" s="4" t="s">
        <v>177</v>
      </c>
    </row>
    <row r="7" spans="1:3" x14ac:dyDescent="0.2">
      <c r="B7" s="4" t="s">
        <v>799</v>
      </c>
      <c r="C7" s="4" t="s">
        <v>876</v>
      </c>
    </row>
    <row r="8" spans="1:3" x14ac:dyDescent="0.2">
      <c r="B8" s="4" t="s">
        <v>935</v>
      </c>
      <c r="C8" s="4" t="s">
        <v>1063</v>
      </c>
    </row>
    <row r="9" spans="1:3" x14ac:dyDescent="0.2">
      <c r="B9" s="4" t="s">
        <v>550</v>
      </c>
      <c r="C9" s="4" t="s">
        <v>904</v>
      </c>
    </row>
    <row r="10" spans="1:3" x14ac:dyDescent="0.2">
      <c r="B10" s="4" t="s">
        <v>516</v>
      </c>
      <c r="C10" s="4" t="s">
        <v>900</v>
      </c>
    </row>
    <row r="11" spans="1:3" x14ac:dyDescent="0.2">
      <c r="B11" s="4" t="s">
        <v>112</v>
      </c>
      <c r="C11" s="4" t="s">
        <v>875</v>
      </c>
    </row>
    <row r="12" spans="1:3" x14ac:dyDescent="0.2">
      <c r="B12" s="4" t="s">
        <v>179</v>
      </c>
      <c r="C12" s="4" t="s">
        <v>903</v>
      </c>
    </row>
    <row r="13" spans="1:3" x14ac:dyDescent="0.2">
      <c r="B13" s="4" t="s">
        <v>554</v>
      </c>
    </row>
    <row r="14" spans="1:3" x14ac:dyDescent="0.2">
      <c r="C14" s="70" t="s">
        <v>898</v>
      </c>
    </row>
    <row r="15" spans="1:3" x14ac:dyDescent="0.2">
      <c r="C15" s="4" t="s">
        <v>899</v>
      </c>
    </row>
    <row r="17" spans="3:3" x14ac:dyDescent="0.2">
      <c r="C17" s="70" t="s">
        <v>897</v>
      </c>
    </row>
    <row r="18" spans="3:3" x14ac:dyDescent="0.2">
      <c r="C18" s="4" t="s">
        <v>877</v>
      </c>
    </row>
    <row r="19" spans="3:3" x14ac:dyDescent="0.2">
      <c r="C19" s="4" t="s">
        <v>883</v>
      </c>
    </row>
    <row r="20" spans="3:3" x14ac:dyDescent="0.2">
      <c r="C20" s="4" t="s">
        <v>884</v>
      </c>
    </row>
    <row r="21" spans="3:3" x14ac:dyDescent="0.2">
      <c r="C21" s="4" t="s">
        <v>885</v>
      </c>
    </row>
    <row r="22" spans="3:3" x14ac:dyDescent="0.2">
      <c r="C22" s="4" t="s">
        <v>886</v>
      </c>
    </row>
    <row r="23" spans="3:3" x14ac:dyDescent="0.2">
      <c r="C23" s="4" t="s">
        <v>887</v>
      </c>
    </row>
    <row r="24" spans="3:3" x14ac:dyDescent="0.2">
      <c r="C24" s="4" t="s">
        <v>896</v>
      </c>
    </row>
    <row r="26" spans="3:3" x14ac:dyDescent="0.2">
      <c r="C26" s="70" t="s">
        <v>902</v>
      </c>
    </row>
    <row r="27" spans="3:3" x14ac:dyDescent="0.2">
      <c r="C27" s="70"/>
    </row>
    <row r="28" spans="3:3" x14ac:dyDescent="0.2">
      <c r="C28" s="70" t="s">
        <v>901</v>
      </c>
    </row>
    <row r="30" spans="3:3" x14ac:dyDescent="0.2">
      <c r="C30" s="70" t="s">
        <v>890</v>
      </c>
    </row>
    <row r="31" spans="3:3" x14ac:dyDescent="0.2">
      <c r="C31" s="4" t="s">
        <v>878</v>
      </c>
    </row>
    <row r="32" spans="3:3" x14ac:dyDescent="0.2">
      <c r="C32" s="4" t="s">
        <v>879</v>
      </c>
    </row>
    <row r="34" spans="3:3" x14ac:dyDescent="0.2">
      <c r="C34" s="70" t="s">
        <v>889</v>
      </c>
    </row>
    <row r="55" spans="3:3" x14ac:dyDescent="0.2">
      <c r="C55" s="4" t="s">
        <v>1066</v>
      </c>
    </row>
    <row r="57" spans="3:3" x14ac:dyDescent="0.2">
      <c r="C57" s="4" t="s">
        <v>888</v>
      </c>
    </row>
    <row r="59" spans="3:3" x14ac:dyDescent="0.2">
      <c r="C59" s="70" t="s">
        <v>892</v>
      </c>
    </row>
    <row r="60" spans="3:3" x14ac:dyDescent="0.2">
      <c r="C60" s="4" t="s">
        <v>893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A2" s="228"/>
      <c r="B2" s="58" t="s">
        <v>1511</v>
      </c>
    </row>
    <row r="3" spans="1:2" x14ac:dyDescent="0.2">
      <c r="A3" s="228"/>
    </row>
    <row r="4" spans="1:2" x14ac:dyDescent="0.2">
      <c r="B4" s="229" t="s">
        <v>1522</v>
      </c>
    </row>
    <row r="5" spans="1:2" x14ac:dyDescent="0.2">
      <c r="B5" s="229" t="s">
        <v>1235</v>
      </c>
    </row>
    <row r="6" spans="1:2" x14ac:dyDescent="0.2">
      <c r="B6" s="58" t="s">
        <v>1267</v>
      </c>
    </row>
    <row r="7" spans="1:2" x14ac:dyDescent="0.2">
      <c r="B7" s="58" t="s">
        <v>1246</v>
      </c>
    </row>
    <row r="8" spans="1:2" x14ac:dyDescent="0.2">
      <c r="B8" s="58" t="s">
        <v>1255</v>
      </c>
    </row>
    <row r="9" spans="1:2" x14ac:dyDescent="0.2">
      <c r="B9" s="58" t="s">
        <v>1256</v>
      </c>
    </row>
    <row r="10" spans="1:2" x14ac:dyDescent="0.2">
      <c r="B10" s="58" t="s">
        <v>1237</v>
      </c>
    </row>
    <row r="11" spans="1:2" x14ac:dyDescent="0.2">
      <c r="B11" s="58" t="s">
        <v>1238</v>
      </c>
    </row>
    <row r="12" spans="1:2" x14ac:dyDescent="0.2">
      <c r="B12" s="58" t="s">
        <v>1244</v>
      </c>
    </row>
    <row r="13" spans="1:2" x14ac:dyDescent="0.2">
      <c r="B13" s="58" t="s">
        <v>1247</v>
      </c>
    </row>
    <row r="14" spans="1:2" x14ac:dyDescent="0.2">
      <c r="B14" s="58" t="s">
        <v>1245</v>
      </c>
    </row>
    <row r="15" spans="1:2" x14ac:dyDescent="0.2">
      <c r="B15" s="58" t="s">
        <v>1039</v>
      </c>
    </row>
    <row r="16" spans="1:2" x14ac:dyDescent="0.2">
      <c r="B16" s="58" t="s">
        <v>1243</v>
      </c>
    </row>
    <row r="17" spans="2:2" x14ac:dyDescent="0.2">
      <c r="B17" s="58" t="s">
        <v>1248</v>
      </c>
    </row>
    <row r="18" spans="2:2" x14ac:dyDescent="0.2">
      <c r="B18" s="58" t="s">
        <v>1262</v>
      </c>
    </row>
    <row r="19" spans="2:2" x14ac:dyDescent="0.2">
      <c r="B19" s="58" t="s">
        <v>1037</v>
      </c>
    </row>
    <row r="20" spans="2:2" x14ac:dyDescent="0.2">
      <c r="B20" s="58" t="s">
        <v>1250</v>
      </c>
    </row>
    <row r="21" spans="2:2" x14ac:dyDescent="0.2">
      <c r="B21" s="58" t="s">
        <v>1263</v>
      </c>
    </row>
    <row r="22" spans="2:2" x14ac:dyDescent="0.2">
      <c r="B22" s="58" t="s">
        <v>1038</v>
      </c>
    </row>
    <row r="23" spans="2:2" x14ac:dyDescent="0.2">
      <c r="B23" s="58" t="s">
        <v>1251</v>
      </c>
    </row>
    <row r="24" spans="2:2" x14ac:dyDescent="0.2">
      <c r="B24" s="58" t="s">
        <v>1252</v>
      </c>
    </row>
    <row r="25" spans="2:2" x14ac:dyDescent="0.2">
      <c r="B25" s="58" t="s">
        <v>1253</v>
      </c>
    </row>
    <row r="26" spans="2:2" x14ac:dyDescent="0.2">
      <c r="B26" s="58" t="s">
        <v>1254</v>
      </c>
    </row>
    <row r="27" spans="2:2" x14ac:dyDescent="0.2">
      <c r="B27" s="58" t="s">
        <v>1264</v>
      </c>
    </row>
    <row r="28" spans="2:2" x14ac:dyDescent="0.2">
      <c r="B28" s="58" t="s">
        <v>1265</v>
      </c>
    </row>
    <row r="29" spans="2:2" x14ac:dyDescent="0.2">
      <c r="B29" s="58" t="s">
        <v>1519</v>
      </c>
    </row>
    <row r="30" spans="2:2" x14ac:dyDescent="0.2">
      <c r="B30" s="58" t="s">
        <v>1520</v>
      </c>
    </row>
    <row r="31" spans="2:2" x14ac:dyDescent="0.2">
      <c r="B31" s="58" t="s">
        <v>1521</v>
      </c>
    </row>
    <row r="32" spans="2:2" x14ac:dyDescent="0.2">
      <c r="B32" s="58" t="s">
        <v>1249</v>
      </c>
    </row>
    <row r="33" spans="2:10" x14ac:dyDescent="0.2">
      <c r="B33" s="85" t="s">
        <v>1510</v>
      </c>
      <c r="J33" s="338"/>
    </row>
    <row r="35" spans="2:10" x14ac:dyDescent="0.2">
      <c r="B35" s="58" t="s">
        <v>157</v>
      </c>
    </row>
    <row r="37" spans="2:10" x14ac:dyDescent="0.2">
      <c r="B37" s="58" t="s">
        <v>158</v>
      </c>
    </row>
    <row r="38" spans="2:10" x14ac:dyDescent="0.2">
      <c r="B38" s="58" t="s">
        <v>159</v>
      </c>
    </row>
    <row r="39" spans="2:10" x14ac:dyDescent="0.2">
      <c r="B39" s="58" t="s">
        <v>160</v>
      </c>
    </row>
    <row r="40" spans="2:10" x14ac:dyDescent="0.2">
      <c r="B40" s="58" t="s">
        <v>161</v>
      </c>
    </row>
    <row r="44" spans="2:10" x14ac:dyDescent="0.2">
      <c r="B44" s="241" t="s">
        <v>267</v>
      </c>
    </row>
    <row r="45" spans="2:10" x14ac:dyDescent="0.2">
      <c r="B45" s="58" t="s">
        <v>1261</v>
      </c>
    </row>
    <row r="46" spans="2:10" x14ac:dyDescent="0.2">
      <c r="B46" s="58" t="s">
        <v>1260</v>
      </c>
    </row>
    <row r="47" spans="2:10" x14ac:dyDescent="0.2">
      <c r="B47" s="58" t="s">
        <v>1518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167</v>
      </c>
      <c r="C1" s="242"/>
      <c r="D1" s="242"/>
      <c r="E1" s="242"/>
      <c r="F1" s="242"/>
      <c r="G1" s="242"/>
      <c r="H1" s="242"/>
      <c r="I1" s="242"/>
      <c r="J1" s="242"/>
      <c r="K1" s="242"/>
      <c r="L1" s="243"/>
      <c r="N1" s="244"/>
      <c r="Q1" s="242"/>
      <c r="R1" s="242"/>
      <c r="S1" s="242"/>
      <c r="T1" s="243"/>
      <c r="U1" s="243"/>
      <c r="V1" s="242"/>
      <c r="AZ1" s="242"/>
      <c r="BA1" s="242"/>
    </row>
    <row r="2" spans="1:62" x14ac:dyDescent="0.2">
      <c r="B2" s="66"/>
      <c r="C2" s="231" t="s">
        <v>293</v>
      </c>
      <c r="D2" s="231" t="s">
        <v>294</v>
      </c>
      <c r="E2" s="231" t="s">
        <v>295</v>
      </c>
      <c r="F2" s="231" t="s">
        <v>296</v>
      </c>
      <c r="G2" s="231" t="s">
        <v>297</v>
      </c>
      <c r="H2" s="231" t="s">
        <v>298</v>
      </c>
      <c r="I2" s="231" t="s">
        <v>299</v>
      </c>
      <c r="J2" s="231" t="s">
        <v>300</v>
      </c>
      <c r="K2" s="231" t="s">
        <v>301</v>
      </c>
      <c r="L2" s="231" t="s">
        <v>302</v>
      </c>
      <c r="M2" s="231" t="s">
        <v>303</v>
      </c>
      <c r="N2" s="231" t="s">
        <v>304</v>
      </c>
      <c r="O2" s="231" t="s">
        <v>305</v>
      </c>
      <c r="P2" s="231" t="s">
        <v>306</v>
      </c>
      <c r="Q2" s="231" t="s">
        <v>307</v>
      </c>
      <c r="R2" s="231" t="s">
        <v>308</v>
      </c>
      <c r="S2" s="231" t="s">
        <v>309</v>
      </c>
      <c r="T2" s="231" t="s">
        <v>310</v>
      </c>
      <c r="U2" s="231" t="s">
        <v>311</v>
      </c>
      <c r="V2" s="231" t="s">
        <v>312</v>
      </c>
      <c r="W2" s="231" t="s">
        <v>313</v>
      </c>
      <c r="X2" s="231" t="s">
        <v>314</v>
      </c>
      <c r="Y2" s="231" t="s">
        <v>315</v>
      </c>
      <c r="Z2" s="231" t="s">
        <v>316</v>
      </c>
      <c r="AA2" s="231" t="s">
        <v>317</v>
      </c>
      <c r="AB2" s="231" t="s">
        <v>318</v>
      </c>
      <c r="AC2" s="231" t="s">
        <v>319</v>
      </c>
      <c r="AD2" s="231" t="s">
        <v>320</v>
      </c>
      <c r="AE2" s="231" t="s">
        <v>321</v>
      </c>
      <c r="AF2" s="231" t="s">
        <v>322</v>
      </c>
      <c r="AG2" s="231" t="s">
        <v>323</v>
      </c>
      <c r="AH2" s="231" t="s">
        <v>324</v>
      </c>
      <c r="AI2" s="231" t="s">
        <v>325</v>
      </c>
      <c r="AJ2" s="231" t="s">
        <v>326</v>
      </c>
      <c r="AK2" s="231" t="s">
        <v>327</v>
      </c>
      <c r="AL2" s="231" t="s">
        <v>328</v>
      </c>
      <c r="AM2" s="231" t="s">
        <v>281</v>
      </c>
      <c r="AN2" s="231" t="s">
        <v>329</v>
      </c>
      <c r="AO2" s="231" t="s">
        <v>330</v>
      </c>
      <c r="AP2" s="231" t="s">
        <v>331</v>
      </c>
      <c r="AQ2" s="231" t="s">
        <v>332</v>
      </c>
      <c r="AR2" s="231" t="s">
        <v>333</v>
      </c>
      <c r="AS2" s="231" t="s">
        <v>334</v>
      </c>
      <c r="AT2" s="231" t="s">
        <v>335</v>
      </c>
      <c r="AU2" s="231" t="s">
        <v>1349</v>
      </c>
      <c r="AV2" s="231" t="s">
        <v>1350</v>
      </c>
      <c r="AW2" s="231" t="s">
        <v>1351</v>
      </c>
      <c r="AX2" s="231" t="s">
        <v>1352</v>
      </c>
      <c r="AY2" s="231"/>
      <c r="AZ2" s="243">
        <v>1999</v>
      </c>
      <c r="BA2" s="243">
        <v>2000</v>
      </c>
      <c r="BB2" s="243">
        <v>2001</v>
      </c>
      <c r="BC2" s="243">
        <v>2002</v>
      </c>
      <c r="BD2" s="243">
        <v>2003</v>
      </c>
      <c r="BE2" s="243">
        <v>2004</v>
      </c>
      <c r="BF2" s="243">
        <v>2005</v>
      </c>
      <c r="BG2" s="243">
        <v>2006</v>
      </c>
      <c r="BH2" s="243">
        <v>2007</v>
      </c>
      <c r="BI2" s="243">
        <v>2008</v>
      </c>
      <c r="BJ2" s="243" t="s">
        <v>534</v>
      </c>
    </row>
    <row r="3" spans="1:62" s="66" customFormat="1" x14ac:dyDescent="0.2">
      <c r="B3" s="67" t="s">
        <v>156</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608</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606</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1034</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608</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606</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1047</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608</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606</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1046</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608</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606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1035</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608</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606</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1048</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1036</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606</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1051</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1036</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606</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1052</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1053</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1054</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1049</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1053</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1054</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1050</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1053</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1054</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1035</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1053</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1054</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1055</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1053</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1054</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1240</v>
      </c>
      <c r="AR41" s="240">
        <v>3.1E-2</v>
      </c>
    </row>
    <row r="42" spans="2:62" x14ac:dyDescent="0.2">
      <c r="B42" s="64" t="s">
        <v>1241</v>
      </c>
      <c r="AR42" s="240">
        <f>AR38-AR41</f>
        <v>-7.6094152626362738E-2</v>
      </c>
    </row>
    <row r="43" spans="2:62" x14ac:dyDescent="0.2">
      <c r="B43" s="64" t="s">
        <v>1239</v>
      </c>
      <c r="AR43" s="240">
        <v>4.7E-2</v>
      </c>
    </row>
    <row r="44" spans="2:62" x14ac:dyDescent="0.2">
      <c r="B44" s="64" t="s">
        <v>1242</v>
      </c>
      <c r="AR44" s="240">
        <f>AR40-AR43</f>
        <v>-0.13068915456874469</v>
      </c>
    </row>
    <row r="45" spans="2:62" x14ac:dyDescent="0.2">
      <c r="B45" s="64" t="s">
        <v>1512</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1513</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1514</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1515</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1516</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1517</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1266</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167</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297</v>
      </c>
      <c r="D2" s="81" t="s">
        <v>298</v>
      </c>
      <c r="E2" s="81" t="s">
        <v>299</v>
      </c>
      <c r="F2" s="81" t="s">
        <v>300</v>
      </c>
      <c r="G2" s="81" t="s">
        <v>301</v>
      </c>
      <c r="H2" s="81" t="s">
        <v>302</v>
      </c>
      <c r="I2" s="81" t="s">
        <v>303</v>
      </c>
      <c r="J2" s="81" t="s">
        <v>304</v>
      </c>
      <c r="K2" s="81" t="s">
        <v>305</v>
      </c>
      <c r="L2" s="81" t="s">
        <v>306</v>
      </c>
      <c r="M2" s="81" t="s">
        <v>307</v>
      </c>
      <c r="N2" s="81" t="s">
        <v>308</v>
      </c>
      <c r="O2" s="81" t="s">
        <v>309</v>
      </c>
      <c r="P2" s="81" t="s">
        <v>310</v>
      </c>
      <c r="Q2" s="81" t="s">
        <v>311</v>
      </c>
      <c r="R2" s="81" t="s">
        <v>312</v>
      </c>
      <c r="S2" s="81" t="s">
        <v>313</v>
      </c>
      <c r="T2" s="81" t="s">
        <v>314</v>
      </c>
      <c r="U2" s="81" t="s">
        <v>315</v>
      </c>
      <c r="V2" s="81" t="s">
        <v>316</v>
      </c>
      <c r="W2" s="81" t="s">
        <v>317</v>
      </c>
      <c r="X2" s="81" t="s">
        <v>318</v>
      </c>
      <c r="Y2" s="81" t="s">
        <v>319</v>
      </c>
      <c r="Z2" s="292"/>
      <c r="AA2" s="82">
        <v>2000</v>
      </c>
      <c r="AB2" s="293">
        <v>2001</v>
      </c>
      <c r="AC2" s="293">
        <v>2002</v>
      </c>
      <c r="AD2" s="293">
        <v>2003</v>
      </c>
      <c r="AE2" s="82">
        <v>2004</v>
      </c>
      <c r="AF2" s="82">
        <v>2005</v>
      </c>
      <c r="AG2" s="294">
        <v>2006</v>
      </c>
      <c r="AH2" s="294">
        <v>2007</v>
      </c>
      <c r="AI2" s="292"/>
      <c r="AJ2" s="292"/>
      <c r="AK2" s="292"/>
    </row>
    <row r="3" spans="1:37" x14ac:dyDescent="0.2">
      <c r="B3" s="76" t="s">
        <v>1319</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606</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1134</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606</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607</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1135</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606</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607</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253</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606</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607</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248</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606</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607</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354</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606</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607</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1123</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606</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607</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1121</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606</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607</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1127</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606</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607</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1136</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606</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607</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1137</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606</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607</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1230</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105</v>
      </c>
      <c r="C71" s="103">
        <f>+C72+C73</f>
        <v>950</v>
      </c>
      <c r="D71" s="103">
        <f>+D72+D73</f>
        <v>965</v>
      </c>
      <c r="E71" s="103"/>
      <c r="F71" s="103"/>
      <c r="G71" s="103"/>
      <c r="H71" s="103">
        <v>494</v>
      </c>
      <c r="I71" s="103"/>
      <c r="J71" s="116"/>
      <c r="K71" s="103"/>
      <c r="L71" s="103"/>
      <c r="M71" s="103"/>
      <c r="N71" s="103"/>
      <c r="O71" s="103"/>
      <c r="P71" s="103"/>
      <c r="Q71" s="103"/>
    </row>
    <row r="72" spans="2:17" x14ac:dyDescent="0.2">
      <c r="B72" s="99" t="s">
        <v>83</v>
      </c>
      <c r="C72" s="103">
        <v>550</v>
      </c>
      <c r="D72" s="103">
        <f>635-75</f>
        <v>560</v>
      </c>
      <c r="E72" s="119"/>
      <c r="F72" s="119"/>
      <c r="G72" s="119"/>
      <c r="H72" s="119">
        <v>261</v>
      </c>
      <c r="I72" s="119"/>
      <c r="J72" s="120"/>
      <c r="K72" s="119"/>
      <c r="L72" s="119"/>
      <c r="M72" s="119"/>
      <c r="N72" s="119"/>
      <c r="O72" s="119"/>
      <c r="P72" s="119"/>
      <c r="Q72" s="119"/>
    </row>
    <row r="73" spans="2:17" x14ac:dyDescent="0.2">
      <c r="B73" s="99" t="s">
        <v>84</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106</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83</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84</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1139</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83</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84</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107</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83</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84</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4"/>
  <sheetViews>
    <sheetView workbookViewId="0">
      <selection activeCell="B4" sqref="B4"/>
    </sheetView>
  </sheetViews>
  <sheetFormatPr defaultRowHeight="12.75" x14ac:dyDescent="0.2"/>
  <cols>
    <col min="1" max="1" width="5" bestFit="1" customWidth="1"/>
  </cols>
  <sheetData>
    <row r="1" spans="1:15" x14ac:dyDescent="0.2">
      <c r="A1" s="152" t="s">
        <v>167</v>
      </c>
    </row>
    <row r="2" spans="1:15" x14ac:dyDescent="0.2">
      <c r="B2" t="s">
        <v>1325</v>
      </c>
      <c r="O2" s="3"/>
    </row>
    <row r="3" spans="1:15" x14ac:dyDescent="0.2">
      <c r="B3" t="s">
        <v>1326</v>
      </c>
      <c r="O3" s="3"/>
    </row>
    <row r="4" spans="1:15" x14ac:dyDescent="0.2">
      <c r="B4" t="s">
        <v>870</v>
      </c>
      <c r="O4" s="3"/>
    </row>
    <row r="5" spans="1:15" x14ac:dyDescent="0.2">
      <c r="B5" t="s">
        <v>1575</v>
      </c>
      <c r="O5" s="3"/>
    </row>
    <row r="6" spans="1:15" x14ac:dyDescent="0.2">
      <c r="B6" t="s">
        <v>1458</v>
      </c>
      <c r="O6" s="3"/>
    </row>
    <row r="7" spans="1:15" x14ac:dyDescent="0.2">
      <c r="B7" t="s">
        <v>1330</v>
      </c>
    </row>
    <row r="8" spans="1:15" x14ac:dyDescent="0.2">
      <c r="B8" t="s">
        <v>145</v>
      </c>
    </row>
    <row r="9" spans="1:15" x14ac:dyDescent="0.2">
      <c r="B9" t="s">
        <v>1466</v>
      </c>
    </row>
    <row r="10" spans="1:15" x14ac:dyDescent="0.2">
      <c r="B10" t="s">
        <v>1470</v>
      </c>
    </row>
    <row r="11" spans="1:15" x14ac:dyDescent="0.2">
      <c r="B11" t="s">
        <v>1474</v>
      </c>
    </row>
    <row r="12" spans="1:15" x14ac:dyDescent="0.2">
      <c r="B12" t="s">
        <v>155</v>
      </c>
      <c r="O12" s="3"/>
    </row>
    <row r="13" spans="1:15" x14ac:dyDescent="0.2">
      <c r="B13" t="s">
        <v>1045</v>
      </c>
    </row>
    <row r="14" spans="1:15" x14ac:dyDescent="0.2">
      <c r="B14" t="s">
        <v>1236</v>
      </c>
    </row>
    <row r="16" spans="1:15" x14ac:dyDescent="0.2">
      <c r="B16" t="s">
        <v>1573</v>
      </c>
    </row>
    <row r="17" spans="2:16" x14ac:dyDescent="0.2">
      <c r="B17" t="s">
        <v>1574</v>
      </c>
    </row>
    <row r="18" spans="2:16" x14ac:dyDescent="0.2">
      <c r="B18" t="s">
        <v>143</v>
      </c>
    </row>
    <row r="19" spans="2:16" x14ac:dyDescent="0.2">
      <c r="B19" t="s">
        <v>1467</v>
      </c>
    </row>
    <row r="20" spans="2:16" x14ac:dyDescent="0.2">
      <c r="B20" t="s">
        <v>144</v>
      </c>
    </row>
    <row r="23" spans="2:16" x14ac:dyDescent="0.2">
      <c r="B23" t="s">
        <v>1825</v>
      </c>
    </row>
    <row r="24" spans="2:16" x14ac:dyDescent="0.2">
      <c r="B24" s="319" t="s">
        <v>655</v>
      </c>
    </row>
    <row r="25" spans="2:16" x14ac:dyDescent="0.2">
      <c r="B25" s="319" t="s">
        <v>458</v>
      </c>
    </row>
    <row r="26" spans="2:16" x14ac:dyDescent="0.2">
      <c r="B26" t="s">
        <v>1362</v>
      </c>
    </row>
    <row r="27" spans="2:16" x14ac:dyDescent="0.2">
      <c r="B27" t="s">
        <v>1453</v>
      </c>
    </row>
    <row r="28" spans="2:16" x14ac:dyDescent="0.2">
      <c r="B28" t="s">
        <v>1454</v>
      </c>
    </row>
    <row r="29" spans="2:16" x14ac:dyDescent="0.2">
      <c r="B29" t="s">
        <v>1457</v>
      </c>
    </row>
    <row r="30" spans="2:16" x14ac:dyDescent="0.2">
      <c r="B30" t="s">
        <v>1463</v>
      </c>
    </row>
    <row r="32" spans="2:16" x14ac:dyDescent="0.2">
      <c r="B32" s="324" t="s">
        <v>1576</v>
      </c>
      <c r="J32" s="324" t="s">
        <v>1586</v>
      </c>
      <c r="P32" s="324" t="s">
        <v>1587</v>
      </c>
    </row>
    <row r="33" spans="2:16" x14ac:dyDescent="0.2">
      <c r="B33" t="s">
        <v>1577</v>
      </c>
      <c r="J33" t="s">
        <v>1824</v>
      </c>
      <c r="P33" t="s">
        <v>1588</v>
      </c>
    </row>
    <row r="34" spans="2:16" x14ac:dyDescent="0.2">
      <c r="B34" t="s">
        <v>1823</v>
      </c>
      <c r="P34" t="s">
        <v>1589</v>
      </c>
    </row>
    <row r="35" spans="2:16" x14ac:dyDescent="0.2">
      <c r="B35" t="s">
        <v>1581</v>
      </c>
      <c r="P35" t="s">
        <v>1590</v>
      </c>
    </row>
    <row r="36" spans="2:16" x14ac:dyDescent="0.2">
      <c r="B36" t="s">
        <v>1580</v>
      </c>
      <c r="P36" t="s">
        <v>1591</v>
      </c>
    </row>
    <row r="37" spans="2:16" x14ac:dyDescent="0.2">
      <c r="B37" t="s">
        <v>1578</v>
      </c>
      <c r="P37" t="s">
        <v>1592</v>
      </c>
    </row>
    <row r="38" spans="2:16" x14ac:dyDescent="0.2">
      <c r="B38" t="s">
        <v>1579</v>
      </c>
      <c r="P38" t="s">
        <v>1593</v>
      </c>
    </row>
    <row r="39" spans="2:16" x14ac:dyDescent="0.2">
      <c r="B39" t="s">
        <v>1582</v>
      </c>
      <c r="P39" t="s">
        <v>1594</v>
      </c>
    </row>
    <row r="40" spans="2:16" x14ac:dyDescent="0.2">
      <c r="B40" t="s">
        <v>1583</v>
      </c>
      <c r="P40" t="s">
        <v>1595</v>
      </c>
    </row>
    <row r="41" spans="2:16" x14ac:dyDescent="0.2">
      <c r="B41" t="s">
        <v>1584</v>
      </c>
      <c r="P41" t="s">
        <v>1596</v>
      </c>
    </row>
    <row r="42" spans="2:16" x14ac:dyDescent="0.2">
      <c r="B42" t="s">
        <v>1585</v>
      </c>
      <c r="P42" t="s">
        <v>1597</v>
      </c>
    </row>
    <row r="43" spans="2:16" x14ac:dyDescent="0.2">
      <c r="P43" t="s">
        <v>1598</v>
      </c>
    </row>
    <row r="44" spans="2:16" x14ac:dyDescent="0.2">
      <c r="P44" t="s">
        <v>1599</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167</v>
      </c>
    </row>
    <row r="2" spans="1:31" ht="12.75" customHeight="1" x14ac:dyDescent="0.2">
      <c r="B2" s="252" t="s">
        <v>1122</v>
      </c>
    </row>
    <row r="3" spans="1:31" ht="12.75" customHeight="1" x14ac:dyDescent="0.2">
      <c r="B3" t="s">
        <v>1318</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251</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83</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84</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249</v>
      </c>
      <c r="D12" s="72">
        <v>2002</v>
      </c>
      <c r="E12" s="72">
        <v>2003</v>
      </c>
      <c r="F12" s="72">
        <v>2004</v>
      </c>
      <c r="G12" s="253" t="s">
        <v>795</v>
      </c>
      <c r="H12" s="253" t="s">
        <v>796</v>
      </c>
      <c r="I12" s="253" t="s">
        <v>797</v>
      </c>
      <c r="J12" s="254" t="s">
        <v>533</v>
      </c>
    </row>
    <row r="13" spans="1:31" ht="12.75" customHeight="1" x14ac:dyDescent="0.2">
      <c r="B13" s="262" t="s">
        <v>1129</v>
      </c>
      <c r="C13" s="261">
        <v>388</v>
      </c>
      <c r="D13" s="261">
        <v>405</v>
      </c>
      <c r="E13" s="261">
        <v>420</v>
      </c>
      <c r="F13" s="261">
        <v>440</v>
      </c>
      <c r="G13" s="263">
        <v>468</v>
      </c>
      <c r="H13" s="263">
        <v>490</v>
      </c>
      <c r="I13" s="263">
        <v>514</v>
      </c>
      <c r="J13" s="264">
        <v>542</v>
      </c>
      <c r="L13" t="s">
        <v>1320</v>
      </c>
    </row>
    <row r="14" spans="1:31" ht="12.75" customHeight="1" x14ac:dyDescent="0.2">
      <c r="B14" s="262" t="s">
        <v>1130</v>
      </c>
      <c r="C14" s="265"/>
      <c r="D14" s="265"/>
      <c r="E14" s="265"/>
      <c r="F14" s="265"/>
      <c r="G14" s="266">
        <v>638</v>
      </c>
      <c r="H14" s="266">
        <v>710</v>
      </c>
      <c r="I14" s="266">
        <v>774</v>
      </c>
      <c r="J14" s="267">
        <v>836</v>
      </c>
    </row>
    <row r="15" spans="1:31" ht="12.75" customHeight="1" x14ac:dyDescent="0.2">
      <c r="B15" s="262" t="s">
        <v>1131</v>
      </c>
      <c r="C15" s="265">
        <v>129</v>
      </c>
      <c r="D15" s="265">
        <v>152</v>
      </c>
      <c r="E15" s="265">
        <v>174</v>
      </c>
      <c r="F15" s="268">
        <v>198</v>
      </c>
      <c r="G15" s="266">
        <v>236</v>
      </c>
      <c r="H15" s="266">
        <v>268</v>
      </c>
      <c r="I15" s="266">
        <v>300</v>
      </c>
      <c r="J15" s="267">
        <v>336</v>
      </c>
    </row>
    <row r="16" spans="1:31" ht="12.75" customHeight="1" x14ac:dyDescent="0.2">
      <c r="B16" s="262" t="s">
        <v>401</v>
      </c>
      <c r="C16" s="269">
        <v>70</v>
      </c>
      <c r="D16" s="269">
        <v>74</v>
      </c>
      <c r="E16" s="269">
        <v>80</v>
      </c>
      <c r="F16" s="270">
        <v>86</v>
      </c>
      <c r="G16" s="271">
        <v>93</v>
      </c>
      <c r="H16" s="271">
        <v>98</v>
      </c>
      <c r="I16" s="271">
        <v>102</v>
      </c>
      <c r="J16" s="272">
        <v>106</v>
      </c>
    </row>
    <row r="17" spans="2:10" ht="12.75" customHeight="1" x14ac:dyDescent="0.2">
      <c r="B17" s="273" t="s">
        <v>1132</v>
      </c>
      <c r="C17" s="274"/>
      <c r="D17" s="274"/>
      <c r="E17" s="274"/>
      <c r="F17" s="274"/>
      <c r="G17" s="274"/>
      <c r="H17" s="274"/>
      <c r="I17" s="274"/>
      <c r="J17" s="275"/>
    </row>
    <row r="18" spans="2:10" ht="12.75" customHeight="1" x14ac:dyDescent="0.2">
      <c r="B18" s="276" t="s">
        <v>1133</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167</v>
      </c>
    </row>
    <row r="2" spans="1:32" ht="12.75" customHeight="1" x14ac:dyDescent="0.2">
      <c r="B2" s="252" t="s">
        <v>1040</v>
      </c>
    </row>
    <row r="3" spans="1:32" ht="12.75" customHeight="1" x14ac:dyDescent="0.2">
      <c r="B3" s="252" t="s">
        <v>1042</v>
      </c>
    </row>
    <row r="4" spans="1:32" ht="12.75" customHeight="1" x14ac:dyDescent="0.2">
      <c r="B4" s="252" t="s">
        <v>1043</v>
      </c>
    </row>
    <row r="6" spans="1:32" ht="12.75" customHeight="1" x14ac:dyDescent="0.2">
      <c r="B6" s="252" t="s">
        <v>1041</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97</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83</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84</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98</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83</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84</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99</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100</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606</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167</v>
      </c>
    </row>
    <row r="2" spans="1:45" ht="13.5" customHeight="1" x14ac:dyDescent="0.2">
      <c r="C2" s="107">
        <v>1999</v>
      </c>
      <c r="D2" s="107">
        <v>2000</v>
      </c>
      <c r="E2" s="107">
        <v>2001</v>
      </c>
      <c r="F2" s="107">
        <v>2002</v>
      </c>
      <c r="G2" s="107">
        <v>2003</v>
      </c>
      <c r="H2" s="107">
        <v>2004</v>
      </c>
      <c r="I2" s="41" t="s">
        <v>795</v>
      </c>
      <c r="J2" s="41" t="s">
        <v>796</v>
      </c>
      <c r="K2" s="41" t="s">
        <v>797</v>
      </c>
      <c r="L2" s="41" t="s">
        <v>533</v>
      </c>
      <c r="N2" s="41" t="s">
        <v>1006</v>
      </c>
      <c r="O2" s="41" t="s">
        <v>1007</v>
      </c>
      <c r="P2" s="41" t="s">
        <v>1008</v>
      </c>
      <c r="Q2" s="41" t="s">
        <v>1009</v>
      </c>
      <c r="R2" s="41" t="s">
        <v>1010</v>
      </c>
      <c r="S2" s="41" t="s">
        <v>1011</v>
      </c>
      <c r="T2" s="41" t="s">
        <v>1012</v>
      </c>
      <c r="U2" s="41" t="s">
        <v>1013</v>
      </c>
      <c r="V2" s="41" t="s">
        <v>1014</v>
      </c>
      <c r="W2" s="41" t="s">
        <v>1015</v>
      </c>
      <c r="X2" s="41" t="s">
        <v>1016</v>
      </c>
      <c r="Y2" s="41" t="s">
        <v>1025</v>
      </c>
      <c r="Z2" s="41" t="s">
        <v>1026</v>
      </c>
      <c r="AA2" s="41" t="s">
        <v>1027</v>
      </c>
      <c r="AB2" s="41" t="s">
        <v>1028</v>
      </c>
      <c r="AC2" s="41" t="s">
        <v>1029</v>
      </c>
      <c r="AD2" s="41" t="s">
        <v>1030</v>
      </c>
      <c r="AE2" s="41" t="s">
        <v>1031</v>
      </c>
      <c r="AF2" s="41" t="s">
        <v>1032</v>
      </c>
      <c r="AG2" s="41" t="s">
        <v>1033</v>
      </c>
      <c r="AH2" s="41" t="s">
        <v>854</v>
      </c>
      <c r="AI2" s="41" t="s">
        <v>855</v>
      </c>
      <c r="AJ2" s="41" t="s">
        <v>856</v>
      </c>
      <c r="AK2" s="41" t="s">
        <v>857</v>
      </c>
      <c r="AL2" s="41" t="s">
        <v>858</v>
      </c>
      <c r="AM2" s="41" t="s">
        <v>859</v>
      </c>
      <c r="AN2" s="41" t="s">
        <v>46</v>
      </c>
      <c r="AO2" s="41" t="s">
        <v>860</v>
      </c>
      <c r="AP2" s="41" t="s">
        <v>910</v>
      </c>
      <c r="AQ2" s="41" t="s">
        <v>911</v>
      </c>
      <c r="AR2" s="41" t="s">
        <v>912</v>
      </c>
      <c r="AS2" s="41" t="s">
        <v>913</v>
      </c>
    </row>
    <row r="3" spans="1:45" ht="13.5" customHeight="1" x14ac:dyDescent="0.2">
      <c r="B3" s="290" t="s">
        <v>1286</v>
      </c>
      <c r="C3" s="41">
        <f>D3/1.057</f>
        <v>999.34432304941652</v>
      </c>
      <c r="D3" s="41">
        <v>1056.3069494632332</v>
      </c>
      <c r="R3" s="41">
        <v>264.49937629937631</v>
      </c>
      <c r="S3" s="41">
        <v>258.70371346956711</v>
      </c>
      <c r="T3" s="41">
        <v>259.68214285714288</v>
      </c>
      <c r="U3" s="41">
        <v>273.74224021592443</v>
      </c>
    </row>
    <row r="4" spans="1:45" ht="13.5" customHeight="1" x14ac:dyDescent="0.2">
      <c r="B4" s="106" t="s">
        <v>643</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853</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1001</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1002</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1003</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47</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48</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49</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643</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853</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1004</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1005</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50</v>
      </c>
    </row>
    <row r="19" spans="2:45" ht="13.5" customHeight="1" x14ac:dyDescent="0.2">
      <c r="B19" s="106" t="s">
        <v>51</v>
      </c>
    </row>
    <row r="20" spans="2:45" ht="13.5" customHeight="1" x14ac:dyDescent="0.2">
      <c r="B20" s="106" t="s">
        <v>52</v>
      </c>
    </row>
    <row r="22" spans="2:45" ht="13.5" customHeight="1" x14ac:dyDescent="0.2">
      <c r="B22" s="106" t="s">
        <v>53</v>
      </c>
    </row>
    <row r="23" spans="2:45" ht="13.5" customHeight="1" x14ac:dyDescent="0.2">
      <c r="B23" s="106" t="s">
        <v>1287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795</v>
      </c>
      <c r="F2" s="62" t="s">
        <v>796</v>
      </c>
      <c r="G2" s="62" t="s">
        <v>797</v>
      </c>
      <c r="H2" s="63" t="s">
        <v>533</v>
      </c>
    </row>
    <row r="3" spans="1:31" x14ac:dyDescent="0.2">
      <c r="A3" t="s">
        <v>1124</v>
      </c>
      <c r="B3">
        <v>23.6</v>
      </c>
      <c r="C3">
        <v>34.119999999999997</v>
      </c>
      <c r="D3">
        <v>67.930000000000007</v>
      </c>
      <c r="E3" t="s">
        <v>1125</v>
      </c>
    </row>
    <row r="5" spans="1:31" x14ac:dyDescent="0.2">
      <c r="B5" t="s">
        <v>1126</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1123</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83</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84</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167</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1456</v>
      </c>
    </row>
    <row r="4" spans="1:32" ht="12.75" customHeight="1" x14ac:dyDescent="0.2">
      <c r="B4" s="102" t="s">
        <v>1128</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1138</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83</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84</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167</v>
      </c>
    </row>
    <row r="2" spans="1:12" x14ac:dyDescent="0.2">
      <c r="A2" s="5"/>
      <c r="B2" s="132" t="s">
        <v>1366</v>
      </c>
    </row>
    <row r="3" spans="1:12" x14ac:dyDescent="0.2">
      <c r="A3" s="5"/>
      <c r="B3" s="132" t="s">
        <v>1367</v>
      </c>
    </row>
    <row r="4" spans="1:12" x14ac:dyDescent="0.2">
      <c r="A4" s="5"/>
      <c r="B4" s="132" t="s">
        <v>1368</v>
      </c>
    </row>
    <row r="5" spans="1:12" x14ac:dyDescent="0.2">
      <c r="A5" s="5"/>
      <c r="B5" s="132" t="s">
        <v>1363</v>
      </c>
    </row>
    <row r="6" spans="1:12" x14ac:dyDescent="0.2">
      <c r="A6" s="5"/>
      <c r="B6" s="132" t="s">
        <v>1364</v>
      </c>
    </row>
    <row r="7" spans="1:12" x14ac:dyDescent="0.2">
      <c r="A7" s="5"/>
      <c r="B7" s="132" t="s">
        <v>1365</v>
      </c>
    </row>
    <row r="8" spans="1:12" x14ac:dyDescent="0.2">
      <c r="A8" s="5"/>
      <c r="B8" s="132" t="s">
        <v>1448</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1140</v>
      </c>
      <c r="C11" s="321"/>
      <c r="D11" s="321"/>
      <c r="E11" s="321"/>
      <c r="F11" s="321"/>
      <c r="G11" s="321"/>
      <c r="H11" s="321"/>
      <c r="I11" s="321"/>
      <c r="J11" s="234"/>
      <c r="K11" s="234"/>
      <c r="L11" s="234"/>
    </row>
    <row r="12" spans="1:12" s="125" customFormat="1" x14ac:dyDescent="0.2">
      <c r="B12" s="125" t="s">
        <v>1141</v>
      </c>
      <c r="C12" s="321">
        <f>'MD&amp;D'!AC6</f>
        <v>344.5</v>
      </c>
      <c r="D12" s="321">
        <f>'MD&amp;D'!AD6</f>
        <v>524</v>
      </c>
      <c r="E12" s="321">
        <f>'MD&amp;D'!AE6</f>
        <v>654.20000000000005</v>
      </c>
      <c r="F12" s="321"/>
      <c r="G12" s="321"/>
      <c r="H12" s="321"/>
      <c r="I12" s="321"/>
      <c r="J12" s="234"/>
      <c r="K12" s="234"/>
      <c r="L12" s="234"/>
    </row>
    <row r="13" spans="1:12" s="125" customFormat="1" x14ac:dyDescent="0.2">
      <c r="B13" s="125" t="s">
        <v>1142</v>
      </c>
      <c r="C13" s="321">
        <f>'MD&amp;D'!AC9</f>
        <v>155</v>
      </c>
      <c r="D13" s="321">
        <f>'MD&amp;D'!AD9</f>
        <v>0</v>
      </c>
      <c r="E13" s="321">
        <f>'MD&amp;D'!AE9</f>
        <v>0</v>
      </c>
      <c r="F13" s="321"/>
      <c r="G13" s="321"/>
      <c r="H13" s="321"/>
      <c r="I13" s="321"/>
      <c r="J13" s="234"/>
      <c r="K13" s="234"/>
      <c r="L13" s="234"/>
    </row>
    <row r="14" spans="1:12" s="125" customFormat="1" x14ac:dyDescent="0.2">
      <c r="B14" s="125" t="s">
        <v>1143</v>
      </c>
      <c r="C14" s="321"/>
      <c r="D14" s="321"/>
      <c r="E14" s="321"/>
      <c r="F14" s="321">
        <v>2602</v>
      </c>
      <c r="G14" s="321">
        <v>2905</v>
      </c>
      <c r="H14" s="321">
        <v>2599</v>
      </c>
      <c r="I14" s="321">
        <v>1864</v>
      </c>
      <c r="J14" s="321">
        <v>1420</v>
      </c>
      <c r="K14" s="321">
        <v>1283</v>
      </c>
      <c r="L14" s="234"/>
    </row>
    <row r="15" spans="1:12" s="125" customFormat="1" x14ac:dyDescent="0.2">
      <c r="B15" s="125" t="s">
        <v>1144</v>
      </c>
      <c r="C15" s="321">
        <f>'MD&amp;D'!AC7</f>
        <v>738.8</v>
      </c>
      <c r="D15" s="321">
        <f>'MD&amp;D'!AD7</f>
        <v>1120</v>
      </c>
      <c r="E15" s="321">
        <f>'MD&amp;D'!AE7</f>
        <v>1301.3000000000002</v>
      </c>
      <c r="F15" s="321"/>
      <c r="G15" s="321"/>
      <c r="H15" s="321"/>
      <c r="I15" s="321"/>
      <c r="J15" s="234"/>
      <c r="K15" s="234"/>
      <c r="L15" s="234"/>
    </row>
    <row r="16" spans="1:12" s="125" customFormat="1" x14ac:dyDescent="0.2">
      <c r="B16" s="125" t="s">
        <v>1145</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1146</v>
      </c>
      <c r="C18" s="321"/>
      <c r="D18" s="321"/>
      <c r="E18" s="321"/>
      <c r="F18" s="321"/>
      <c r="G18" s="321" t="s">
        <v>1147</v>
      </c>
      <c r="H18" s="321"/>
      <c r="I18" s="321"/>
      <c r="J18" s="234"/>
      <c r="K18" s="234"/>
      <c r="L18" s="234"/>
    </row>
    <row r="19" spans="2:12" s="125" customFormat="1" x14ac:dyDescent="0.2">
      <c r="B19" s="125" t="s">
        <v>1148</v>
      </c>
      <c r="C19" s="321"/>
      <c r="D19" s="321"/>
      <c r="E19" s="321"/>
      <c r="F19" s="321"/>
      <c r="G19" s="322" t="s">
        <v>1149</v>
      </c>
      <c r="H19" s="322"/>
      <c r="I19" s="322"/>
      <c r="J19" s="234"/>
      <c r="K19" s="234"/>
      <c r="L19" s="234"/>
    </row>
    <row r="20" spans="2:12" s="125" customFormat="1" x14ac:dyDescent="0.2">
      <c r="B20" s="125" t="s">
        <v>1150</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1151</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38</v>
      </c>
    </row>
    <row r="38" spans="2:3" x14ac:dyDescent="0.2">
      <c r="B38" s="122" t="s">
        <v>39</v>
      </c>
    </row>
    <row r="39" spans="2:3" x14ac:dyDescent="0.2">
      <c r="B39" s="122" t="s">
        <v>40</v>
      </c>
    </row>
    <row r="40" spans="2:3" x14ac:dyDescent="0.2">
      <c r="B40" s="122" t="s">
        <v>41</v>
      </c>
    </row>
    <row r="42" spans="2:3" x14ac:dyDescent="0.2">
      <c r="B42" s="13" t="s">
        <v>42</v>
      </c>
    </row>
    <row r="43" spans="2:3" x14ac:dyDescent="0.2">
      <c r="B43" s="122" t="s">
        <v>43</v>
      </c>
    </row>
    <row r="44" spans="2:3" x14ac:dyDescent="0.2">
      <c r="B44" s="122" t="s">
        <v>44</v>
      </c>
    </row>
    <row r="45" spans="2:3" x14ac:dyDescent="0.2">
      <c r="B45" s="122" t="s">
        <v>45</v>
      </c>
    </row>
    <row r="46" spans="2:3" x14ac:dyDescent="0.2">
      <c r="B46" s="204" t="s">
        <v>917</v>
      </c>
    </row>
    <row r="48" spans="2:3" x14ac:dyDescent="0.2">
      <c r="B48" s="205" t="s">
        <v>918</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246</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101</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83</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84</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102</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83</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84</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103</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83</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84</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104</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83</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84</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1135</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83</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84</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167</v>
      </c>
    </row>
    <row r="2" spans="1:32" x14ac:dyDescent="0.2">
      <c r="A2" s="5"/>
      <c r="B2" s="122" t="s">
        <v>139</v>
      </c>
    </row>
    <row r="3" spans="1:32" x14ac:dyDescent="0.2">
      <c r="B3" s="122" t="s">
        <v>1455</v>
      </c>
    </row>
    <row r="4" spans="1:32" x14ac:dyDescent="0.2">
      <c r="B4" s="122" t="s">
        <v>140</v>
      </c>
    </row>
    <row r="5" spans="1:32" x14ac:dyDescent="0.2">
      <c r="B5" s="122" t="s">
        <v>142</v>
      </c>
    </row>
    <row r="6" spans="1:32" x14ac:dyDescent="0.2">
      <c r="B6" s="122" t="s">
        <v>141</v>
      </c>
    </row>
    <row r="7" spans="1:32" x14ac:dyDescent="0.2">
      <c r="B7" s="8" t="s">
        <v>1562</v>
      </c>
    </row>
    <row r="10" spans="1:32" x14ac:dyDescent="0.2">
      <c r="B10" s="122" t="s">
        <v>54</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89</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90</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83</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84</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91</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83</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84</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93</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83</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84</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94</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83</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84</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95</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83</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84</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96</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83</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84</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1565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167</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1170</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55</v>
      </c>
    </row>
    <row r="6" spans="1:32" x14ac:dyDescent="0.2">
      <c r="C6" t="s">
        <v>1171</v>
      </c>
    </row>
    <row r="7" spans="1:32" x14ac:dyDescent="0.2">
      <c r="C7" t="s">
        <v>1174</v>
      </c>
    </row>
    <row r="8" spans="1:32" x14ac:dyDescent="0.2">
      <c r="C8" t="s">
        <v>1173</v>
      </c>
    </row>
    <row r="10" spans="1:32" x14ac:dyDescent="0.2">
      <c r="C10" s="19" t="s">
        <v>1328</v>
      </c>
    </row>
    <row r="12" spans="1:32" x14ac:dyDescent="0.2">
      <c r="B12" s="104" t="s">
        <v>1229</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82</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83</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84</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85</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83</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84</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86</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83</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84</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87</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83</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84</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88</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83</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84</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167</v>
      </c>
    </row>
    <row r="2" spans="1:6" x14ac:dyDescent="0.2">
      <c r="A2" s="2"/>
      <c r="B2" t="s">
        <v>171</v>
      </c>
      <c r="C2" s="98" t="s">
        <v>169</v>
      </c>
      <c r="D2" s="98" t="s">
        <v>1156</v>
      </c>
      <c r="E2" t="s">
        <v>124</v>
      </c>
    </row>
    <row r="3" spans="1:6" x14ac:dyDescent="0.2">
      <c r="A3" s="2"/>
      <c r="B3" t="s">
        <v>1563</v>
      </c>
      <c r="E3" t="s">
        <v>1564</v>
      </c>
    </row>
    <row r="4" spans="1:6" x14ac:dyDescent="0.2">
      <c r="A4" s="2"/>
      <c r="B4" t="s">
        <v>1446</v>
      </c>
      <c r="C4" s="212">
        <v>40330</v>
      </c>
      <c r="E4" t="s">
        <v>1447</v>
      </c>
    </row>
    <row r="5" spans="1:6" x14ac:dyDescent="0.2">
      <c r="A5" s="2"/>
      <c r="B5" t="s">
        <v>1344</v>
      </c>
      <c r="C5" s="212">
        <v>40096</v>
      </c>
      <c r="D5" s="304" t="s">
        <v>1345</v>
      </c>
      <c r="E5" t="s">
        <v>1346</v>
      </c>
    </row>
    <row r="6" spans="1:6" x14ac:dyDescent="0.2">
      <c r="A6" s="2"/>
      <c r="B6" t="s">
        <v>1154</v>
      </c>
      <c r="D6" s="98" t="s">
        <v>1162</v>
      </c>
      <c r="E6" t="s">
        <v>1163</v>
      </c>
    </row>
    <row r="7" spans="1:6" x14ac:dyDescent="0.2">
      <c r="A7" s="2"/>
      <c r="B7" t="s">
        <v>1155</v>
      </c>
    </row>
    <row r="8" spans="1:6" x14ac:dyDescent="0.2">
      <c r="A8" s="2"/>
      <c r="B8" t="s">
        <v>1153</v>
      </c>
    </row>
    <row r="9" spans="1:6" x14ac:dyDescent="0.2">
      <c r="A9" s="2"/>
      <c r="B9" t="s">
        <v>919</v>
      </c>
      <c r="E9" t="s">
        <v>920</v>
      </c>
    </row>
    <row r="10" spans="1:6" x14ac:dyDescent="0.2">
      <c r="A10" s="2"/>
      <c r="B10" t="s">
        <v>1172</v>
      </c>
    </row>
    <row r="11" spans="1:6" x14ac:dyDescent="0.2">
      <c r="A11" s="2"/>
      <c r="B11" t="s">
        <v>56</v>
      </c>
      <c r="C11" s="212">
        <v>39114</v>
      </c>
      <c r="D11" s="212"/>
      <c r="E11" t="s">
        <v>57</v>
      </c>
    </row>
    <row r="12" spans="1:6" x14ac:dyDescent="0.2">
      <c r="A12" s="2"/>
      <c r="B12" s="1" t="s">
        <v>58</v>
      </c>
      <c r="C12" s="214">
        <v>39071</v>
      </c>
      <c r="D12" s="214"/>
      <c r="E12" s="1"/>
      <c r="F12" s="1"/>
    </row>
    <row r="13" spans="1:6" x14ac:dyDescent="0.2">
      <c r="A13" s="2"/>
      <c r="B13" t="s">
        <v>59</v>
      </c>
      <c r="C13" s="98" t="s">
        <v>60</v>
      </c>
      <c r="E13" t="s">
        <v>61</v>
      </c>
    </row>
    <row r="14" spans="1:6" x14ac:dyDescent="0.2">
      <c r="A14" s="2"/>
      <c r="B14" t="s">
        <v>62</v>
      </c>
      <c r="D14" s="98" t="s">
        <v>1347</v>
      </c>
      <c r="E14" t="s">
        <v>1348</v>
      </c>
    </row>
    <row r="15" spans="1:6" x14ac:dyDescent="0.2">
      <c r="A15" s="2"/>
      <c r="B15" t="s">
        <v>63</v>
      </c>
      <c r="C15" s="98" t="s">
        <v>64</v>
      </c>
      <c r="E15" t="s">
        <v>65</v>
      </c>
    </row>
    <row r="16" spans="1:6" x14ac:dyDescent="0.2">
      <c r="A16" s="2"/>
      <c r="B16" t="s">
        <v>66</v>
      </c>
      <c r="E16" t="s">
        <v>67</v>
      </c>
    </row>
    <row r="17" spans="2:6" x14ac:dyDescent="0.2">
      <c r="B17" t="s">
        <v>1159</v>
      </c>
      <c r="C17" s="212">
        <v>38769</v>
      </c>
      <c r="D17" s="212" t="s">
        <v>1161</v>
      </c>
      <c r="E17" t="s">
        <v>1160</v>
      </c>
    </row>
    <row r="18" spans="2:6" x14ac:dyDescent="0.2">
      <c r="B18" t="s">
        <v>68</v>
      </c>
      <c r="E18" t="s">
        <v>69</v>
      </c>
    </row>
    <row r="19" spans="2:6" x14ac:dyDescent="0.2">
      <c r="B19" t="s">
        <v>70</v>
      </c>
      <c r="E19" t="s">
        <v>71</v>
      </c>
    </row>
    <row r="20" spans="2:6" x14ac:dyDescent="0.2">
      <c r="B20" s="1" t="s">
        <v>119</v>
      </c>
      <c r="C20" s="215" t="s">
        <v>123</v>
      </c>
      <c r="D20" s="215"/>
      <c r="E20" s="1" t="s">
        <v>120</v>
      </c>
      <c r="F20" s="1"/>
    </row>
    <row r="21" spans="2:6" x14ac:dyDescent="0.2">
      <c r="B21" t="s">
        <v>72</v>
      </c>
      <c r="E21" t="s">
        <v>73</v>
      </c>
    </row>
    <row r="22" spans="2:6" x14ac:dyDescent="0.2">
      <c r="B22" t="s">
        <v>74</v>
      </c>
      <c r="C22" s="98">
        <v>2005</v>
      </c>
      <c r="D22" s="98" t="s">
        <v>1157</v>
      </c>
      <c r="E22" t="s">
        <v>1152</v>
      </c>
    </row>
    <row r="23" spans="2:6" x14ac:dyDescent="0.2">
      <c r="B23" t="s">
        <v>75</v>
      </c>
      <c r="C23" s="98">
        <v>2005</v>
      </c>
      <c r="E23" t="s">
        <v>1167</v>
      </c>
    </row>
    <row r="24" spans="2:6" x14ac:dyDescent="0.2">
      <c r="B24" t="s">
        <v>76</v>
      </c>
      <c r="E24" t="s">
        <v>77</v>
      </c>
    </row>
    <row r="25" spans="2:6" x14ac:dyDescent="0.2">
      <c r="B25" t="s">
        <v>114</v>
      </c>
      <c r="C25" s="213">
        <v>37653</v>
      </c>
      <c r="D25" s="213"/>
      <c r="E25" t="s">
        <v>117</v>
      </c>
    </row>
    <row r="26" spans="2:6" x14ac:dyDescent="0.2">
      <c r="B26" t="s">
        <v>115</v>
      </c>
      <c r="C26" s="213">
        <v>37712</v>
      </c>
      <c r="D26" s="213"/>
      <c r="E26" t="s">
        <v>116</v>
      </c>
    </row>
    <row r="27" spans="2:6" x14ac:dyDescent="0.2">
      <c r="B27" s="1" t="s">
        <v>121</v>
      </c>
      <c r="C27" s="215"/>
      <c r="D27" s="215"/>
      <c r="E27" s="1"/>
    </row>
    <row r="28" spans="2:6" x14ac:dyDescent="0.2">
      <c r="B28" t="s">
        <v>125</v>
      </c>
    </row>
    <row r="29" spans="2:6" x14ac:dyDescent="0.2">
      <c r="B29" t="s">
        <v>458</v>
      </c>
      <c r="C29" s="98">
        <v>2002</v>
      </c>
      <c r="E29" t="s">
        <v>1166</v>
      </c>
    </row>
    <row r="30" spans="2:6" x14ac:dyDescent="0.2">
      <c r="B30" s="1" t="s">
        <v>126</v>
      </c>
      <c r="C30" s="215"/>
      <c r="D30" s="215"/>
      <c r="E30" s="1"/>
    </row>
    <row r="31" spans="2:6" x14ac:dyDescent="0.2">
      <c r="B31" t="s">
        <v>1358</v>
      </c>
    </row>
    <row r="32" spans="2:6" x14ac:dyDescent="0.2">
      <c r="B32" t="s">
        <v>1359</v>
      </c>
    </row>
    <row r="33" spans="2:2" x14ac:dyDescent="0.2">
      <c r="B33" t="s">
        <v>1360</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167</v>
      </c>
    </row>
    <row r="2" spans="1:19" x14ac:dyDescent="0.2">
      <c r="B2" s="337" t="s">
        <v>283</v>
      </c>
    </row>
    <row r="4" spans="1:19" x14ac:dyDescent="0.2">
      <c r="B4" s="336" t="s">
        <v>171</v>
      </c>
      <c r="C4" s="98" t="s">
        <v>1281</v>
      </c>
      <c r="D4" s="98" t="s">
        <v>1412</v>
      </c>
      <c r="E4" s="98" t="s">
        <v>1413</v>
      </c>
      <c r="F4" s="98" t="s">
        <v>1398</v>
      </c>
      <c r="G4" s="98" t="s">
        <v>1399</v>
      </c>
      <c r="H4" s="98" t="s">
        <v>1400</v>
      </c>
      <c r="I4" s="98" t="s">
        <v>168</v>
      </c>
      <c r="J4" s="98" t="s">
        <v>1402</v>
      </c>
      <c r="K4" s="98" t="s">
        <v>384</v>
      </c>
      <c r="L4" s="98" t="s">
        <v>1403</v>
      </c>
      <c r="M4" s="98" t="s">
        <v>1406</v>
      </c>
      <c r="N4" s="98" t="s">
        <v>1408</v>
      </c>
      <c r="O4" s="98" t="s">
        <v>1409</v>
      </c>
      <c r="P4" s="98" t="s">
        <v>1410</v>
      </c>
      <c r="Q4" s="98" t="s">
        <v>1411</v>
      </c>
      <c r="R4" s="98" t="s">
        <v>1415</v>
      </c>
    </row>
    <row r="5" spans="1:19" x14ac:dyDescent="0.2">
      <c r="B5" s="336" t="s">
        <v>1421</v>
      </c>
      <c r="C5" s="212">
        <v>41136</v>
      </c>
      <c r="D5" s="212">
        <v>39310</v>
      </c>
      <c r="E5" s="98" t="s">
        <v>1423</v>
      </c>
      <c r="F5" s="98">
        <v>600</v>
      </c>
      <c r="G5" s="335">
        <v>5.1499999999999997E-2</v>
      </c>
      <c r="H5" s="98" t="s">
        <v>1401</v>
      </c>
      <c r="I5" s="98">
        <v>108.89400000000001</v>
      </c>
      <c r="J5" s="335">
        <v>1.12E-2</v>
      </c>
      <c r="K5" s="335" t="s">
        <v>1430</v>
      </c>
      <c r="L5" s="98" t="s">
        <v>1422</v>
      </c>
      <c r="M5" s="98" t="s">
        <v>1407</v>
      </c>
      <c r="N5" s="335">
        <v>5.1999999999999998E-2</v>
      </c>
      <c r="O5" s="212">
        <v>39370</v>
      </c>
      <c r="P5" s="335">
        <v>7.7099999999999998E-3</v>
      </c>
      <c r="Q5" s="212">
        <v>40260</v>
      </c>
      <c r="R5" s="335">
        <v>7.7999999999999996E-3</v>
      </c>
      <c r="S5" s="335">
        <f t="shared" ref="S5:S14" si="0">+J5-R5</f>
        <v>3.4000000000000002E-3</v>
      </c>
    </row>
    <row r="6" spans="1:19" x14ac:dyDescent="0.2">
      <c r="B6" s="336" t="s">
        <v>1426</v>
      </c>
      <c r="C6" s="212">
        <v>41409</v>
      </c>
      <c r="D6" s="212">
        <v>37760</v>
      </c>
      <c r="E6" s="98" t="s">
        <v>1425</v>
      </c>
      <c r="F6" s="98">
        <v>500</v>
      </c>
      <c r="G6" s="335">
        <v>3.7999999999999999E-2</v>
      </c>
      <c r="H6" s="98" t="s">
        <v>1424</v>
      </c>
      <c r="I6" s="98">
        <v>105.56</v>
      </c>
      <c r="J6" s="335">
        <v>1.8800000000000001E-2</v>
      </c>
      <c r="K6" s="335" t="s">
        <v>1430</v>
      </c>
      <c r="L6" s="98" t="s">
        <v>1422</v>
      </c>
      <c r="M6" s="98" t="s">
        <v>1407</v>
      </c>
      <c r="N6" s="335">
        <v>5.8259999999999999E-2</v>
      </c>
      <c r="O6" s="212">
        <v>39251</v>
      </c>
      <c r="P6" s="335">
        <v>1.073E-2</v>
      </c>
      <c r="Q6" s="212">
        <v>40298</v>
      </c>
      <c r="R6" s="335">
        <v>1.29E-2</v>
      </c>
      <c r="S6" s="335">
        <f t="shared" si="0"/>
        <v>5.9000000000000007E-3</v>
      </c>
    </row>
    <row r="7" spans="1:19" x14ac:dyDescent="0.2">
      <c r="B7" s="336" t="s">
        <v>1427</v>
      </c>
      <c r="C7" s="212">
        <v>42962</v>
      </c>
      <c r="D7" s="212">
        <v>39307</v>
      </c>
      <c r="E7" s="98" t="s">
        <v>1428</v>
      </c>
      <c r="F7" s="98">
        <v>1000</v>
      </c>
      <c r="G7" s="335">
        <v>5.5500000000000001E-2</v>
      </c>
      <c r="H7" s="98" t="s">
        <v>1401</v>
      </c>
      <c r="I7" s="98">
        <v>113.53700000000001</v>
      </c>
      <c r="J7" s="335">
        <v>3.4200000000000001E-2</v>
      </c>
      <c r="K7" s="335" t="s">
        <v>1430</v>
      </c>
      <c r="L7" s="98" t="s">
        <v>1422</v>
      </c>
      <c r="M7" s="98" t="s">
        <v>1407</v>
      </c>
      <c r="N7" s="335">
        <v>5.9049999999999998E-2</v>
      </c>
      <c r="O7" s="212">
        <v>39735</v>
      </c>
      <c r="P7" s="335">
        <v>3.0290000000000001E-2</v>
      </c>
      <c r="Q7" s="212">
        <v>39867</v>
      </c>
      <c r="R7" s="335">
        <v>2.87E-2</v>
      </c>
      <c r="S7" s="335">
        <f t="shared" si="0"/>
        <v>5.5000000000000014E-3</v>
      </c>
    </row>
    <row r="8" spans="1:19" x14ac:dyDescent="0.2">
      <c r="B8" s="336" t="s">
        <v>1431</v>
      </c>
      <c r="C8" s="212">
        <v>43296</v>
      </c>
      <c r="D8" s="212">
        <v>39617</v>
      </c>
      <c r="E8" s="98" t="s">
        <v>1429</v>
      </c>
      <c r="F8" s="98">
        <v>900</v>
      </c>
      <c r="G8" s="335">
        <v>5.1499999999999997E-2</v>
      </c>
      <c r="H8" s="98" t="s">
        <v>1401</v>
      </c>
      <c r="I8" s="98">
        <v>110.286</v>
      </c>
      <c r="J8" s="335">
        <v>3.6799999999999999E-2</v>
      </c>
      <c r="K8" s="335" t="s">
        <v>1430</v>
      </c>
      <c r="L8" s="98" t="s">
        <v>1404</v>
      </c>
      <c r="M8" s="98" t="s">
        <v>1407</v>
      </c>
      <c r="N8" s="335">
        <v>5.7639999999999997E-2</v>
      </c>
      <c r="O8" s="212">
        <v>39735</v>
      </c>
      <c r="P8" s="335">
        <v>3.2250000000000001E-2</v>
      </c>
      <c r="Q8" s="212">
        <v>39868</v>
      </c>
      <c r="R8" s="335">
        <v>2.9700000000000001E-2</v>
      </c>
      <c r="S8" s="335">
        <f t="shared" si="0"/>
        <v>7.0999999999999987E-3</v>
      </c>
    </row>
    <row r="9" spans="1:19" x14ac:dyDescent="0.2">
      <c r="B9" s="336" t="s">
        <v>1432</v>
      </c>
      <c r="C9" s="212">
        <v>43775</v>
      </c>
      <c r="D9" s="212">
        <v>39385</v>
      </c>
      <c r="E9" s="98" t="s">
        <v>1433</v>
      </c>
      <c r="F9" s="98">
        <v>1000</v>
      </c>
      <c r="G9" s="335">
        <v>4.7500000000000001E-2</v>
      </c>
      <c r="H9" s="98" t="s">
        <v>1401</v>
      </c>
      <c r="I9" s="98">
        <v>112.91370000000001</v>
      </c>
      <c r="J9" s="335">
        <v>3.15E-2</v>
      </c>
      <c r="K9" s="335" t="s">
        <v>1434</v>
      </c>
      <c r="L9" s="98" t="s">
        <v>1422</v>
      </c>
      <c r="M9" s="98" t="s">
        <v>1407</v>
      </c>
      <c r="N9" s="335">
        <v>5.6779999999999997E-2</v>
      </c>
      <c r="O9" s="212">
        <v>39735</v>
      </c>
      <c r="P9" s="335">
        <v>3.125E-2</v>
      </c>
      <c r="Q9" s="212">
        <v>40304</v>
      </c>
      <c r="R9" s="335">
        <v>3.3500000000000002E-2</v>
      </c>
      <c r="S9" s="335">
        <f t="shared" si="0"/>
        <v>-2.0000000000000018E-3</v>
      </c>
    </row>
    <row r="10" spans="1:19" x14ac:dyDescent="0.2">
      <c r="B10" s="336" t="s">
        <v>1435</v>
      </c>
      <c r="C10" s="212">
        <v>45245</v>
      </c>
      <c r="D10" s="212">
        <v>34289</v>
      </c>
      <c r="E10" s="98" t="s">
        <v>1436</v>
      </c>
      <c r="F10" s="98">
        <v>250</v>
      </c>
      <c r="G10" s="335">
        <v>6.7299999999999999E-2</v>
      </c>
      <c r="H10" s="98" t="s">
        <v>1424</v>
      </c>
      <c r="I10" s="98">
        <v>125.001</v>
      </c>
      <c r="J10" s="335">
        <v>4.2700000000000002E-2</v>
      </c>
      <c r="K10" s="335" t="s">
        <v>1430</v>
      </c>
      <c r="L10" s="98" t="s">
        <v>1422</v>
      </c>
      <c r="M10" s="98" t="s">
        <v>1407</v>
      </c>
      <c r="N10" s="335">
        <v>7.6319999999999999E-2</v>
      </c>
      <c r="O10" s="212">
        <v>39741</v>
      </c>
      <c r="P10" s="335">
        <v>4.0099999999999997E-2</v>
      </c>
      <c r="Q10" s="212">
        <v>39828</v>
      </c>
      <c r="R10" s="335">
        <v>3.5499999999999997E-2</v>
      </c>
      <c r="S10" s="335">
        <f t="shared" si="0"/>
        <v>7.200000000000005E-3</v>
      </c>
    </row>
    <row r="11" spans="1:19" x14ac:dyDescent="0.2">
      <c r="B11" s="336" t="s">
        <v>1437</v>
      </c>
      <c r="C11" s="212">
        <v>45602</v>
      </c>
      <c r="D11" s="212">
        <v>39385</v>
      </c>
      <c r="E11" s="98" t="s">
        <v>1438</v>
      </c>
      <c r="F11" s="98">
        <v>500</v>
      </c>
      <c r="G11" s="335">
        <v>5.5E-2</v>
      </c>
      <c r="H11" s="98" t="s">
        <v>1401</v>
      </c>
      <c r="I11" s="98">
        <v>106.005</v>
      </c>
      <c r="J11" s="335">
        <v>4.8800000000000003E-2</v>
      </c>
      <c r="K11" s="335" t="s">
        <v>1439</v>
      </c>
      <c r="L11" s="98" t="s">
        <v>1422</v>
      </c>
      <c r="M11" s="98" t="s">
        <v>1407</v>
      </c>
      <c r="N11" s="335">
        <v>6.0879999999999997E-2</v>
      </c>
      <c r="O11" s="212">
        <v>39735</v>
      </c>
      <c r="P11" s="335">
        <v>4.4979999999999999E-2</v>
      </c>
      <c r="Q11" s="212">
        <v>40056</v>
      </c>
      <c r="R11" s="335">
        <v>3.6499999999999998E-2</v>
      </c>
      <c r="S11" s="335">
        <f t="shared" si="0"/>
        <v>1.2300000000000005E-2</v>
      </c>
    </row>
    <row r="12" spans="1:19" x14ac:dyDescent="0.2">
      <c r="B12" s="336" t="s">
        <v>1440</v>
      </c>
      <c r="C12" s="212">
        <v>47362</v>
      </c>
      <c r="D12" s="212">
        <v>36402</v>
      </c>
      <c r="E12" s="98" t="s">
        <v>1441</v>
      </c>
      <c r="F12" s="98">
        <v>293</v>
      </c>
      <c r="G12" s="335">
        <v>6.9500000000000006E-2</v>
      </c>
      <c r="H12" s="98" t="s">
        <v>1424</v>
      </c>
      <c r="I12" s="98">
        <v>131.88200000000001</v>
      </c>
      <c r="J12" s="335">
        <v>4.446E-2</v>
      </c>
      <c r="K12" s="335" t="s">
        <v>1430</v>
      </c>
      <c r="L12" s="98" t="s">
        <v>1422</v>
      </c>
      <c r="M12" s="98" t="s">
        <v>1407</v>
      </c>
      <c r="N12" s="335">
        <v>6.9029999999999994E-2</v>
      </c>
      <c r="O12" s="212">
        <v>40039</v>
      </c>
      <c r="P12" s="335">
        <v>4.1110000000000001E-2</v>
      </c>
      <c r="Q12" s="212">
        <v>37785</v>
      </c>
      <c r="R12" s="335">
        <v>3.6499999999999998E-2</v>
      </c>
      <c r="S12" s="335">
        <f t="shared" si="0"/>
        <v>7.9600000000000018E-3</v>
      </c>
    </row>
    <row r="13" spans="1:19" x14ac:dyDescent="0.2">
      <c r="B13" s="336" t="s">
        <v>1442</v>
      </c>
      <c r="C13" s="212">
        <v>48714</v>
      </c>
      <c r="D13" s="212">
        <v>37760</v>
      </c>
      <c r="E13" s="98" t="s">
        <v>1443</v>
      </c>
      <c r="F13" s="98">
        <v>500</v>
      </c>
      <c r="G13" s="335">
        <v>4.9500000000000002E-2</v>
      </c>
      <c r="H13" s="98" t="s">
        <v>1424</v>
      </c>
      <c r="I13" s="98">
        <v>109.919</v>
      </c>
      <c r="J13" s="335">
        <v>4.2630000000000001E-2</v>
      </c>
      <c r="K13" s="335" t="s">
        <v>1430</v>
      </c>
      <c r="L13" s="98" t="s">
        <v>1422</v>
      </c>
      <c r="M13" s="98" t="s">
        <v>1407</v>
      </c>
      <c r="N13" s="335">
        <v>7.7630000000000005E-2</v>
      </c>
      <c r="O13" s="212">
        <v>39735</v>
      </c>
      <c r="P13" s="335">
        <v>4.0050000000000002E-2</v>
      </c>
      <c r="Q13" s="212">
        <v>40414</v>
      </c>
      <c r="R13" s="335">
        <v>3.6999999999999998E-2</v>
      </c>
      <c r="S13" s="335">
        <f t="shared" si="0"/>
        <v>5.6300000000000031E-3</v>
      </c>
    </row>
    <row r="14" spans="1:19" x14ac:dyDescent="0.2">
      <c r="B14" s="336" t="s">
        <v>1444</v>
      </c>
      <c r="C14" s="212">
        <v>50267</v>
      </c>
      <c r="D14" s="212">
        <v>39307</v>
      </c>
      <c r="E14" s="98" t="s">
        <v>1445</v>
      </c>
      <c r="F14" s="98">
        <v>995</v>
      </c>
      <c r="G14" s="335">
        <v>5.9499999999999997E-2</v>
      </c>
      <c r="H14" s="98" t="s">
        <v>1401</v>
      </c>
      <c r="I14" s="98">
        <v>123.142</v>
      </c>
      <c r="J14" s="335">
        <v>4.4639999999999999E-2</v>
      </c>
      <c r="K14" s="335" t="s">
        <v>1430</v>
      </c>
      <c r="L14" s="98" t="s">
        <v>1404</v>
      </c>
      <c r="M14" s="98" t="s">
        <v>1407</v>
      </c>
      <c r="N14" s="335">
        <v>6.318E-2</v>
      </c>
      <c r="O14" s="212">
        <v>39738</v>
      </c>
      <c r="P14" s="335">
        <v>4.1369999999999997E-2</v>
      </c>
      <c r="Q14" s="212">
        <v>40421</v>
      </c>
      <c r="R14" s="335">
        <v>3.78E-2</v>
      </c>
      <c r="S14" s="335">
        <f t="shared" si="0"/>
        <v>6.8399999999999989E-3</v>
      </c>
    </row>
    <row r="15" spans="1:19" x14ac:dyDescent="0.2">
      <c r="B15" s="336" t="s">
        <v>1405</v>
      </c>
      <c r="C15" s="212">
        <v>50601</v>
      </c>
      <c r="D15" s="212">
        <v>39617</v>
      </c>
      <c r="E15" s="212" t="s">
        <v>1492</v>
      </c>
      <c r="F15" s="98">
        <v>700</v>
      </c>
      <c r="G15" s="335">
        <v>5.8500000000000003E-2</v>
      </c>
      <c r="H15" s="98" t="s">
        <v>1401</v>
      </c>
      <c r="I15" s="98">
        <v>122.22</v>
      </c>
      <c r="J15" s="335">
        <v>4.4499999999999998E-2</v>
      </c>
      <c r="K15" s="335" t="s">
        <v>1430</v>
      </c>
      <c r="L15" s="98" t="s">
        <v>1404</v>
      </c>
      <c r="M15" s="98" t="s">
        <v>1407</v>
      </c>
      <c r="N15" s="335">
        <v>7.0529999999999995E-2</v>
      </c>
      <c r="O15" s="212">
        <v>39738</v>
      </c>
      <c r="P15" s="335">
        <v>4.165E-2</v>
      </c>
      <c r="Q15" s="212">
        <v>40415</v>
      </c>
      <c r="R15" s="335">
        <v>3.7900000000000003E-2</v>
      </c>
      <c r="S15" s="335">
        <f>J15-R15</f>
        <v>6.5999999999999948E-3</v>
      </c>
    </row>
    <row r="16" spans="1:19" x14ac:dyDescent="0.2">
      <c r="B16" s="336" t="s">
        <v>1490</v>
      </c>
      <c r="C16" s="212">
        <v>51380</v>
      </c>
      <c r="D16" s="212">
        <v>40407</v>
      </c>
      <c r="E16" s="98" t="s">
        <v>1414</v>
      </c>
      <c r="F16" s="98">
        <v>550</v>
      </c>
      <c r="G16" s="335">
        <v>4.4999999999999998E-2</v>
      </c>
      <c r="H16" s="98" t="s">
        <v>1491</v>
      </c>
      <c r="I16" s="98">
        <v>101.13200000000001</v>
      </c>
      <c r="J16" s="335">
        <v>4.4299999999999999E-2</v>
      </c>
      <c r="K16" s="335" t="s">
        <v>1430</v>
      </c>
      <c r="L16" s="98" t="s">
        <v>1404</v>
      </c>
      <c r="M16" s="98" t="s">
        <v>1407</v>
      </c>
      <c r="N16" s="335">
        <v>4.6179999999999999E-2</v>
      </c>
      <c r="O16" s="212">
        <v>40402</v>
      </c>
      <c r="P16" s="335">
        <v>4.1230000000000003E-2</v>
      </c>
      <c r="Q16" s="212">
        <v>40415</v>
      </c>
      <c r="R16" s="335">
        <v>3.8100000000000002E-2</v>
      </c>
      <c r="S16" s="335">
        <f>J16-R16</f>
        <v>6.1999999999999972E-3</v>
      </c>
    </row>
    <row r="20" spans="2:2" x14ac:dyDescent="0.2">
      <c r="B20" s="58" t="s">
        <v>1652</v>
      </c>
    </row>
    <row r="21" spans="2:2" x14ac:dyDescent="0.2">
      <c r="B21" s="58" t="s">
        <v>1653</v>
      </c>
    </row>
    <row r="22" spans="2:2" x14ac:dyDescent="0.2">
      <c r="B22" s="58" t="s">
        <v>1654</v>
      </c>
    </row>
    <row r="23" spans="2:2" x14ac:dyDescent="0.2">
      <c r="B23" s="58" t="s">
        <v>1792</v>
      </c>
    </row>
    <row r="24" spans="2:2" x14ac:dyDescent="0.2">
      <c r="B24" s="58" t="s">
        <v>1800</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workbookViewId="0"/>
  </sheetViews>
  <sheetFormatPr defaultRowHeight="12.75" x14ac:dyDescent="0.2"/>
  <sheetData>
    <row r="1" spans="1:8" x14ac:dyDescent="0.2">
      <c r="A1" s="350" t="s">
        <v>1633</v>
      </c>
      <c r="B1" s="350"/>
      <c r="C1" s="350"/>
      <c r="D1" s="350"/>
      <c r="E1" s="350"/>
      <c r="F1" s="350"/>
      <c r="G1" s="350"/>
      <c r="H1" s="350"/>
    </row>
    <row r="2" spans="1:8" x14ac:dyDescent="0.2">
      <c r="A2" s="350"/>
      <c r="B2" s="350"/>
      <c r="C2" s="350"/>
      <c r="D2" s="350"/>
      <c r="E2" s="350"/>
      <c r="F2" s="350"/>
      <c r="G2" s="350"/>
      <c r="H2" s="350"/>
    </row>
    <row r="3" spans="1:8" x14ac:dyDescent="0.2">
      <c r="A3" s="350"/>
      <c r="B3" s="350"/>
      <c r="C3" s="350"/>
      <c r="D3" s="350"/>
      <c r="E3" s="350"/>
      <c r="F3" s="350"/>
      <c r="G3" s="350"/>
      <c r="H3" s="350"/>
    </row>
    <row r="4" spans="1:8" x14ac:dyDescent="0.2">
      <c r="A4" s="350"/>
      <c r="B4" s="350"/>
      <c r="C4" s="350"/>
      <c r="D4" s="350"/>
      <c r="E4" s="350"/>
      <c r="F4" s="350"/>
      <c r="G4" s="350"/>
      <c r="H4" s="350"/>
    </row>
    <row r="5" spans="1:8" x14ac:dyDescent="0.2">
      <c r="A5" s="350"/>
      <c r="B5" s="350"/>
      <c r="C5" s="350"/>
      <c r="D5" s="350"/>
      <c r="E5" s="350"/>
      <c r="F5" s="350"/>
      <c r="G5" s="350"/>
      <c r="H5" s="350"/>
    </row>
    <row r="6" spans="1:8" x14ac:dyDescent="0.2">
      <c r="A6" s="350"/>
      <c r="B6" s="350"/>
      <c r="C6" s="350"/>
      <c r="D6" s="350"/>
      <c r="E6" s="350"/>
      <c r="F6" s="350"/>
      <c r="G6" s="350"/>
      <c r="H6" s="350"/>
    </row>
    <row r="7" spans="1:8" x14ac:dyDescent="0.2">
      <c r="A7" s="350"/>
      <c r="B7" s="350"/>
      <c r="C7" s="350"/>
      <c r="D7" s="350"/>
      <c r="E7" s="350"/>
      <c r="F7" s="350"/>
      <c r="G7" s="350"/>
      <c r="H7" s="350"/>
    </row>
    <row r="8" spans="1:8" x14ac:dyDescent="0.2">
      <c r="A8" s="350"/>
      <c r="B8" s="350"/>
      <c r="C8" s="350"/>
      <c r="D8" s="350"/>
      <c r="E8" s="350"/>
      <c r="F8" s="350"/>
      <c r="G8" s="350"/>
      <c r="H8" s="350"/>
    </row>
    <row r="9" spans="1:8" x14ac:dyDescent="0.2">
      <c r="A9" s="350"/>
      <c r="B9" s="350"/>
      <c r="C9" s="350"/>
      <c r="D9" s="350"/>
      <c r="E9" s="350"/>
      <c r="F9" s="350"/>
      <c r="G9" s="350"/>
      <c r="H9" s="350"/>
    </row>
    <row r="10" spans="1:8" x14ac:dyDescent="0.2">
      <c r="A10" s="350"/>
      <c r="B10" s="350"/>
      <c r="C10" s="350"/>
      <c r="D10" s="350"/>
      <c r="E10" s="350"/>
      <c r="F10" s="350"/>
      <c r="G10" s="350"/>
      <c r="H10" s="350"/>
    </row>
    <row r="11" spans="1:8" x14ac:dyDescent="0.2">
      <c r="A11" s="350"/>
      <c r="B11" s="350"/>
      <c r="C11" s="350"/>
      <c r="D11" s="350"/>
      <c r="E11" s="350"/>
      <c r="F11" s="350"/>
      <c r="G11" s="350"/>
      <c r="H11" s="350"/>
    </row>
    <row r="12" spans="1:8" x14ac:dyDescent="0.2">
      <c r="A12" s="350"/>
      <c r="B12" s="350"/>
      <c r="C12" s="350"/>
      <c r="D12" s="350"/>
      <c r="E12" s="350"/>
      <c r="F12" s="350"/>
      <c r="G12" s="350"/>
      <c r="H12" s="350"/>
    </row>
    <row r="13" spans="1:8" x14ac:dyDescent="0.2">
      <c r="A13" s="350"/>
      <c r="B13" s="350"/>
      <c r="C13" s="350"/>
      <c r="D13" s="350"/>
      <c r="E13" s="350"/>
      <c r="F13" s="350"/>
      <c r="G13" s="350"/>
      <c r="H13" s="350"/>
    </row>
    <row r="14" spans="1:8" x14ac:dyDescent="0.2">
      <c r="A14" s="350"/>
      <c r="B14" s="350"/>
      <c r="C14" s="350"/>
      <c r="D14" s="350"/>
      <c r="E14" s="350"/>
      <c r="F14" s="350"/>
      <c r="G14" s="350"/>
      <c r="H14" s="350"/>
    </row>
    <row r="15" spans="1:8" x14ac:dyDescent="0.2">
      <c r="A15" s="350"/>
      <c r="B15" s="350"/>
      <c r="C15" s="350"/>
      <c r="D15" s="350"/>
      <c r="E15" s="350"/>
      <c r="F15" s="350"/>
      <c r="G15" s="350"/>
      <c r="H15" s="3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37"/>
  <sheetViews>
    <sheetView workbookViewId="0">
      <pane xSplit="2" ySplit="2" topLeftCell="C28" activePane="bottomRight" state="frozen"/>
      <selection pane="topRight" activeCell="C1" sqref="C1"/>
      <selection pane="bottomLeft" activeCell="A3" sqref="A3"/>
      <selection pane="bottomRight" activeCell="B29" sqref="B29:I29"/>
    </sheetView>
  </sheetViews>
  <sheetFormatPr defaultRowHeight="12.75" x14ac:dyDescent="0.2"/>
  <cols>
    <col min="1" max="1" width="5" style="102" bestFit="1" customWidth="1"/>
    <col min="2" max="2" width="14.7109375" style="102" bestFit="1" customWidth="1"/>
    <col min="3" max="3" width="14.7109375" style="102" customWidth="1"/>
    <col min="4" max="4" width="16.5703125" style="102" bestFit="1" customWidth="1"/>
    <col min="5" max="5" width="11.5703125" style="102" bestFit="1" customWidth="1"/>
    <col min="6" max="6" width="14.28515625" style="102" bestFit="1" customWidth="1"/>
    <col min="7" max="16384" width="9.140625" style="102"/>
  </cols>
  <sheetData>
    <row r="1" spans="1:7" x14ac:dyDescent="0.2">
      <c r="A1" s="464" t="s">
        <v>167</v>
      </c>
    </row>
    <row r="2" spans="1:7" x14ac:dyDescent="0.2">
      <c r="B2" s="102" t="s">
        <v>171</v>
      </c>
      <c r="C2" s="102" t="s">
        <v>509</v>
      </c>
      <c r="D2" s="102" t="s">
        <v>342</v>
      </c>
      <c r="E2" s="102" t="s">
        <v>621</v>
      </c>
      <c r="F2" s="102" t="s">
        <v>336</v>
      </c>
      <c r="G2" s="102" t="s">
        <v>622</v>
      </c>
    </row>
    <row r="3" spans="1:7" x14ac:dyDescent="0.2">
      <c r="B3" s="102" t="s">
        <v>1094</v>
      </c>
      <c r="D3" s="102" t="s">
        <v>1095</v>
      </c>
      <c r="E3" s="102" t="s">
        <v>1096</v>
      </c>
    </row>
    <row r="4" spans="1:7" x14ac:dyDescent="0.2">
      <c r="B4" s="102" t="s">
        <v>1098</v>
      </c>
      <c r="D4" s="102" t="s">
        <v>1095</v>
      </c>
      <c r="E4" s="102" t="s">
        <v>1097</v>
      </c>
    </row>
    <row r="5" spans="1:7" x14ac:dyDescent="0.2">
      <c r="B5" s="102" t="s">
        <v>1099</v>
      </c>
      <c r="D5" s="102" t="s">
        <v>1095</v>
      </c>
      <c r="E5" s="102" t="s">
        <v>1097</v>
      </c>
    </row>
    <row r="6" spans="1:7" x14ac:dyDescent="0.2">
      <c r="B6" s="102" t="s">
        <v>1100</v>
      </c>
      <c r="D6" s="102" t="s">
        <v>1095</v>
      </c>
      <c r="E6" s="102" t="s">
        <v>1097</v>
      </c>
    </row>
    <row r="7" spans="1:7" x14ac:dyDescent="0.2">
      <c r="C7" s="102" t="s">
        <v>568</v>
      </c>
      <c r="D7" s="465" t="s">
        <v>569</v>
      </c>
      <c r="E7" s="102" t="s">
        <v>570</v>
      </c>
    </row>
    <row r="8" spans="1:7" x14ac:dyDescent="0.2">
      <c r="C8" s="102" t="s">
        <v>571</v>
      </c>
      <c r="D8" s="465" t="s">
        <v>572</v>
      </c>
      <c r="E8" s="102" t="s">
        <v>570</v>
      </c>
    </row>
    <row r="9" spans="1:7" x14ac:dyDescent="0.2">
      <c r="C9" s="102" t="s">
        <v>573</v>
      </c>
      <c r="D9" s="465" t="s">
        <v>574</v>
      </c>
      <c r="E9" s="102" t="s">
        <v>570</v>
      </c>
    </row>
    <row r="10" spans="1:7" x14ac:dyDescent="0.2">
      <c r="C10" s="102" t="s">
        <v>575</v>
      </c>
      <c r="D10" s="465" t="s">
        <v>576</v>
      </c>
      <c r="E10" s="102" t="s">
        <v>570</v>
      </c>
    </row>
    <row r="11" spans="1:7" x14ac:dyDescent="0.2">
      <c r="C11" s="102" t="s">
        <v>577</v>
      </c>
      <c r="D11" s="465" t="s">
        <v>578</v>
      </c>
      <c r="E11" s="102" t="s">
        <v>570</v>
      </c>
    </row>
    <row r="12" spans="1:7" x14ac:dyDescent="0.2">
      <c r="B12" s="102" t="s">
        <v>547</v>
      </c>
      <c r="C12" s="102" t="s">
        <v>548</v>
      </c>
      <c r="D12" s="465" t="s">
        <v>579</v>
      </c>
      <c r="E12" s="102" t="s">
        <v>570</v>
      </c>
    </row>
    <row r="13" spans="1:7" x14ac:dyDescent="0.2">
      <c r="B13" s="102" t="s">
        <v>222</v>
      </c>
      <c r="D13" s="465" t="s">
        <v>18</v>
      </c>
      <c r="E13" s="102" t="s">
        <v>15</v>
      </c>
      <c r="F13" s="102" t="s">
        <v>16</v>
      </c>
      <c r="G13" s="102" t="s">
        <v>19</v>
      </c>
    </row>
    <row r="14" spans="1:7" x14ac:dyDescent="0.2">
      <c r="B14" s="102" t="s">
        <v>266</v>
      </c>
      <c r="C14" s="102" t="s">
        <v>22</v>
      </c>
    </row>
    <row r="15" spans="1:7" x14ac:dyDescent="0.2">
      <c r="B15" s="102" t="s">
        <v>456</v>
      </c>
    </row>
    <row r="16" spans="1:7" x14ac:dyDescent="0.2">
      <c r="B16" s="102" t="s">
        <v>457</v>
      </c>
    </row>
    <row r="17" spans="2:9" x14ac:dyDescent="0.2">
      <c r="B17" s="2" t="s">
        <v>593</v>
      </c>
      <c r="C17" s="440" t="s">
        <v>203</v>
      </c>
      <c r="D17" s="433" t="s">
        <v>204</v>
      </c>
      <c r="E17" s="434">
        <v>1</v>
      </c>
      <c r="F17" s="434" t="s">
        <v>224</v>
      </c>
      <c r="G17" s="330" t="s">
        <v>596</v>
      </c>
    </row>
    <row r="18" spans="2:9" x14ac:dyDescent="0.2">
      <c r="B18" s="2" t="s">
        <v>218</v>
      </c>
      <c r="C18" s="330" t="s">
        <v>219</v>
      </c>
      <c r="D18" s="433" t="s">
        <v>220</v>
      </c>
      <c r="E18" s="434" t="s">
        <v>221</v>
      </c>
      <c r="F18" s="434" t="s">
        <v>185</v>
      </c>
      <c r="G18" s="330" t="s">
        <v>28</v>
      </c>
      <c r="H18" s="330"/>
      <c r="I18" s="433">
        <v>2013</v>
      </c>
    </row>
    <row r="19" spans="2:9" x14ac:dyDescent="0.2">
      <c r="B19" s="466" t="s">
        <v>591</v>
      </c>
      <c r="C19" s="330" t="s">
        <v>587</v>
      </c>
      <c r="D19" s="436" t="s">
        <v>79</v>
      </c>
      <c r="E19" s="434" t="s">
        <v>588</v>
      </c>
      <c r="F19" s="434" t="s">
        <v>589</v>
      </c>
      <c r="G19" s="330" t="s">
        <v>590</v>
      </c>
      <c r="H19" s="330"/>
      <c r="I19" s="436" t="s">
        <v>1226</v>
      </c>
    </row>
    <row r="20" spans="2:9" x14ac:dyDescent="0.2">
      <c r="B20" s="2" t="s">
        <v>592</v>
      </c>
      <c r="C20" s="440" t="s">
        <v>199</v>
      </c>
      <c r="D20" s="433" t="s">
        <v>200</v>
      </c>
      <c r="E20" s="434">
        <v>1</v>
      </c>
      <c r="F20" s="434" t="s">
        <v>185</v>
      </c>
      <c r="G20" s="330" t="s">
        <v>689</v>
      </c>
      <c r="H20" s="330"/>
      <c r="I20" s="452" t="s">
        <v>26</v>
      </c>
    </row>
    <row r="21" spans="2:9" x14ac:dyDescent="0.2">
      <c r="B21" s="467" t="s">
        <v>1552</v>
      </c>
      <c r="C21" s="440" t="s">
        <v>215</v>
      </c>
      <c r="D21" s="433" t="s">
        <v>216</v>
      </c>
      <c r="E21" s="433" t="s">
        <v>217</v>
      </c>
      <c r="F21" s="433" t="s">
        <v>185</v>
      </c>
      <c r="G21" s="330" t="s">
        <v>1553</v>
      </c>
      <c r="H21" s="330"/>
      <c r="I21" s="452" t="s">
        <v>27</v>
      </c>
    </row>
    <row r="22" spans="2:9" x14ac:dyDescent="0.2">
      <c r="B22" s="468" t="s">
        <v>260</v>
      </c>
      <c r="C22" s="330" t="s">
        <v>1622</v>
      </c>
      <c r="D22" s="436"/>
      <c r="E22" s="434" t="s">
        <v>1397</v>
      </c>
      <c r="F22" s="436" t="s">
        <v>185</v>
      </c>
      <c r="G22" s="330"/>
      <c r="H22" s="436">
        <v>2001</v>
      </c>
      <c r="I22" s="436" t="s">
        <v>26</v>
      </c>
    </row>
    <row r="23" spans="2:9" x14ac:dyDescent="0.2">
      <c r="B23" s="2" t="s">
        <v>1571</v>
      </c>
      <c r="C23" s="134" t="s">
        <v>203</v>
      </c>
      <c r="D23" s="436" t="s">
        <v>905</v>
      </c>
      <c r="E23" s="434" t="s">
        <v>656</v>
      </c>
      <c r="F23" s="436" t="s">
        <v>185</v>
      </c>
      <c r="G23" s="330" t="s">
        <v>479</v>
      </c>
      <c r="H23" s="330"/>
      <c r="I23" s="436" t="s">
        <v>906</v>
      </c>
    </row>
    <row r="24" spans="2:9" x14ac:dyDescent="0.2">
      <c r="B24" s="2" t="s">
        <v>687</v>
      </c>
      <c r="C24" s="330" t="s">
        <v>692</v>
      </c>
      <c r="D24" s="436" t="s">
        <v>693</v>
      </c>
      <c r="E24" s="378">
        <v>1</v>
      </c>
      <c r="F24" s="436" t="s">
        <v>182</v>
      </c>
      <c r="G24" s="330" t="s">
        <v>694</v>
      </c>
      <c r="H24" s="330"/>
      <c r="I24" s="433">
        <v>2014</v>
      </c>
    </row>
    <row r="25" spans="2:9" x14ac:dyDescent="0.2">
      <c r="B25" s="2" t="s">
        <v>227</v>
      </c>
      <c r="C25" s="330" t="s">
        <v>230</v>
      </c>
      <c r="D25" s="436" t="s">
        <v>695</v>
      </c>
      <c r="E25" s="378">
        <v>1</v>
      </c>
      <c r="F25" s="436" t="s">
        <v>691</v>
      </c>
      <c r="G25" s="330" t="s">
        <v>696</v>
      </c>
      <c r="H25" s="330"/>
      <c r="I25" s="436" t="s">
        <v>691</v>
      </c>
    </row>
    <row r="26" spans="2:9" x14ac:dyDescent="0.2">
      <c r="B26" s="2" t="s">
        <v>17</v>
      </c>
      <c r="C26" s="440"/>
      <c r="D26" s="433"/>
      <c r="E26" s="433"/>
      <c r="F26" s="440"/>
      <c r="G26" s="440"/>
      <c r="H26" s="440"/>
      <c r="I26" s="436" t="s">
        <v>26</v>
      </c>
    </row>
    <row r="27" spans="2:9" x14ac:dyDescent="0.2">
      <c r="B27" s="2" t="s">
        <v>600</v>
      </c>
      <c r="C27" s="330" t="s">
        <v>203</v>
      </c>
      <c r="D27" s="433"/>
      <c r="E27" s="436" t="s">
        <v>601</v>
      </c>
      <c r="F27" s="436" t="s">
        <v>185</v>
      </c>
      <c r="G27" s="440"/>
      <c r="H27" s="440"/>
      <c r="I27" s="436" t="s">
        <v>602</v>
      </c>
    </row>
    <row r="28" spans="2:9" x14ac:dyDescent="0.2">
      <c r="B28" s="2" t="s">
        <v>599</v>
      </c>
      <c r="C28" s="134" t="s">
        <v>241</v>
      </c>
      <c r="D28" s="433" t="s">
        <v>242</v>
      </c>
      <c r="E28" s="434">
        <v>1</v>
      </c>
      <c r="F28" s="433" t="s">
        <v>182</v>
      </c>
      <c r="G28" s="433"/>
      <c r="H28" s="433"/>
      <c r="I28" s="436" t="s">
        <v>27</v>
      </c>
    </row>
    <row r="29" spans="2:9" x14ac:dyDescent="0.2">
      <c r="B29" s="455" t="s">
        <v>1706</v>
      </c>
      <c r="C29" s="134" t="s">
        <v>215</v>
      </c>
      <c r="D29" s="436" t="s">
        <v>216</v>
      </c>
      <c r="E29" s="434" t="s">
        <v>279</v>
      </c>
      <c r="F29" s="436" t="s">
        <v>185</v>
      </c>
      <c r="G29" s="330" t="s">
        <v>1707</v>
      </c>
      <c r="H29" s="330"/>
      <c r="I29" s="454"/>
    </row>
    <row r="33" spans="2:2" x14ac:dyDescent="0.2">
      <c r="B33" s="469"/>
    </row>
    <row r="34" spans="2:2" x14ac:dyDescent="0.2">
      <c r="B34" s="330"/>
    </row>
    <row r="35" spans="2:2" x14ac:dyDescent="0.2">
      <c r="B35" s="330"/>
    </row>
    <row r="37" spans="2:2" x14ac:dyDescent="0.2">
      <c r="B37" s="330"/>
    </row>
  </sheetData>
  <phoneticPr fontId="11" type="noConversion"/>
  <hyperlinks>
    <hyperlink ref="A1" location="Main!A1" display="Main" xr:uid="{00000000-0004-0000-2F00-000000000000}"/>
    <hyperlink ref="B17" location="Duragesic!A1" display="Duragesic" xr:uid="{A97E01D1-AC0C-404E-964A-81B455910D08}"/>
    <hyperlink ref="B18" location="Aciphex!A1" display="Aciphex (rabeprazole)" xr:uid="{00000000-0004-0000-0600-000004000000}"/>
    <hyperlink ref="B19" location="Levaquin!A1" display="Levaquin" xr:uid="{00000000-0004-0000-0600-00000F000000}"/>
    <hyperlink ref="B20" location="Topamax!A1" display="Topamax" xr:uid="{00000000-0004-0000-0600-000001000000}"/>
    <hyperlink ref="B21" location="telaprevir!A1" display="Incivo (telaprevir)" xr:uid="{00000000-0004-0000-0600-000021000000}"/>
    <hyperlink ref="B23" location="Tapentadol!A1" display="tapentadol" xr:uid="{00000000-0004-0000-0600-000015000000}"/>
    <hyperlink ref="B25" location="Contraceptives!A1" display="Contraceptives" xr:uid="{00000000-0004-0000-0600-000005000000}"/>
    <hyperlink ref="B26" location="Sporanox!A1" display="Sporanox" xr:uid="{00000000-0004-0000-0600-000006000000}"/>
    <hyperlink ref="B24" location="Natrecor!A1" display="Natrecor" xr:uid="{00000000-0004-0000-0600-000011000000}"/>
    <hyperlink ref="B27" location="Ultram!A1" display="Ultram" xr:uid="{00000000-0004-0000-0600-000007000000}"/>
    <hyperlink ref="B28" location="Doripenem!A1" display="Doripenem" xr:uid="{00000000-0004-0000-0600-00000A000000}"/>
  </hyperlinks>
  <pageMargins left="0.75" right="0.75" top="1" bottom="1" header="0.5" footer="0.5"/>
  <pageSetup orientation="portrait" horizontalDpi="0" verticalDpi="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T41"/>
  <sheetViews>
    <sheetView tabSelected="1" topLeftCell="H1" workbookViewId="0">
      <selection activeCell="L22" sqref="L22"/>
    </sheetView>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14.7109375" style="58" customWidth="1"/>
    <col min="8" max="8" width="10.42578125" style="58" customWidth="1"/>
    <col min="9" max="9" width="18" style="58" customWidth="1"/>
    <col min="10" max="10" width="20.5703125" style="58" customWidth="1"/>
    <col min="11" max="11" width="23.42578125" style="58" customWidth="1"/>
    <col min="12" max="12" width="24" style="58" bestFit="1" customWidth="1"/>
    <col min="13" max="13" width="9.85546875" style="58" customWidth="1"/>
    <col min="14" max="14" width="7.42578125" style="58" customWidth="1"/>
    <col min="15" max="15" width="11.5703125" style="58" customWidth="1"/>
    <col min="16" max="16" width="15.85546875" style="58" customWidth="1"/>
    <col min="17" max="17" width="2.85546875" style="58" customWidth="1"/>
    <col min="18" max="19" width="9.140625" style="58"/>
    <col min="20" max="20" width="6.42578125" style="58" customWidth="1"/>
    <col min="21" max="16384" width="9.140625" style="58"/>
  </cols>
  <sheetData>
    <row r="1" spans="2:20" ht="10.5" customHeight="1" x14ac:dyDescent="0.2"/>
    <row r="2" spans="2:20" x14ac:dyDescent="0.2">
      <c r="B2" s="429" t="s">
        <v>171</v>
      </c>
      <c r="C2" s="470" t="s">
        <v>172</v>
      </c>
      <c r="D2" s="430" t="s">
        <v>173</v>
      </c>
      <c r="E2" s="430" t="s">
        <v>174</v>
      </c>
      <c r="F2" s="430" t="s">
        <v>175</v>
      </c>
      <c r="G2" s="470" t="s">
        <v>176</v>
      </c>
      <c r="H2" s="470" t="s">
        <v>801</v>
      </c>
      <c r="I2" s="478" t="s">
        <v>177</v>
      </c>
      <c r="J2" s="470" t="s">
        <v>171</v>
      </c>
      <c r="K2" s="430" t="s">
        <v>172</v>
      </c>
      <c r="L2" s="430" t="s">
        <v>173</v>
      </c>
      <c r="M2" s="430" t="s">
        <v>178</v>
      </c>
      <c r="N2" s="430" t="s">
        <v>175</v>
      </c>
      <c r="O2" s="430" t="s">
        <v>174</v>
      </c>
      <c r="P2" s="431" t="s">
        <v>179</v>
      </c>
      <c r="R2" s="58" t="s">
        <v>168</v>
      </c>
      <c r="S2" s="432">
        <v>170</v>
      </c>
      <c r="T2" s="372"/>
    </row>
    <row r="3" spans="2:20" x14ac:dyDescent="0.2">
      <c r="B3" s="442" t="s">
        <v>194</v>
      </c>
      <c r="C3" s="330" t="s">
        <v>195</v>
      </c>
      <c r="D3" s="433" t="s">
        <v>196</v>
      </c>
      <c r="E3" s="434" t="s">
        <v>1542</v>
      </c>
      <c r="F3" s="434" t="s">
        <v>182</v>
      </c>
      <c r="G3" s="330" t="s">
        <v>30</v>
      </c>
      <c r="H3" s="330"/>
      <c r="I3" s="451" t="s">
        <v>993</v>
      </c>
      <c r="J3" s="330" t="s">
        <v>1837</v>
      </c>
      <c r="K3" s="433" t="s">
        <v>1838</v>
      </c>
      <c r="L3" s="433"/>
      <c r="M3" s="436"/>
      <c r="N3" s="436"/>
      <c r="O3" s="378" t="s">
        <v>1854</v>
      </c>
      <c r="P3" s="439"/>
      <c r="R3" s="58" t="s">
        <v>280</v>
      </c>
      <c r="S3" s="116">
        <v>2631.4018040000001</v>
      </c>
      <c r="T3" s="362" t="s">
        <v>1751</v>
      </c>
    </row>
    <row r="4" spans="2:20" x14ac:dyDescent="0.2">
      <c r="B4" s="472" t="s">
        <v>760</v>
      </c>
      <c r="C4" s="134" t="s">
        <v>650</v>
      </c>
      <c r="D4" s="436" t="s">
        <v>196</v>
      </c>
      <c r="E4" s="434" t="s">
        <v>1543</v>
      </c>
      <c r="F4" s="436" t="s">
        <v>420</v>
      </c>
      <c r="G4" s="330" t="s">
        <v>30</v>
      </c>
      <c r="H4" s="330"/>
      <c r="I4" s="454" t="s">
        <v>993</v>
      </c>
      <c r="J4" s="330"/>
      <c r="K4" s="436" t="s">
        <v>1843</v>
      </c>
      <c r="L4" s="436" t="s">
        <v>1844</v>
      </c>
      <c r="M4" s="436" t="s">
        <v>1845</v>
      </c>
      <c r="N4" s="436" t="s">
        <v>185</v>
      </c>
      <c r="O4" s="434" t="s">
        <v>738</v>
      </c>
      <c r="P4" s="437"/>
      <c r="R4" s="58" t="s">
        <v>282</v>
      </c>
      <c r="S4" s="116">
        <f>S3*S2</f>
        <v>447338.30668000004</v>
      </c>
      <c r="T4" s="372"/>
    </row>
    <row r="5" spans="2:20" x14ac:dyDescent="0.2">
      <c r="B5" s="442" t="s">
        <v>31</v>
      </c>
      <c r="C5" s="330" t="s">
        <v>181</v>
      </c>
      <c r="D5" s="436" t="s">
        <v>29</v>
      </c>
      <c r="E5" s="434">
        <v>1</v>
      </c>
      <c r="F5" s="434" t="s">
        <v>420</v>
      </c>
      <c r="G5" s="440" t="s">
        <v>1223</v>
      </c>
      <c r="H5" s="440"/>
      <c r="I5" s="439" t="s">
        <v>1224</v>
      </c>
      <c r="J5" s="440" t="s">
        <v>1852</v>
      </c>
      <c r="K5" s="436" t="s">
        <v>1853</v>
      </c>
      <c r="L5" s="436"/>
      <c r="M5" s="436" t="s">
        <v>231</v>
      </c>
      <c r="N5" s="436"/>
      <c r="O5" s="434" t="s">
        <v>1854</v>
      </c>
      <c r="P5" s="437"/>
      <c r="R5" s="58" t="s">
        <v>170</v>
      </c>
      <c r="S5" s="116">
        <f>+Model!CY141</f>
        <v>30388</v>
      </c>
      <c r="T5" s="362" t="s">
        <v>1751</v>
      </c>
    </row>
    <row r="6" spans="2:20" x14ac:dyDescent="0.2">
      <c r="B6" s="442" t="s">
        <v>594</v>
      </c>
      <c r="C6" s="440" t="s">
        <v>205</v>
      </c>
      <c r="D6" s="433" t="s">
        <v>206</v>
      </c>
      <c r="E6" s="434">
        <v>1</v>
      </c>
      <c r="F6" s="434" t="s">
        <v>185</v>
      </c>
      <c r="G6" s="440" t="s">
        <v>207</v>
      </c>
      <c r="H6" s="440"/>
      <c r="I6" s="451" t="s">
        <v>208</v>
      </c>
      <c r="J6" s="330" t="s">
        <v>1375</v>
      </c>
      <c r="K6" s="436" t="s">
        <v>255</v>
      </c>
      <c r="L6" s="433"/>
      <c r="M6" s="436" t="s">
        <v>231</v>
      </c>
      <c r="N6" s="436" t="s">
        <v>185</v>
      </c>
      <c r="O6" s="378">
        <v>1</v>
      </c>
      <c r="P6" s="439"/>
      <c r="R6" s="58" t="s">
        <v>283</v>
      </c>
      <c r="S6" s="116">
        <f>+Model!CY153+Model!CY160</f>
        <v>33148</v>
      </c>
      <c r="T6" s="362" t="s">
        <v>1751</v>
      </c>
    </row>
    <row r="7" spans="2:20" x14ac:dyDescent="0.2">
      <c r="B7" s="442" t="s">
        <v>1631</v>
      </c>
      <c r="C7" s="440" t="s">
        <v>244</v>
      </c>
      <c r="D7" s="433" t="s">
        <v>869</v>
      </c>
      <c r="E7" s="434" t="s">
        <v>245</v>
      </c>
      <c r="F7" s="434" t="s">
        <v>185</v>
      </c>
      <c r="G7" s="440" t="s">
        <v>1606</v>
      </c>
      <c r="H7" s="440"/>
      <c r="I7" s="451"/>
      <c r="J7" s="444" t="s">
        <v>261</v>
      </c>
      <c r="K7" s="443" t="s">
        <v>262</v>
      </c>
      <c r="L7" s="443"/>
      <c r="M7" s="443" t="s">
        <v>263</v>
      </c>
      <c r="N7" s="443" t="s">
        <v>1643</v>
      </c>
      <c r="O7" s="444"/>
      <c r="P7" s="445"/>
      <c r="R7" s="58" t="s">
        <v>284</v>
      </c>
      <c r="S7" s="116">
        <f>S4-S5+S6</f>
        <v>450098.30668000004</v>
      </c>
      <c r="T7" s="372"/>
    </row>
    <row r="8" spans="2:20" x14ac:dyDescent="0.2">
      <c r="B8" s="442" t="s">
        <v>909</v>
      </c>
      <c r="C8" s="440" t="s">
        <v>212</v>
      </c>
      <c r="D8" s="433" t="s">
        <v>213</v>
      </c>
      <c r="E8" s="434" t="s">
        <v>688</v>
      </c>
      <c r="F8" s="434" t="s">
        <v>182</v>
      </c>
      <c r="G8" s="440" t="s">
        <v>214</v>
      </c>
      <c r="H8" s="440"/>
      <c r="I8" s="454" t="s">
        <v>690</v>
      </c>
      <c r="J8" s="444" t="s">
        <v>270</v>
      </c>
      <c r="K8" s="443" t="s">
        <v>871</v>
      </c>
      <c r="L8" s="443" t="s">
        <v>271</v>
      </c>
      <c r="M8" s="443" t="s">
        <v>1168</v>
      </c>
      <c r="N8" s="443" t="s">
        <v>185</v>
      </c>
      <c r="O8" s="446">
        <v>1</v>
      </c>
      <c r="P8" s="445"/>
      <c r="T8" s="372"/>
    </row>
    <row r="9" spans="2:20" x14ac:dyDescent="0.2">
      <c r="B9" s="435" t="s">
        <v>1321</v>
      </c>
      <c r="C9" s="330" t="s">
        <v>183</v>
      </c>
      <c r="D9" s="436" t="s">
        <v>184</v>
      </c>
      <c r="E9" s="434">
        <v>1</v>
      </c>
      <c r="F9" s="434" t="s">
        <v>185</v>
      </c>
      <c r="G9" s="330" t="s">
        <v>186</v>
      </c>
      <c r="H9" s="330"/>
      <c r="I9" s="454" t="s">
        <v>1322</v>
      </c>
      <c r="J9" s="471" t="s">
        <v>258</v>
      </c>
      <c r="K9" s="447" t="s">
        <v>183</v>
      </c>
      <c r="L9" s="447" t="s">
        <v>340</v>
      </c>
      <c r="M9" s="447" t="s">
        <v>231</v>
      </c>
      <c r="N9" s="447" t="s">
        <v>185</v>
      </c>
      <c r="O9" s="448">
        <v>1</v>
      </c>
      <c r="P9" s="449"/>
      <c r="S9" s="432"/>
      <c r="T9" s="372"/>
    </row>
    <row r="10" spans="2:20" x14ac:dyDescent="0.2">
      <c r="B10" s="450" t="s">
        <v>192</v>
      </c>
      <c r="C10" s="330" t="s">
        <v>183</v>
      </c>
      <c r="D10" s="436" t="s">
        <v>184</v>
      </c>
      <c r="E10" s="434" t="s">
        <v>1323</v>
      </c>
      <c r="F10" s="434" t="s">
        <v>1315</v>
      </c>
      <c r="G10" s="330" t="s">
        <v>186</v>
      </c>
      <c r="H10" s="330"/>
      <c r="I10" s="454" t="s">
        <v>1324</v>
      </c>
      <c r="J10" s="444" t="s">
        <v>264</v>
      </c>
      <c r="K10" s="443" t="s">
        <v>265</v>
      </c>
      <c r="L10" s="443"/>
      <c r="M10" s="443" t="s">
        <v>257</v>
      </c>
      <c r="N10" s="443"/>
      <c r="O10" s="444"/>
      <c r="P10" s="445"/>
      <c r="R10" s="58" t="s">
        <v>657</v>
      </c>
      <c r="S10" s="338"/>
      <c r="T10" s="372"/>
    </row>
    <row r="11" spans="2:20" x14ac:dyDescent="0.2">
      <c r="B11" s="442" t="s">
        <v>686</v>
      </c>
      <c r="C11" s="440" t="s">
        <v>183</v>
      </c>
      <c r="D11" s="433" t="s">
        <v>184</v>
      </c>
      <c r="E11" s="434">
        <v>1</v>
      </c>
      <c r="F11" s="434" t="s">
        <v>185</v>
      </c>
      <c r="G11" s="440" t="s">
        <v>186</v>
      </c>
      <c r="H11" s="440"/>
      <c r="I11" s="454" t="s">
        <v>25</v>
      </c>
      <c r="J11" s="330" t="s">
        <v>1395</v>
      </c>
      <c r="K11" s="436" t="s">
        <v>1626</v>
      </c>
      <c r="L11" s="436" t="s">
        <v>1627</v>
      </c>
      <c r="M11" s="436" t="s">
        <v>231</v>
      </c>
      <c r="N11" s="433" t="s">
        <v>420</v>
      </c>
      <c r="O11" s="434">
        <v>1</v>
      </c>
      <c r="P11" s="439"/>
    </row>
    <row r="12" spans="2:20" x14ac:dyDescent="0.2">
      <c r="B12" s="442" t="s">
        <v>872</v>
      </c>
      <c r="C12" s="134" t="s">
        <v>183</v>
      </c>
      <c r="D12" s="436" t="s">
        <v>184</v>
      </c>
      <c r="E12" s="434" t="s">
        <v>188</v>
      </c>
      <c r="F12" s="434" t="s">
        <v>1315</v>
      </c>
      <c r="G12" s="330" t="s">
        <v>1316</v>
      </c>
      <c r="H12" s="330"/>
      <c r="I12" s="454" t="s">
        <v>1317</v>
      </c>
      <c r="J12" s="330" t="s">
        <v>1632</v>
      </c>
      <c r="K12" s="436"/>
      <c r="L12" s="436"/>
      <c r="M12" s="436"/>
      <c r="N12" s="433"/>
      <c r="O12" s="434"/>
      <c r="P12" s="439"/>
    </row>
    <row r="13" spans="2:20" x14ac:dyDescent="0.2">
      <c r="B13" s="435" t="s">
        <v>1546</v>
      </c>
      <c r="C13" s="20" t="s">
        <v>233</v>
      </c>
      <c r="D13" s="436" t="s">
        <v>236</v>
      </c>
      <c r="E13" s="434">
        <v>1</v>
      </c>
      <c r="F13" s="436" t="s">
        <v>185</v>
      </c>
      <c r="G13" s="330" t="s">
        <v>135</v>
      </c>
      <c r="H13" s="330"/>
      <c r="I13" s="437" t="s">
        <v>1482</v>
      </c>
      <c r="J13" s="330" t="s">
        <v>339</v>
      </c>
      <c r="K13" s="436" t="s">
        <v>341</v>
      </c>
      <c r="L13" s="436" t="s">
        <v>1487</v>
      </c>
      <c r="M13" s="436" t="s">
        <v>231</v>
      </c>
      <c r="N13" s="433"/>
      <c r="O13" s="440"/>
      <c r="P13" s="439"/>
    </row>
    <row r="14" spans="2:20" x14ac:dyDescent="0.2">
      <c r="B14" s="442" t="s">
        <v>232</v>
      </c>
      <c r="C14" s="20" t="s">
        <v>233</v>
      </c>
      <c r="D14" s="433" t="s">
        <v>216</v>
      </c>
      <c r="E14" s="434">
        <v>1</v>
      </c>
      <c r="F14" s="433" t="s">
        <v>185</v>
      </c>
      <c r="G14" s="440" t="s">
        <v>234</v>
      </c>
      <c r="H14" s="440"/>
      <c r="I14" s="454">
        <v>2015</v>
      </c>
      <c r="J14" s="330" t="s">
        <v>337</v>
      </c>
      <c r="K14" s="436" t="s">
        <v>338</v>
      </c>
      <c r="L14" s="433" t="s">
        <v>1638</v>
      </c>
      <c r="M14" s="436" t="s">
        <v>231</v>
      </c>
      <c r="N14" s="433"/>
      <c r="O14" s="440"/>
      <c r="P14" s="439"/>
    </row>
    <row r="15" spans="2:20" x14ac:dyDescent="0.2">
      <c r="B15" s="442" t="s">
        <v>235</v>
      </c>
      <c r="C15" s="20" t="s">
        <v>233</v>
      </c>
      <c r="D15" s="433" t="s">
        <v>236</v>
      </c>
      <c r="E15" s="434">
        <v>1</v>
      </c>
      <c r="F15" s="433" t="s">
        <v>185</v>
      </c>
      <c r="G15" s="330" t="s">
        <v>135</v>
      </c>
      <c r="H15" s="330"/>
      <c r="I15" s="454" t="s">
        <v>27</v>
      </c>
      <c r="J15" s="330" t="s">
        <v>1485</v>
      </c>
      <c r="K15" s="436" t="s">
        <v>1639</v>
      </c>
      <c r="L15" s="433" t="s">
        <v>1640</v>
      </c>
      <c r="M15" s="436" t="s">
        <v>231</v>
      </c>
      <c r="N15" s="433"/>
      <c r="O15" s="440"/>
      <c r="P15" s="439"/>
    </row>
    <row r="16" spans="2:20" x14ac:dyDescent="0.2">
      <c r="B16" s="450" t="s">
        <v>553</v>
      </c>
      <c r="C16" s="440" t="s">
        <v>193</v>
      </c>
      <c r="D16" s="453" t="s">
        <v>989</v>
      </c>
      <c r="E16" s="433" t="s">
        <v>1476</v>
      </c>
      <c r="F16" s="433" t="s">
        <v>420</v>
      </c>
      <c r="G16" s="330" t="s">
        <v>1343</v>
      </c>
      <c r="H16" s="330"/>
      <c r="I16" s="473" t="s">
        <v>993</v>
      </c>
      <c r="J16" s="330" t="s">
        <v>1623</v>
      </c>
      <c r="K16" s="436" t="s">
        <v>1382</v>
      </c>
      <c r="L16" s="433" t="s">
        <v>1624</v>
      </c>
      <c r="M16" s="436" t="s">
        <v>231</v>
      </c>
      <c r="N16" s="436" t="s">
        <v>420</v>
      </c>
      <c r="O16" s="434">
        <v>1</v>
      </c>
      <c r="P16" s="451" t="s">
        <v>1625</v>
      </c>
    </row>
    <row r="17" spans="2:16" x14ac:dyDescent="0.2">
      <c r="B17" s="435" t="s">
        <v>1544</v>
      </c>
      <c r="C17" s="134" t="s">
        <v>873</v>
      </c>
      <c r="D17" s="436" t="s">
        <v>908</v>
      </c>
      <c r="E17" s="434">
        <v>1</v>
      </c>
      <c r="F17" s="436" t="s">
        <v>185</v>
      </c>
      <c r="G17" s="330" t="s">
        <v>1545</v>
      </c>
      <c r="H17" s="436">
        <v>2011</v>
      </c>
      <c r="I17" s="454" t="s">
        <v>907</v>
      </c>
      <c r="J17" s="330" t="s">
        <v>1483</v>
      </c>
      <c r="K17" s="436" t="s">
        <v>1484</v>
      </c>
      <c r="L17" s="433"/>
      <c r="M17" s="436" t="s">
        <v>231</v>
      </c>
      <c r="N17" s="436"/>
      <c r="O17" s="440"/>
      <c r="P17" s="439"/>
    </row>
    <row r="18" spans="2:16" x14ac:dyDescent="0.2">
      <c r="B18" s="442" t="s">
        <v>209</v>
      </c>
      <c r="C18" s="20" t="s">
        <v>1475</v>
      </c>
      <c r="D18" s="433" t="s">
        <v>210</v>
      </c>
      <c r="E18" s="378" t="s">
        <v>1547</v>
      </c>
      <c r="F18" s="433" t="s">
        <v>185</v>
      </c>
      <c r="G18" s="440" t="s">
        <v>1548</v>
      </c>
      <c r="H18" s="433">
        <v>2011</v>
      </c>
      <c r="I18" s="451"/>
      <c r="J18" s="330" t="s">
        <v>1383</v>
      </c>
      <c r="K18" s="436" t="s">
        <v>262</v>
      </c>
      <c r="L18" s="433"/>
      <c r="M18" s="436" t="s">
        <v>231</v>
      </c>
      <c r="N18" s="433"/>
      <c r="O18" s="440"/>
      <c r="P18" s="439"/>
    </row>
    <row r="19" spans="2:16" x14ac:dyDescent="0.2">
      <c r="B19" s="474" t="s">
        <v>14</v>
      </c>
      <c r="C19" s="134" t="s">
        <v>256</v>
      </c>
      <c r="D19" s="436" t="s">
        <v>12</v>
      </c>
      <c r="E19" s="434">
        <v>1</v>
      </c>
      <c r="F19" s="436" t="s">
        <v>182</v>
      </c>
      <c r="G19" s="330" t="s">
        <v>13</v>
      </c>
      <c r="H19" s="330"/>
      <c r="I19" s="454">
        <v>2009</v>
      </c>
      <c r="J19" s="330" t="s">
        <v>1488</v>
      </c>
      <c r="K19" s="436" t="s">
        <v>183</v>
      </c>
      <c r="L19" s="433" t="s">
        <v>1641</v>
      </c>
      <c r="M19" s="436" t="s">
        <v>231</v>
      </c>
      <c r="N19" s="433"/>
      <c r="O19" s="440"/>
      <c r="P19" s="439"/>
    </row>
    <row r="20" spans="2:16" x14ac:dyDescent="0.2">
      <c r="B20" s="438" t="s">
        <v>1826</v>
      </c>
      <c r="C20" s="134" t="s">
        <v>1827</v>
      </c>
      <c r="D20" s="436" t="s">
        <v>1828</v>
      </c>
      <c r="E20" s="436" t="s">
        <v>738</v>
      </c>
      <c r="F20" s="436" t="s">
        <v>185</v>
      </c>
      <c r="G20" s="330"/>
      <c r="H20" s="479">
        <v>41261</v>
      </c>
      <c r="I20" s="437"/>
      <c r="J20" s="438" t="s">
        <v>1613</v>
      </c>
      <c r="K20" s="436" t="s">
        <v>212</v>
      </c>
      <c r="L20" s="433" t="s">
        <v>1614</v>
      </c>
      <c r="M20" s="436" t="s">
        <v>231</v>
      </c>
      <c r="N20" s="433" t="s">
        <v>182</v>
      </c>
      <c r="O20" s="433" t="s">
        <v>1615</v>
      </c>
      <c r="P20" s="451" t="s">
        <v>1616</v>
      </c>
    </row>
    <row r="21" spans="2:16" x14ac:dyDescent="0.2">
      <c r="B21" s="475" t="s">
        <v>1642</v>
      </c>
      <c r="C21" s="456" t="s">
        <v>1549</v>
      </c>
      <c r="D21" s="459" t="s">
        <v>1550</v>
      </c>
      <c r="E21" s="458" t="s">
        <v>1551</v>
      </c>
      <c r="F21" s="459" t="s">
        <v>185</v>
      </c>
      <c r="G21" s="476"/>
      <c r="H21" s="459">
        <v>2013</v>
      </c>
      <c r="I21" s="477" t="s">
        <v>27</v>
      </c>
      <c r="J21" s="438" t="s">
        <v>1608</v>
      </c>
      <c r="K21" s="436" t="s">
        <v>1609</v>
      </c>
      <c r="L21" s="433" t="s">
        <v>1610</v>
      </c>
      <c r="M21" s="436" t="s">
        <v>231</v>
      </c>
      <c r="N21" s="433" t="s">
        <v>185</v>
      </c>
      <c r="O21" s="433" t="s">
        <v>1611</v>
      </c>
      <c r="P21" s="451" t="s">
        <v>1612</v>
      </c>
    </row>
    <row r="22" spans="2:16" x14ac:dyDescent="0.2">
      <c r="J22" s="438" t="s">
        <v>1486</v>
      </c>
      <c r="K22" s="436" t="s">
        <v>183</v>
      </c>
      <c r="L22" s="433"/>
      <c r="M22" s="436" t="s">
        <v>231</v>
      </c>
      <c r="N22" s="433"/>
      <c r="O22" s="440"/>
      <c r="P22" s="439"/>
    </row>
    <row r="23" spans="2:16" x14ac:dyDescent="0.2">
      <c r="J23" s="438" t="s">
        <v>1385</v>
      </c>
      <c r="K23" s="436" t="s">
        <v>1386</v>
      </c>
      <c r="L23" s="433"/>
      <c r="M23" s="436" t="s">
        <v>257</v>
      </c>
      <c r="N23" s="433"/>
      <c r="O23" s="440"/>
      <c r="P23" s="439"/>
    </row>
    <row r="24" spans="2:16" x14ac:dyDescent="0.2">
      <c r="B24" s="2" t="s">
        <v>246</v>
      </c>
      <c r="C24" s="2" t="s">
        <v>247</v>
      </c>
      <c r="D24" s="228" t="s">
        <v>248</v>
      </c>
      <c r="E24" s="228" t="s">
        <v>253</v>
      </c>
      <c r="F24" s="58" t="s">
        <v>249</v>
      </c>
      <c r="G24" s="228" t="s">
        <v>252</v>
      </c>
      <c r="H24" s="228"/>
      <c r="I24" s="228" t="s">
        <v>251</v>
      </c>
      <c r="J24" s="438" t="s">
        <v>861</v>
      </c>
      <c r="K24" s="436" t="s">
        <v>256</v>
      </c>
      <c r="L24" s="436" t="s">
        <v>862</v>
      </c>
      <c r="M24" s="436" t="s">
        <v>257</v>
      </c>
      <c r="N24" s="433"/>
      <c r="O24" s="434">
        <v>1</v>
      </c>
      <c r="P24" s="439"/>
    </row>
    <row r="25" spans="2:16" x14ac:dyDescent="0.2">
      <c r="B25" s="2" t="s">
        <v>250</v>
      </c>
      <c r="C25" s="2" t="s">
        <v>267</v>
      </c>
      <c r="D25" s="228" t="s">
        <v>1388</v>
      </c>
      <c r="J25" s="438" t="s">
        <v>1384</v>
      </c>
      <c r="K25" s="436"/>
      <c r="L25" s="436"/>
      <c r="M25" s="436" t="s">
        <v>257</v>
      </c>
      <c r="N25" s="433"/>
      <c r="O25" s="434"/>
      <c r="P25" s="439"/>
    </row>
    <row r="26" spans="2:16" x14ac:dyDescent="0.2">
      <c r="B26" s="2"/>
      <c r="C26" s="2"/>
      <c r="J26" s="438" t="s">
        <v>1459</v>
      </c>
      <c r="K26" s="436" t="s">
        <v>255</v>
      </c>
      <c r="L26" s="436" t="s">
        <v>1461</v>
      </c>
      <c r="M26" s="436" t="s">
        <v>257</v>
      </c>
      <c r="N26" s="436" t="s">
        <v>1462</v>
      </c>
      <c r="O26" s="434">
        <v>1</v>
      </c>
      <c r="P26" s="439"/>
    </row>
    <row r="27" spans="2:16" x14ac:dyDescent="0.2">
      <c r="C27" s="2"/>
      <c r="E27" s="460"/>
      <c r="J27" s="438" t="s">
        <v>1460</v>
      </c>
      <c r="K27" s="436" t="s">
        <v>255</v>
      </c>
      <c r="L27" s="436" t="s">
        <v>1461</v>
      </c>
      <c r="M27" s="436" t="s">
        <v>257</v>
      </c>
      <c r="N27" s="436" t="s">
        <v>1462</v>
      </c>
      <c r="O27" s="434">
        <v>1</v>
      </c>
      <c r="P27" s="439"/>
    </row>
    <row r="28" spans="2:16" x14ac:dyDescent="0.2">
      <c r="E28" s="460"/>
      <c r="J28" s="438" t="s">
        <v>1393</v>
      </c>
      <c r="K28" s="436"/>
      <c r="L28" s="436"/>
      <c r="M28" s="436" t="s">
        <v>257</v>
      </c>
      <c r="N28" s="436" t="s">
        <v>1394</v>
      </c>
      <c r="O28" s="434">
        <v>1</v>
      </c>
      <c r="P28" s="439"/>
    </row>
    <row r="29" spans="2:16" x14ac:dyDescent="0.2">
      <c r="E29" s="460"/>
      <c r="J29" s="438" t="s">
        <v>863</v>
      </c>
      <c r="K29" s="436" t="s">
        <v>256</v>
      </c>
      <c r="L29" s="436" t="s">
        <v>864</v>
      </c>
      <c r="M29" s="436" t="s">
        <v>257</v>
      </c>
      <c r="N29" s="433"/>
      <c r="O29" s="440"/>
      <c r="P29" s="439"/>
    </row>
    <row r="30" spans="2:16" x14ac:dyDescent="0.2">
      <c r="E30" s="460"/>
      <c r="J30" s="438" t="s">
        <v>865</v>
      </c>
      <c r="K30" s="436" t="s">
        <v>256</v>
      </c>
      <c r="L30" s="436" t="s">
        <v>866</v>
      </c>
      <c r="M30" s="436" t="s">
        <v>257</v>
      </c>
      <c r="N30" s="433"/>
      <c r="O30" s="440"/>
      <c r="P30" s="439"/>
    </row>
    <row r="31" spans="2:16" x14ac:dyDescent="0.2">
      <c r="E31" s="460"/>
      <c r="J31" s="438" t="s">
        <v>867</v>
      </c>
      <c r="K31" s="436" t="s">
        <v>203</v>
      </c>
      <c r="L31" s="436" t="s">
        <v>993</v>
      </c>
      <c r="M31" s="436" t="s">
        <v>257</v>
      </c>
      <c r="N31" s="433"/>
      <c r="O31" s="440"/>
      <c r="P31" s="439"/>
    </row>
    <row r="32" spans="2:16" x14ac:dyDescent="0.2">
      <c r="E32" s="460"/>
      <c r="J32" s="441" t="s">
        <v>268</v>
      </c>
      <c r="K32" s="433" t="s">
        <v>183</v>
      </c>
      <c r="L32" s="433" t="s">
        <v>269</v>
      </c>
      <c r="M32" s="433" t="s">
        <v>257</v>
      </c>
      <c r="N32" s="433"/>
      <c r="O32" s="440"/>
      <c r="P32" s="439"/>
    </row>
    <row r="33" spans="5:16" x14ac:dyDescent="0.2">
      <c r="E33" s="460"/>
      <c r="J33" s="438" t="s">
        <v>23</v>
      </c>
      <c r="K33" s="436" t="s">
        <v>244</v>
      </c>
      <c r="L33" s="436" t="s">
        <v>1390</v>
      </c>
      <c r="M33" s="436" t="s">
        <v>257</v>
      </c>
      <c r="N33" s="436" t="s">
        <v>420</v>
      </c>
      <c r="O33" s="434">
        <v>1</v>
      </c>
      <c r="P33" s="439"/>
    </row>
    <row r="34" spans="5:16" x14ac:dyDescent="0.2">
      <c r="E34" s="460"/>
      <c r="J34" s="441" t="s">
        <v>272</v>
      </c>
      <c r="K34" s="433" t="s">
        <v>244</v>
      </c>
      <c r="L34" s="433"/>
      <c r="M34" s="433" t="s">
        <v>257</v>
      </c>
      <c r="N34" s="433" t="s">
        <v>185</v>
      </c>
      <c r="O34" s="433" t="s">
        <v>273</v>
      </c>
      <c r="P34" s="439"/>
    </row>
    <row r="35" spans="5:16" x14ac:dyDescent="0.2">
      <c r="E35" s="460"/>
      <c r="J35" s="441" t="s">
        <v>274</v>
      </c>
      <c r="K35" s="433" t="s">
        <v>275</v>
      </c>
      <c r="L35" s="433" t="s">
        <v>276</v>
      </c>
      <c r="M35" s="433" t="s">
        <v>257</v>
      </c>
      <c r="N35" s="433"/>
      <c r="O35" s="440"/>
      <c r="P35" s="439"/>
    </row>
    <row r="36" spans="5:16" x14ac:dyDescent="0.2">
      <c r="E36" s="460"/>
      <c r="J36" s="461" t="s">
        <v>277</v>
      </c>
      <c r="K36" s="457" t="s">
        <v>278</v>
      </c>
      <c r="L36" s="457"/>
      <c r="M36" s="457" t="s">
        <v>257</v>
      </c>
      <c r="N36" s="457" t="s">
        <v>185</v>
      </c>
      <c r="O36" s="462"/>
      <c r="P36" s="463"/>
    </row>
    <row r="41" spans="5:16" x14ac:dyDescent="0.2">
      <c r="E41" s="460"/>
    </row>
  </sheetData>
  <phoneticPr fontId="11" type="noConversion"/>
  <hyperlinks>
    <hyperlink ref="B3" location="Remicade!A1" display="Remicade (infliximab)" xr:uid="{00000000-0004-0000-0600-000000000000}"/>
    <hyperlink ref="B6" location="Concerta!A1" display="Concerta" xr:uid="{00000000-0004-0000-0600-000003000000}"/>
    <hyperlink ref="B14" location="Prezista!A1" display="Prezista (darunavir)" xr:uid="{00000000-0004-0000-0600-000008000000}"/>
    <hyperlink ref="B15" location="Intelence!A1" display="Intelence (etravirine)" xr:uid="{00000000-0004-0000-0600-000009000000}"/>
    <hyperlink ref="B24" location="Cordis!A1" display="Cordis" xr:uid="{00000000-0004-0000-0600-00000B000000}"/>
    <hyperlink ref="C24" location="Vision!A1" display="Vision" xr:uid="{00000000-0004-0000-0600-00000C000000}"/>
    <hyperlink ref="B25" location="Consumer!A1" display="Consumer" xr:uid="{00000000-0004-0000-0600-00000D000000}"/>
    <hyperlink ref="C25" location="Acquisitions!A1" display="Acquisitions" xr:uid="{00000000-0004-0000-0600-00000E000000}"/>
    <hyperlink ref="B11" location="Invega!A1" display="Invega" xr:uid="{00000000-0004-0000-0600-000010000000}"/>
    <hyperlink ref="B8" location="Velcade!A1" display="Velcade (bortezimib)" xr:uid="{00000000-0004-0000-0600-000012000000}"/>
    <hyperlink ref="G24" location="EndoSurgery!A1" display="EndoSurgery" xr:uid="{00000000-0004-0000-0600-000013000000}"/>
    <hyperlink ref="E24" location="DePuy!A1" display="DePuy" xr:uid="{00000000-0004-0000-0600-000014000000}"/>
    <hyperlink ref="B16" location="Stelara!A1" display="Stelara (ustekinumab)" xr:uid="{00000000-0004-0000-0600-000016000000}"/>
    <hyperlink ref="B4" location="Simponi!A1" display="Simponi (golimumab)" xr:uid="{00000000-0004-0000-0600-000017000000}"/>
    <hyperlink ref="B5" location="Procrit!A1" display="Procrit" xr:uid="{00000000-0004-0000-0600-000018000000}"/>
    <hyperlink ref="D24" location="Ethicon!A1" display="Ethicon" xr:uid="{00000000-0004-0000-0600-000019000000}"/>
    <hyperlink ref="I24" location="Diagnostics!A1" display="Diagnostics" xr:uid="{00000000-0004-0000-0600-00001A000000}"/>
    <hyperlink ref="B12" location="Sustenna!A1" display="Invega Sustenna (paliperidone palmitate)" xr:uid="{00000000-0004-0000-0600-00001B000000}"/>
    <hyperlink ref="B9" location="Risperdal!A1" display="Risperdal (risperidone)" xr:uid="{00000000-0004-0000-0600-00001C000000}"/>
    <hyperlink ref="B17" location="abiraterone!A1" display="abiraterone" xr:uid="{00000000-0004-0000-0600-00001D000000}"/>
    <hyperlink ref="D25" location="'Old Drugs'!A1" display="Failures" xr:uid="{00000000-0004-0000-0600-00001E000000}"/>
    <hyperlink ref="B13" location="riplivirine!A1" display="TMC278 (riplivirine)" xr:uid="{00000000-0004-0000-0600-00001F000000}"/>
    <hyperlink ref="B18" location="Xarelto!A1" display="Xarelto (rivaroxaban)" xr:uid="{00000000-0004-0000-0600-000020000000}"/>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4"/>
  <sheetViews>
    <sheetView zoomScaleNormal="100" workbookViewId="0">
      <pane xSplit="2" ySplit="2" topLeftCell="CI3" activePane="bottomRight" state="frozen"/>
      <selection pane="topRight" activeCell="Q1" sqref="Q1"/>
      <selection pane="bottomLeft" activeCell="A3" sqref="A3"/>
      <selection pane="bottomRight" activeCell="CN50" sqref="CN50"/>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21" width="1.28515625" style="349" customWidth="1"/>
    <col min="122" max="123" width="7.7109375" style="349" customWidth="1"/>
    <col min="124" max="130" width="8" style="349" customWidth="1"/>
    <col min="131"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167</v>
      </c>
      <c r="EN1" s="355"/>
      <c r="EO1" s="355"/>
      <c r="EP1" s="355"/>
      <c r="EQ1" s="355"/>
      <c r="ER1" s="355"/>
      <c r="ES1" s="355"/>
      <c r="ET1" s="355"/>
      <c r="EU1" s="355"/>
      <c r="EV1" s="355"/>
      <c r="EW1" s="355"/>
    </row>
    <row r="2" spans="1:157" ht="12.75" customHeight="1" x14ac:dyDescent="0.2">
      <c r="B2" s="356"/>
      <c r="C2" s="349" t="s">
        <v>285</v>
      </c>
      <c r="D2" s="349" t="s">
        <v>286</v>
      </c>
      <c r="E2" s="349" t="s">
        <v>287</v>
      </c>
      <c r="F2" s="349" t="s">
        <v>288</v>
      </c>
      <c r="G2" s="349" t="s">
        <v>289</v>
      </c>
      <c r="H2" s="349" t="s">
        <v>290</v>
      </c>
      <c r="I2" s="349" t="s">
        <v>291</v>
      </c>
      <c r="J2" s="349" t="s">
        <v>292</v>
      </c>
      <c r="K2" s="349" t="s">
        <v>293</v>
      </c>
      <c r="L2" s="349" t="s">
        <v>294</v>
      </c>
      <c r="M2" s="349" t="s">
        <v>295</v>
      </c>
      <c r="N2" s="349" t="s">
        <v>296</v>
      </c>
      <c r="O2" s="349" t="s">
        <v>297</v>
      </c>
      <c r="P2" s="349" t="s">
        <v>298</v>
      </c>
      <c r="Q2" s="349" t="s">
        <v>299</v>
      </c>
      <c r="R2" s="349" t="s">
        <v>300</v>
      </c>
      <c r="S2" s="349" t="s">
        <v>301</v>
      </c>
      <c r="T2" s="349" t="s">
        <v>302</v>
      </c>
      <c r="U2" s="349" t="s">
        <v>303</v>
      </c>
      <c r="V2" s="349" t="s">
        <v>304</v>
      </c>
      <c r="W2" s="349" t="s">
        <v>305</v>
      </c>
      <c r="X2" s="349" t="s">
        <v>306</v>
      </c>
      <c r="Y2" s="349" t="s">
        <v>307</v>
      </c>
      <c r="Z2" s="349" t="s">
        <v>308</v>
      </c>
      <c r="AA2" s="349" t="s">
        <v>309</v>
      </c>
      <c r="AB2" s="349" t="s">
        <v>310</v>
      </c>
      <c r="AC2" s="349" t="s">
        <v>311</v>
      </c>
      <c r="AD2" s="349" t="s">
        <v>312</v>
      </c>
      <c r="AE2" s="349" t="s">
        <v>313</v>
      </c>
      <c r="AF2" s="349" t="s">
        <v>314</v>
      </c>
      <c r="AG2" s="349" t="s">
        <v>315</v>
      </c>
      <c r="AH2" s="349" t="s">
        <v>316</v>
      </c>
      <c r="AI2" s="349" t="s">
        <v>317</v>
      </c>
      <c r="AJ2" s="349" t="s">
        <v>318</v>
      </c>
      <c r="AK2" s="349" t="s">
        <v>319</v>
      </c>
      <c r="AL2" s="349" t="s">
        <v>320</v>
      </c>
      <c r="AM2" s="349" t="s">
        <v>321</v>
      </c>
      <c r="AN2" s="354" t="s">
        <v>322</v>
      </c>
      <c r="AO2" s="354" t="s">
        <v>323</v>
      </c>
      <c r="AP2" s="354" t="s">
        <v>324</v>
      </c>
      <c r="AQ2" s="354" t="s">
        <v>325</v>
      </c>
      <c r="AR2" s="354" t="s">
        <v>326</v>
      </c>
      <c r="AS2" s="354" t="s">
        <v>327</v>
      </c>
      <c r="AT2" s="354" t="s">
        <v>328</v>
      </c>
      <c r="AU2" s="354" t="s">
        <v>281</v>
      </c>
      <c r="AV2" s="354" t="s">
        <v>329</v>
      </c>
      <c r="AW2" s="354" t="s">
        <v>330</v>
      </c>
      <c r="AX2" s="354" t="s">
        <v>331</v>
      </c>
      <c r="AY2" s="354" t="s">
        <v>332</v>
      </c>
      <c r="AZ2" s="354" t="s">
        <v>333</v>
      </c>
      <c r="BA2" s="357" t="s">
        <v>334</v>
      </c>
      <c r="BB2" s="357" t="s">
        <v>335</v>
      </c>
      <c r="BC2" s="357" t="s">
        <v>1349</v>
      </c>
      <c r="BD2" s="357" t="s">
        <v>1350</v>
      </c>
      <c r="BE2" s="357" t="s">
        <v>1351</v>
      </c>
      <c r="BF2" s="357" t="s">
        <v>1352</v>
      </c>
      <c r="BG2" s="357" t="s">
        <v>1497</v>
      </c>
      <c r="BH2" s="357" t="s">
        <v>1498</v>
      </c>
      <c r="BI2" s="357" t="s">
        <v>1499</v>
      </c>
      <c r="BJ2" s="357" t="s">
        <v>1500</v>
      </c>
      <c r="BK2" s="357" t="s">
        <v>1554</v>
      </c>
      <c r="BL2" s="357" t="s">
        <v>1555</v>
      </c>
      <c r="BM2" s="357" t="s">
        <v>1556</v>
      </c>
      <c r="BN2" s="357" t="s">
        <v>1557</v>
      </c>
      <c r="BO2" s="357" t="s">
        <v>1600</v>
      </c>
      <c r="BP2" s="357" t="s">
        <v>1601</v>
      </c>
      <c r="BQ2" s="357" t="s">
        <v>1602</v>
      </c>
      <c r="BR2" s="357" t="s">
        <v>1603</v>
      </c>
      <c r="BS2" s="357" t="s">
        <v>1634</v>
      </c>
      <c r="BT2" s="357" t="s">
        <v>1635</v>
      </c>
      <c r="BU2" s="357" t="s">
        <v>1636</v>
      </c>
      <c r="BV2" s="357" t="s">
        <v>1637</v>
      </c>
      <c r="BW2" s="357" t="s">
        <v>1712</v>
      </c>
      <c r="BX2" s="357" t="s">
        <v>1713</v>
      </c>
      <c r="BY2" s="357" t="s">
        <v>1714</v>
      </c>
      <c r="BZ2" s="357" t="s">
        <v>1715</v>
      </c>
      <c r="CA2" s="357" t="s">
        <v>1727</v>
      </c>
      <c r="CB2" s="357" t="s">
        <v>1728</v>
      </c>
      <c r="CC2" s="357" t="s">
        <v>1729</v>
      </c>
      <c r="CD2" s="357" t="s">
        <v>1730</v>
      </c>
      <c r="CE2" s="357" t="s">
        <v>1731</v>
      </c>
      <c r="CF2" s="357" t="s">
        <v>1732</v>
      </c>
      <c r="CG2" s="357" t="s">
        <v>1733</v>
      </c>
      <c r="CH2" s="357" t="s">
        <v>1734</v>
      </c>
      <c r="CI2" s="357" t="s">
        <v>1736</v>
      </c>
      <c r="CJ2" s="357" t="s">
        <v>1737</v>
      </c>
      <c r="CK2" s="357" t="s">
        <v>1738</v>
      </c>
      <c r="CL2" s="357" t="s">
        <v>1739</v>
      </c>
      <c r="CM2" s="357" t="s">
        <v>1735</v>
      </c>
      <c r="CN2" s="357" t="s">
        <v>1740</v>
      </c>
      <c r="CO2" s="357" t="s">
        <v>1741</v>
      </c>
      <c r="CP2" s="357" t="s">
        <v>1742</v>
      </c>
      <c r="CQ2" s="357" t="s">
        <v>1743</v>
      </c>
      <c r="CR2" s="357" t="s">
        <v>1744</v>
      </c>
      <c r="CS2" s="357" t="s">
        <v>1745</v>
      </c>
      <c r="CT2" s="357" t="s">
        <v>1746</v>
      </c>
      <c r="CU2" s="357" t="s">
        <v>1747</v>
      </c>
      <c r="CV2" s="357" t="s">
        <v>1748</v>
      </c>
      <c r="CW2" s="357" t="s">
        <v>1749</v>
      </c>
      <c r="CX2" s="357" t="s">
        <v>1750</v>
      </c>
      <c r="CY2" s="357" t="s">
        <v>1751</v>
      </c>
      <c r="CZ2" s="357" t="s">
        <v>1752</v>
      </c>
      <c r="DA2" s="357" t="s">
        <v>1753</v>
      </c>
      <c r="DB2" s="357" t="s">
        <v>1754</v>
      </c>
      <c r="DC2" s="357" t="s">
        <v>1755</v>
      </c>
      <c r="DD2" s="357" t="s">
        <v>1756</v>
      </c>
      <c r="DE2" s="357" t="s">
        <v>1757</v>
      </c>
      <c r="DF2" s="357" t="s">
        <v>1758</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1530</v>
      </c>
      <c r="EZ2" s="360" t="s">
        <v>336</v>
      </c>
    </row>
    <row r="3" spans="1:157" s="355" customFormat="1" ht="12.75" customHeight="1" x14ac:dyDescent="0.2">
      <c r="B3" s="20" t="s">
        <v>754</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c r="CJ3" s="313"/>
      <c r="CK3" s="313"/>
      <c r="CL3" s="313">
        <v>1238</v>
      </c>
      <c r="CM3" s="313"/>
      <c r="CN3" s="313"/>
      <c r="CO3" s="313"/>
      <c r="CP3" s="313">
        <v>1035</v>
      </c>
      <c r="CQ3" s="313">
        <v>990</v>
      </c>
      <c r="CR3" s="313">
        <v>935</v>
      </c>
      <c r="CS3" s="313">
        <v>921</v>
      </c>
      <c r="CT3" s="313">
        <v>901</v>
      </c>
      <c r="CU3" s="313">
        <v>777</v>
      </c>
      <c r="CV3" s="313">
        <v>888</v>
      </c>
      <c r="CW3" s="313">
        <v>761</v>
      </c>
      <c r="CX3" s="313">
        <v>764</v>
      </c>
      <c r="CY3" s="313">
        <v>663</v>
      </c>
      <c r="CZ3" s="313">
        <f>+CV3*0.8</f>
        <v>710.40000000000009</v>
      </c>
      <c r="DA3" s="313">
        <f t="shared" ref="DA3:DF3" si="9">+CW3*0.8</f>
        <v>608.80000000000007</v>
      </c>
      <c r="DB3" s="313">
        <f t="shared" si="9"/>
        <v>611.20000000000005</v>
      </c>
      <c r="DC3" s="313">
        <f t="shared" si="9"/>
        <v>530.4</v>
      </c>
      <c r="DD3" s="313">
        <f t="shared" si="9"/>
        <v>568.32000000000005</v>
      </c>
      <c r="DE3" s="313">
        <f t="shared" si="9"/>
        <v>487.04000000000008</v>
      </c>
      <c r="DF3" s="313">
        <f t="shared" si="9"/>
        <v>488.96000000000004</v>
      </c>
      <c r="DH3" s="305"/>
      <c r="DI3" s="305"/>
      <c r="DJ3" s="305"/>
      <c r="DK3" s="305"/>
      <c r="DL3" s="305"/>
      <c r="DM3" s="305"/>
      <c r="DN3" s="305"/>
      <c r="DO3" s="305"/>
      <c r="DP3" s="305" t="s">
        <v>78</v>
      </c>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M3" si="10">EI3*0.95</f>
        <v>6834.8714250000003</v>
      </c>
      <c r="EK3" s="305">
        <f t="shared" si="10"/>
        <v>6493.1278537500002</v>
      </c>
      <c r="EL3" s="305">
        <f t="shared" si="10"/>
        <v>6168.4714610624997</v>
      </c>
      <c r="EM3" s="305">
        <f>SUM(CQ3:CT3)</f>
        <v>3747</v>
      </c>
      <c r="EN3" s="305">
        <f>SUM(CU3:CX3)</f>
        <v>3190</v>
      </c>
      <c r="EO3" s="305">
        <f>SUM(CY3:DB3)</f>
        <v>2593.4000000000005</v>
      </c>
      <c r="EP3" s="305">
        <f t="shared" ref="EP3" si="11">EO3*0.95</f>
        <v>2463.7300000000005</v>
      </c>
      <c r="EQ3" s="305">
        <f t="shared" ref="EQ3" si="12">EP3*0.95</f>
        <v>2340.5435000000002</v>
      </c>
      <c r="ER3" s="305">
        <f t="shared" ref="ER3" si="13">EQ3*0.95</f>
        <v>2223.5163250000001</v>
      </c>
      <c r="ES3" s="305">
        <f t="shared" ref="ES3" si="14">ER3*0.95</f>
        <v>2112.34050875</v>
      </c>
      <c r="ET3" s="305">
        <f t="shared" ref="ET3" si="15">ES3*0.95</f>
        <v>2006.7234833124999</v>
      </c>
      <c r="EU3" s="305">
        <f t="shared" ref="EU3" si="16">ET3*0.95</f>
        <v>1906.3873091468747</v>
      </c>
      <c r="EV3" s="305">
        <f t="shared" ref="EV3" si="17">EU3*0.95</f>
        <v>1811.0679436895309</v>
      </c>
      <c r="EW3" s="305">
        <f t="shared" ref="EW3" si="18">EV3*0.95</f>
        <v>1720.5145465050543</v>
      </c>
      <c r="EY3" s="361" t="s">
        <v>1531</v>
      </c>
      <c r="EZ3" s="360" t="s">
        <v>1533</v>
      </c>
    </row>
    <row r="4" spans="1:157" ht="12.75" customHeight="1" x14ac:dyDescent="0.2">
      <c r="B4" s="134" t="s">
        <v>760</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c r="CJ4" s="351"/>
      <c r="CK4" s="351"/>
      <c r="CL4" s="351">
        <v>482</v>
      </c>
      <c r="CM4" s="351"/>
      <c r="CN4" s="351"/>
      <c r="CO4" s="351"/>
      <c r="CP4" s="351">
        <v>515</v>
      </c>
      <c r="CQ4" s="351">
        <v>529</v>
      </c>
      <c r="CR4" s="351">
        <v>546</v>
      </c>
      <c r="CS4" s="351">
        <v>592</v>
      </c>
      <c r="CT4" s="351">
        <v>576</v>
      </c>
      <c r="CU4" s="351">
        <v>562</v>
      </c>
      <c r="CV4" s="351">
        <v>584</v>
      </c>
      <c r="CW4" s="351">
        <v>571</v>
      </c>
      <c r="CX4" s="351">
        <v>559</v>
      </c>
      <c r="CY4" s="351">
        <v>571</v>
      </c>
      <c r="CZ4" s="351">
        <f>+CU4</f>
        <v>562</v>
      </c>
      <c r="DA4" s="351">
        <f t="shared" ref="DA4:DF4" si="20">+CV4</f>
        <v>584</v>
      </c>
      <c r="DB4" s="351">
        <f t="shared" si="20"/>
        <v>571</v>
      </c>
      <c r="DC4" s="351">
        <f t="shared" si="20"/>
        <v>559</v>
      </c>
      <c r="DD4" s="351">
        <f t="shared" si="20"/>
        <v>571</v>
      </c>
      <c r="DE4" s="351">
        <f t="shared" si="20"/>
        <v>562</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M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2288</v>
      </c>
      <c r="EP4" s="305">
        <f>EO4*1.01</f>
        <v>2310.88</v>
      </c>
      <c r="EQ4" s="305">
        <f t="shared" ref="EQ4:EW4" si="23">EP4*1.01</f>
        <v>2333.9888000000001</v>
      </c>
      <c r="ER4" s="305">
        <f t="shared" si="23"/>
        <v>2357.3286880000001</v>
      </c>
      <c r="ES4" s="305">
        <f t="shared" si="23"/>
        <v>2380.9019748800001</v>
      </c>
      <c r="ET4" s="305">
        <f t="shared" si="23"/>
        <v>2404.7109946288001</v>
      </c>
      <c r="EU4" s="305">
        <f t="shared" si="23"/>
        <v>2428.7581045750881</v>
      </c>
      <c r="EV4" s="305">
        <f t="shared" si="23"/>
        <v>2453.0456856208389</v>
      </c>
      <c r="EW4" s="305">
        <f t="shared" si="23"/>
        <v>2477.5761424770471</v>
      </c>
      <c r="EX4" s="355"/>
      <c r="EY4" s="353" t="s">
        <v>1532</v>
      </c>
      <c r="EZ4" s="360" t="s">
        <v>1534</v>
      </c>
    </row>
    <row r="5" spans="1:157" ht="12.75" customHeight="1" x14ac:dyDescent="0.2">
      <c r="B5" s="134" t="s">
        <v>1769</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c r="CJ5" s="351"/>
      <c r="CK5" s="351"/>
      <c r="CL5" s="351">
        <v>175</v>
      </c>
      <c r="CM5" s="351"/>
      <c r="CN5" s="351"/>
      <c r="CO5" s="351"/>
      <c r="CP5" s="351">
        <v>270</v>
      </c>
      <c r="CQ5" s="351">
        <v>296</v>
      </c>
      <c r="CR5" s="351">
        <v>342</v>
      </c>
      <c r="CS5" s="351">
        <v>327</v>
      </c>
      <c r="CT5" s="351">
        <v>382</v>
      </c>
      <c r="CU5" s="351">
        <v>418</v>
      </c>
      <c r="CV5" s="351">
        <v>479</v>
      </c>
      <c r="CW5" s="351">
        <v>537</v>
      </c>
      <c r="CX5" s="351">
        <v>693</v>
      </c>
      <c r="CY5" s="351">
        <v>590</v>
      </c>
      <c r="CZ5" s="351">
        <f>++CV5*1.35</f>
        <v>646.65000000000009</v>
      </c>
      <c r="DA5" s="351">
        <f t="shared" ref="DA5:DF5" si="24">++CW5*1.35</f>
        <v>724.95</v>
      </c>
      <c r="DB5" s="351">
        <f t="shared" si="24"/>
        <v>935.55000000000007</v>
      </c>
      <c r="DC5" s="351">
        <f t="shared" si="24"/>
        <v>796.5</v>
      </c>
      <c r="DD5" s="351">
        <f t="shared" si="24"/>
        <v>872.97750000000019</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2897.15</v>
      </c>
      <c r="EP5" s="305">
        <f>+EO5*1.2</f>
        <v>3476.58</v>
      </c>
      <c r="EQ5" s="305">
        <f>+EP5*1.1</f>
        <v>3824.2380000000003</v>
      </c>
      <c r="ER5" s="305">
        <f>+EQ5*1.05</f>
        <v>4015.4499000000005</v>
      </c>
      <c r="ES5" s="305">
        <f t="shared" ref="ES5:EW5" si="25">+ER5*1.05</f>
        <v>4216.2223950000007</v>
      </c>
      <c r="ET5" s="305">
        <f t="shared" si="25"/>
        <v>4427.0335147500009</v>
      </c>
      <c r="EU5" s="305">
        <f t="shared" si="25"/>
        <v>4648.3851904875009</v>
      </c>
      <c r="EV5" s="305">
        <f t="shared" si="25"/>
        <v>4880.8044500118758</v>
      </c>
      <c r="EW5" s="305">
        <f t="shared" si="25"/>
        <v>5124.8446725124695</v>
      </c>
      <c r="EX5" s="355"/>
      <c r="EZ5" s="360"/>
    </row>
    <row r="6" spans="1:157" x14ac:dyDescent="0.2">
      <c r="B6" s="134" t="s">
        <v>553</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c r="CJ6" s="351"/>
      <c r="CK6" s="351"/>
      <c r="CL6" s="351">
        <v>1444</v>
      </c>
      <c r="CM6" s="351"/>
      <c r="CN6" s="351"/>
      <c r="CO6" s="351"/>
      <c r="CP6" s="351">
        <v>1700</v>
      </c>
      <c r="CQ6" s="351">
        <v>1819</v>
      </c>
      <c r="CR6" s="351">
        <v>1697</v>
      </c>
      <c r="CS6" s="351">
        <v>1947</v>
      </c>
      <c r="CT6" s="351">
        <v>2244</v>
      </c>
      <c r="CU6" s="351">
        <v>2148</v>
      </c>
      <c r="CV6" s="351">
        <v>2274</v>
      </c>
      <c r="CW6" s="351">
        <v>2378</v>
      </c>
      <c r="CX6" s="351">
        <v>2334</v>
      </c>
      <c r="CY6" s="351">
        <v>2288</v>
      </c>
      <c r="CZ6" s="351">
        <f>+CV6*1.01</f>
        <v>2296.7400000000002</v>
      </c>
      <c r="DA6" s="351">
        <f t="shared" ref="DA6:DF6" si="27">+CW6*1.01</f>
        <v>2401.7800000000002</v>
      </c>
      <c r="DB6" s="351">
        <f t="shared" si="27"/>
        <v>2357.34</v>
      </c>
      <c r="DC6" s="351">
        <f t="shared" si="27"/>
        <v>2310.88</v>
      </c>
      <c r="DD6" s="351">
        <f t="shared" si="27"/>
        <v>2319.7074000000002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9343.86</v>
      </c>
      <c r="EP6" s="305">
        <f>+EO6*1.01</f>
        <v>9437.2986000000001</v>
      </c>
      <c r="EQ6" s="305">
        <f>+EP6*1.01</f>
        <v>9531.6715860000004</v>
      </c>
      <c r="ER6" s="305">
        <f>+EQ6*0.95</f>
        <v>9055.0880066999998</v>
      </c>
      <c r="ES6" s="305">
        <f t="shared" ref="ES6:EW6" si="30">+ER6*0.95</f>
        <v>8602.3336063649986</v>
      </c>
      <c r="ET6" s="305">
        <f t="shared" si="30"/>
        <v>8172.2169260467481</v>
      </c>
      <c r="EU6" s="305">
        <f t="shared" si="30"/>
        <v>7763.6060797444106</v>
      </c>
      <c r="EV6" s="305">
        <f t="shared" si="30"/>
        <v>7375.4257757571895</v>
      </c>
      <c r="EW6" s="305">
        <f t="shared" si="30"/>
        <v>7006.6544869693298</v>
      </c>
      <c r="EZ6" s="58" t="s">
        <v>1372</v>
      </c>
    </row>
    <row r="7" spans="1:157" x14ac:dyDescent="0.2">
      <c r="B7" s="134" t="s">
        <v>1763</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c r="CJ7" s="351"/>
      <c r="CK7" s="351"/>
      <c r="CL7" s="351">
        <v>3</v>
      </c>
      <c r="CM7" s="351"/>
      <c r="CN7" s="351"/>
      <c r="CO7" s="351"/>
      <c r="CP7" s="351">
        <v>2</v>
      </c>
      <c r="CQ7" s="351">
        <v>3</v>
      </c>
      <c r="CR7" s="351">
        <v>3</v>
      </c>
      <c r="CS7" s="351">
        <v>3</v>
      </c>
      <c r="CT7" s="351">
        <v>2</v>
      </c>
      <c r="CU7" s="351">
        <v>9</v>
      </c>
      <c r="CV7" s="351">
        <v>7</v>
      </c>
      <c r="CW7" s="351">
        <v>3</v>
      </c>
      <c r="CX7" s="351">
        <v>6</v>
      </c>
      <c r="CY7" s="351">
        <v>6</v>
      </c>
      <c r="CZ7" s="351">
        <f>+CY7</f>
        <v>6</v>
      </c>
      <c r="DA7" s="351">
        <f t="shared" ref="DA7:DF7" si="31">+CZ7</f>
        <v>6</v>
      </c>
      <c r="DB7" s="351">
        <f t="shared" si="31"/>
        <v>6</v>
      </c>
      <c r="DC7" s="351">
        <f t="shared" si="31"/>
        <v>6</v>
      </c>
      <c r="DD7" s="351">
        <f t="shared" si="31"/>
        <v>6</v>
      </c>
      <c r="DE7" s="351">
        <f t="shared" si="31"/>
        <v>6</v>
      </c>
      <c r="DF7" s="351">
        <f t="shared" si="31"/>
        <v>6</v>
      </c>
      <c r="EA7" s="305"/>
      <c r="EB7" s="305"/>
      <c r="EC7" s="305"/>
      <c r="ED7" s="305"/>
      <c r="EE7" s="305"/>
      <c r="EF7" s="305"/>
      <c r="EG7" s="305"/>
      <c r="EH7" s="305"/>
      <c r="EI7" s="305"/>
      <c r="EJ7" s="305"/>
      <c r="EK7" s="305"/>
      <c r="EL7" s="305"/>
      <c r="EM7" s="305">
        <f>SUM(CQ7:CT7)</f>
        <v>11</v>
      </c>
      <c r="EN7" s="305">
        <f t="shared" si="22"/>
        <v>25</v>
      </c>
      <c r="EO7" s="305">
        <f>SUM(CY7:DB7)</f>
        <v>24</v>
      </c>
      <c r="EP7" s="305">
        <f>+EO7</f>
        <v>24</v>
      </c>
      <c r="EQ7" s="305">
        <f t="shared" ref="EQ7:EW7" si="32">+EP7</f>
        <v>24</v>
      </c>
      <c r="ER7" s="305">
        <f t="shared" si="32"/>
        <v>24</v>
      </c>
      <c r="ES7" s="305">
        <f t="shared" si="32"/>
        <v>24</v>
      </c>
      <c r="ET7" s="305">
        <f t="shared" si="32"/>
        <v>24</v>
      </c>
      <c r="EU7" s="305">
        <f t="shared" si="32"/>
        <v>24</v>
      </c>
      <c r="EV7" s="305">
        <f t="shared" si="32"/>
        <v>24</v>
      </c>
      <c r="EW7" s="305">
        <f t="shared" si="32"/>
        <v>24</v>
      </c>
      <c r="EZ7" s="58"/>
    </row>
    <row r="8" spans="1:157" s="355" customFormat="1" hidden="1" x14ac:dyDescent="0.2">
      <c r="B8" s="20" t="s">
        <v>755</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666</v>
      </c>
      <c r="AR8" s="365" t="s">
        <v>665</v>
      </c>
      <c r="AS8" s="365" t="s">
        <v>664</v>
      </c>
      <c r="AT8" s="365" t="s">
        <v>663</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128</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661</v>
      </c>
      <c r="EA8" s="368" t="s">
        <v>1535</v>
      </c>
      <c r="EB8" s="368" t="s">
        <v>1536</v>
      </c>
      <c r="EC8" s="369" t="s">
        <v>1537</v>
      </c>
      <c r="ED8" s="370" t="s">
        <v>1538</v>
      </c>
      <c r="EE8" s="349"/>
      <c r="EF8" s="349"/>
      <c r="EG8" s="349"/>
      <c r="EH8" s="349"/>
      <c r="EI8" s="349"/>
      <c r="EJ8" s="349"/>
      <c r="EK8" s="349"/>
      <c r="EL8" s="349"/>
      <c r="EM8" s="349"/>
    </row>
    <row r="9" spans="1:157" s="355" customFormat="1" hidden="1" x14ac:dyDescent="0.2">
      <c r="B9" s="20" t="s">
        <v>343</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957</v>
      </c>
      <c r="AB9" s="306" t="s">
        <v>958</v>
      </c>
      <c r="AC9" s="307" t="s">
        <v>959</v>
      </c>
      <c r="AD9" s="307" t="s">
        <v>960</v>
      </c>
      <c r="AE9" s="307" t="s">
        <v>969</v>
      </c>
      <c r="AF9" s="307" t="s">
        <v>970</v>
      </c>
      <c r="AG9" s="308" t="s">
        <v>970</v>
      </c>
      <c r="AH9" s="308" t="s">
        <v>971</v>
      </c>
      <c r="AI9" s="308" t="s">
        <v>974</v>
      </c>
      <c r="AJ9" s="307" t="s">
        <v>975</v>
      </c>
      <c r="AK9" s="307" t="s">
        <v>976</v>
      </c>
      <c r="AL9" s="307" t="s">
        <v>977</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962</v>
      </c>
      <c r="DW9" s="314" t="s">
        <v>968</v>
      </c>
      <c r="DX9" s="314" t="s">
        <v>973</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1313</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1020</v>
      </c>
      <c r="Z10" s="306" t="s">
        <v>1021</v>
      </c>
      <c r="AA10" s="307" t="s">
        <v>953</v>
      </c>
      <c r="AB10" s="307" t="s">
        <v>954</v>
      </c>
      <c r="AC10" s="307" t="s">
        <v>955</v>
      </c>
      <c r="AD10" s="307" t="s">
        <v>956</v>
      </c>
      <c r="AE10" s="307" t="s">
        <v>963</v>
      </c>
      <c r="AF10" s="307" t="s">
        <v>964</v>
      </c>
      <c r="AG10" s="308" t="s">
        <v>965</v>
      </c>
      <c r="AH10" s="308" t="s">
        <v>966</v>
      </c>
      <c r="AI10" s="307" t="s">
        <v>978</v>
      </c>
      <c r="AJ10" s="307" t="s">
        <v>979</v>
      </c>
      <c r="AK10" s="307" t="s">
        <v>980</v>
      </c>
      <c r="AL10" s="307" t="s">
        <v>981</v>
      </c>
      <c r="AM10" s="307" t="s">
        <v>1023</v>
      </c>
      <c r="AN10" s="365" t="s">
        <v>1024</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c r="CJ10" s="313"/>
      <c r="CK10" s="313"/>
      <c r="CL10" s="313">
        <v>178</v>
      </c>
      <c r="CM10" s="313"/>
      <c r="CN10" s="313"/>
      <c r="CO10" s="313"/>
      <c r="CP10" s="313">
        <v>160</v>
      </c>
      <c r="CQ10" s="313">
        <v>170</v>
      </c>
      <c r="CR10" s="313">
        <v>153</v>
      </c>
      <c r="CS10" s="313">
        <v>152</v>
      </c>
      <c r="CT10" s="313">
        <v>167</v>
      </c>
      <c r="CU10" s="313">
        <v>157</v>
      </c>
      <c r="CV10" s="313">
        <v>155</v>
      </c>
      <c r="CW10" s="313">
        <v>140</v>
      </c>
      <c r="CX10" s="313">
        <v>140</v>
      </c>
      <c r="CY10" s="313">
        <v>129</v>
      </c>
      <c r="CZ10" s="313">
        <f>CV10</f>
        <v>155</v>
      </c>
      <c r="DA10" s="313">
        <f t="shared" ref="DA10:DF10" si="36">CW10</f>
        <v>140</v>
      </c>
      <c r="DB10" s="313">
        <f t="shared" si="36"/>
        <v>140</v>
      </c>
      <c r="DC10" s="313">
        <f t="shared" si="36"/>
        <v>129</v>
      </c>
      <c r="DD10" s="313">
        <f t="shared" si="36"/>
        <v>155</v>
      </c>
      <c r="DE10" s="313">
        <f t="shared" si="36"/>
        <v>140</v>
      </c>
      <c r="DF10" s="313">
        <f t="shared" si="36"/>
        <v>140</v>
      </c>
      <c r="DH10" s="305"/>
      <c r="DI10" s="305"/>
      <c r="DJ10" s="305"/>
      <c r="DK10" s="305"/>
      <c r="DL10" s="305"/>
      <c r="DM10" s="305"/>
      <c r="DN10" s="305"/>
      <c r="DO10" s="305"/>
      <c r="DP10" s="305"/>
      <c r="DQ10" s="305"/>
      <c r="DR10" s="305"/>
      <c r="DS10" s="305"/>
      <c r="DT10" s="305"/>
      <c r="DU10" s="314" t="s">
        <v>1022</v>
      </c>
      <c r="DV10" s="314" t="s">
        <v>961</v>
      </c>
      <c r="DW10" s="314" t="s">
        <v>967</v>
      </c>
      <c r="DX10" s="314" t="s">
        <v>972</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564</v>
      </c>
      <c r="EP10" s="305">
        <f t="shared" si="37"/>
        <v>535.79999999999995</v>
      </c>
      <c r="EQ10" s="305">
        <f t="shared" ref="EQ10" si="39">+EP10*0.95</f>
        <v>509.00999999999993</v>
      </c>
      <c r="ER10" s="305">
        <f t="shared" ref="ER10" si="40">+EQ10*0.95</f>
        <v>483.5594999999999</v>
      </c>
      <c r="ES10" s="305">
        <f t="shared" ref="ES10" si="41">+ER10*0.95</f>
        <v>459.3815249999999</v>
      </c>
      <c r="ET10" s="305">
        <f t="shared" ref="ET10" si="42">+ES10*0.95</f>
        <v>436.4124487499999</v>
      </c>
      <c r="EU10" s="305">
        <f t="shared" ref="EU10" si="43">+ET10*0.95</f>
        <v>414.5918263124999</v>
      </c>
      <c r="EV10" s="305">
        <f t="shared" ref="EV10" si="44">+EU10*0.95</f>
        <v>393.86223499687492</v>
      </c>
      <c r="EW10" s="305">
        <f t="shared" ref="EW10" si="45">+EV10*0.95</f>
        <v>374.16912324703117</v>
      </c>
      <c r="EZ10" s="360"/>
    </row>
    <row r="11" spans="1:157" s="355" customFormat="1" x14ac:dyDescent="0.2">
      <c r="B11" s="134" t="s">
        <v>881</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667</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c r="CJ11" s="313"/>
      <c r="CK11" s="313"/>
      <c r="CL11" s="313">
        <v>763</v>
      </c>
      <c r="CM11" s="313"/>
      <c r="CN11" s="313"/>
      <c r="CO11" s="313"/>
      <c r="CP11" s="313">
        <v>871</v>
      </c>
      <c r="CQ11" s="313">
        <v>883</v>
      </c>
      <c r="CR11" s="313">
        <v>879</v>
      </c>
      <c r="CS11" s="313">
        <v>926</v>
      </c>
      <c r="CT11" s="313">
        <v>965</v>
      </c>
      <c r="CU11" s="313">
        <v>965</v>
      </c>
      <c r="CV11" s="313">
        <v>1024</v>
      </c>
      <c r="CW11" s="313">
        <v>1004</v>
      </c>
      <c r="CX11" s="313">
        <v>1029</v>
      </c>
      <c r="CY11" s="313">
        <v>1048</v>
      </c>
      <c r="CZ11" s="313">
        <f>CV11*1.01</f>
        <v>1034.24</v>
      </c>
      <c r="DA11" s="313">
        <f t="shared" ref="DA11:DF11" si="47">CW11*1.01</f>
        <v>1014.04</v>
      </c>
      <c r="DB11" s="313">
        <f t="shared" si="47"/>
        <v>1039.29</v>
      </c>
      <c r="DC11" s="313">
        <f t="shared" si="47"/>
        <v>1058.48</v>
      </c>
      <c r="DD11" s="313">
        <f t="shared" si="47"/>
        <v>1044.5824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t="s">
        <v>118</v>
      </c>
      <c r="DW11" s="305" t="s">
        <v>118</v>
      </c>
      <c r="DX11" s="305" t="s">
        <v>78</v>
      </c>
      <c r="DY11" s="314" t="s">
        <v>982</v>
      </c>
      <c r="DZ11" s="314" t="s">
        <v>952</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4135.57</v>
      </c>
      <c r="EP11" s="305">
        <f t="shared" si="48"/>
        <v>4218.2813999999998</v>
      </c>
      <c r="EQ11" s="305">
        <f t="shared" si="48"/>
        <v>4302.6470280000003</v>
      </c>
      <c r="ER11" s="305">
        <f>+EQ11*0.8</f>
        <v>3442.1176224000005</v>
      </c>
      <c r="ES11" s="305">
        <f t="shared" ref="ES11:EW11" si="49">+ER11*0.8</f>
        <v>2753.6940979200008</v>
      </c>
      <c r="ET11" s="305">
        <f t="shared" si="49"/>
        <v>2202.9552783360009</v>
      </c>
      <c r="EU11" s="305">
        <f t="shared" si="49"/>
        <v>1762.3642226688007</v>
      </c>
      <c r="EV11" s="305">
        <f t="shared" si="49"/>
        <v>1409.8913781350407</v>
      </c>
      <c r="EW11" s="305">
        <f t="shared" si="49"/>
        <v>1127.9131025080326</v>
      </c>
      <c r="EZ11" s="360"/>
      <c r="FA11" s="372"/>
    </row>
    <row r="12" spans="1:157" s="355" customFormat="1" x14ac:dyDescent="0.2">
      <c r="B12" s="134" t="s">
        <v>595</v>
      </c>
      <c r="C12" s="349"/>
      <c r="D12" s="349"/>
      <c r="E12" s="349"/>
      <c r="F12" s="349"/>
      <c r="G12" s="349"/>
      <c r="H12" s="349"/>
      <c r="I12" s="349"/>
      <c r="J12" s="349"/>
      <c r="K12" s="349"/>
      <c r="L12" s="349"/>
      <c r="M12" s="349"/>
      <c r="N12" s="349"/>
      <c r="O12" s="349"/>
      <c r="P12" s="349"/>
      <c r="Q12" s="349"/>
      <c r="R12" s="349"/>
      <c r="S12" s="306" t="s">
        <v>667</v>
      </c>
      <c r="T12" s="306" t="s">
        <v>426</v>
      </c>
      <c r="U12" s="306" t="s">
        <v>427</v>
      </c>
      <c r="V12" s="306" t="s">
        <v>428</v>
      </c>
      <c r="W12" s="306" t="s">
        <v>429</v>
      </c>
      <c r="X12" s="306" t="s">
        <v>430</v>
      </c>
      <c r="Y12" s="306" t="s">
        <v>429</v>
      </c>
      <c r="Z12" s="306" t="s">
        <v>431</v>
      </c>
      <c r="AA12" s="306" t="s">
        <v>432</v>
      </c>
      <c r="AB12" s="306" t="s">
        <v>433</v>
      </c>
      <c r="AC12" s="306" t="s">
        <v>434</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c r="CJ12" s="313"/>
      <c r="CK12" s="313"/>
      <c r="CL12" s="313">
        <v>150</v>
      </c>
      <c r="CM12" s="313"/>
      <c r="CN12" s="313"/>
      <c r="CO12" s="313"/>
      <c r="CP12" s="313">
        <v>152</v>
      </c>
      <c r="CQ12" s="313">
        <v>171</v>
      </c>
      <c r="CR12" s="313">
        <v>149</v>
      </c>
      <c r="CS12" s="313">
        <v>149</v>
      </c>
      <c r="CT12" s="313">
        <v>153</v>
      </c>
      <c r="CU12" s="313">
        <v>171</v>
      </c>
      <c r="CV12" s="313">
        <v>161</v>
      </c>
      <c r="CW12" s="313">
        <v>157</v>
      </c>
      <c r="CX12" s="313">
        <v>178</v>
      </c>
      <c r="CY12" s="313">
        <v>157</v>
      </c>
      <c r="CZ12" s="313">
        <f>CV12</f>
        <v>161</v>
      </c>
      <c r="DA12" s="313">
        <f t="shared" ref="DA12:DF13" si="51">CW12</f>
        <v>157</v>
      </c>
      <c r="DB12" s="313">
        <f t="shared" si="51"/>
        <v>178</v>
      </c>
      <c r="DC12" s="313">
        <f t="shared" si="51"/>
        <v>157</v>
      </c>
      <c r="DD12" s="313">
        <f t="shared" si="51"/>
        <v>161</v>
      </c>
      <c r="DE12" s="313">
        <f t="shared" si="51"/>
        <v>157</v>
      </c>
      <c r="DF12" s="313">
        <f t="shared" si="51"/>
        <v>178</v>
      </c>
      <c r="DH12" s="314" t="s">
        <v>128</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M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1369</v>
      </c>
    </row>
    <row r="13" spans="1:157" s="355" customFormat="1" x14ac:dyDescent="0.2">
      <c r="B13" s="134" t="s">
        <v>1766</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c r="CJ13" s="313"/>
      <c r="CK13" s="313"/>
      <c r="CL13" s="313">
        <v>409</v>
      </c>
      <c r="CM13" s="313"/>
      <c r="CN13" s="313"/>
      <c r="CO13" s="313"/>
      <c r="CP13" s="313">
        <v>383</v>
      </c>
      <c r="CQ13" s="313">
        <v>435</v>
      </c>
      <c r="CR13" s="313">
        <v>406</v>
      </c>
      <c r="CS13" s="313">
        <v>377</v>
      </c>
      <c r="CT13" s="313">
        <v>414</v>
      </c>
      <c r="CU13" s="313">
        <v>422</v>
      </c>
      <c r="CV13" s="313">
        <v>468</v>
      </c>
      <c r="CW13" s="313">
        <v>388</v>
      </c>
      <c r="CX13" s="313">
        <v>445</v>
      </c>
      <c r="CY13" s="313">
        <v>408</v>
      </c>
      <c r="CZ13" s="313">
        <f>CV13</f>
        <v>468</v>
      </c>
      <c r="DA13" s="313">
        <f t="shared" si="51"/>
        <v>388</v>
      </c>
      <c r="DB13" s="313">
        <f t="shared" si="51"/>
        <v>445</v>
      </c>
      <c r="DC13" s="313">
        <f t="shared" si="51"/>
        <v>408</v>
      </c>
      <c r="DD13" s="313">
        <f t="shared" si="51"/>
        <v>468</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1723</v>
      </c>
      <c r="EO13" s="305">
        <f>SUM(CY13:DB13)</f>
        <v>1709</v>
      </c>
      <c r="EP13" s="305">
        <f>+EO13*0.9</f>
        <v>1538.1000000000001</v>
      </c>
      <c r="EQ13" s="305">
        <f t="shared" ref="EQ13:EW13" si="61">+EP13*0.9</f>
        <v>1384.2900000000002</v>
      </c>
      <c r="ER13" s="305">
        <f t="shared" si="61"/>
        <v>1245.8610000000001</v>
      </c>
      <c r="ES13" s="305">
        <f t="shared" si="61"/>
        <v>1121.2749000000001</v>
      </c>
      <c r="ET13" s="305">
        <f t="shared" si="61"/>
        <v>1009.1474100000001</v>
      </c>
      <c r="EU13" s="305">
        <f t="shared" si="61"/>
        <v>908.2326690000001</v>
      </c>
      <c r="EV13" s="305">
        <f t="shared" si="61"/>
        <v>817.40940210000008</v>
      </c>
      <c r="EW13" s="305">
        <f t="shared" si="61"/>
        <v>735.66846189000012</v>
      </c>
      <c r="EZ13" s="360"/>
    </row>
    <row r="14" spans="1:157" s="355" customFormat="1" hidden="1" x14ac:dyDescent="0.2">
      <c r="B14" s="20" t="s">
        <v>202</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113</v>
      </c>
    </row>
    <row r="15" spans="1:157" s="355" customFormat="1" hidden="1" x14ac:dyDescent="0.2">
      <c r="B15" s="20" t="s">
        <v>349</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350</v>
      </c>
    </row>
    <row r="16" spans="1:157" hidden="1" x14ac:dyDescent="0.2">
      <c r="B16" s="20" t="s">
        <v>345</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1274</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c r="CJ17" s="313"/>
      <c r="CK17" s="313"/>
      <c r="CL17" s="313">
        <v>495</v>
      </c>
      <c r="CM17" s="313"/>
      <c r="CN17" s="313"/>
      <c r="CO17" s="313"/>
      <c r="CP17" s="313">
        <v>544</v>
      </c>
      <c r="CQ17" s="313">
        <v>579</v>
      </c>
      <c r="CR17" s="313">
        <v>510</v>
      </c>
      <c r="CS17" s="313">
        <v>526</v>
      </c>
      <c r="CT17" s="313">
        <v>569</v>
      </c>
      <c r="CU17" s="313">
        <v>546</v>
      </c>
      <c r="CV17" s="313">
        <v>505</v>
      </c>
      <c r="CW17" s="313">
        <v>517</v>
      </c>
      <c r="CX17" s="313">
        <v>515</v>
      </c>
      <c r="CY17" s="313">
        <v>501</v>
      </c>
      <c r="CZ17" s="313">
        <f>+CV17*0.9</f>
        <v>454.5</v>
      </c>
      <c r="DA17" s="313">
        <f t="shared" ref="DA17:DF17" si="68">+CW17*0.9</f>
        <v>465.3</v>
      </c>
      <c r="DB17" s="313">
        <f t="shared" si="68"/>
        <v>463.5</v>
      </c>
      <c r="DC17" s="313">
        <f t="shared" si="68"/>
        <v>450.90000000000003</v>
      </c>
      <c r="DD17" s="313">
        <f t="shared" si="68"/>
        <v>409.05</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M17" si="69">+EJ17*0.1</f>
        <v>9.5626000000000015</v>
      </c>
      <c r="EL17" s="305">
        <f t="shared" si="69"/>
        <v>0.95626000000000022</v>
      </c>
      <c r="EM17" s="305">
        <f>SUM(CQ17:CT17)</f>
        <v>2184</v>
      </c>
      <c r="EN17" s="305">
        <f t="shared" ref="EN17:EN54" si="70">SUM(CU17:CX17)</f>
        <v>2083</v>
      </c>
      <c r="EO17" s="305">
        <f>SUM(CY17:DB17)</f>
        <v>1884.3</v>
      </c>
      <c r="EP17" s="305">
        <f>+EO17*0.5</f>
        <v>942.15</v>
      </c>
      <c r="EQ17" s="305">
        <f t="shared" ref="EQ17:EW17" si="71">+EP17*0.5</f>
        <v>471.07499999999999</v>
      </c>
      <c r="ER17" s="305">
        <f t="shared" si="71"/>
        <v>235.53749999999999</v>
      </c>
      <c r="ES17" s="305">
        <f t="shared" si="71"/>
        <v>117.76875</v>
      </c>
      <c r="ET17" s="305">
        <f t="shared" si="71"/>
        <v>58.884374999999999</v>
      </c>
      <c r="EU17" s="305">
        <f t="shared" si="71"/>
        <v>29.442187499999999</v>
      </c>
      <c r="EV17" s="305">
        <f t="shared" si="71"/>
        <v>14.72109375</v>
      </c>
      <c r="EW17" s="305">
        <f t="shared" si="71"/>
        <v>7.3605468749999998</v>
      </c>
      <c r="EX17" s="355"/>
      <c r="EZ17" s="361" t="s">
        <v>1371</v>
      </c>
    </row>
    <row r="18" spans="2:156" ht="12.75" customHeight="1" x14ac:dyDescent="0.2">
      <c r="B18" s="134" t="s">
        <v>1708</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c r="CJ18" s="313"/>
      <c r="CK18" s="313"/>
      <c r="CL18" s="313">
        <v>193</v>
      </c>
      <c r="CM18" s="313"/>
      <c r="CN18" s="313"/>
      <c r="CO18" s="313"/>
      <c r="CP18" s="313">
        <v>222</v>
      </c>
      <c r="CQ18" s="313">
        <v>224</v>
      </c>
      <c r="CR18" s="313">
        <v>256</v>
      </c>
      <c r="CS18" s="313">
        <v>236</v>
      </c>
      <c r="CT18" s="313">
        <v>248</v>
      </c>
      <c r="CU18" s="313">
        <v>243</v>
      </c>
      <c r="CV18" s="313">
        <v>262</v>
      </c>
      <c r="CW18" s="313">
        <v>259</v>
      </c>
      <c r="CX18" s="313">
        <v>230</v>
      </c>
      <c r="CY18" s="313">
        <v>248</v>
      </c>
      <c r="CZ18" s="313">
        <f>+CV18</f>
        <v>262</v>
      </c>
      <c r="DA18" s="313">
        <f t="shared" ref="DA18:DF18" si="77">+CW18</f>
        <v>259</v>
      </c>
      <c r="DB18" s="313">
        <f t="shared" si="77"/>
        <v>230</v>
      </c>
      <c r="DC18" s="313">
        <f t="shared" si="77"/>
        <v>248</v>
      </c>
      <c r="DD18" s="313">
        <f t="shared" si="77"/>
        <v>262</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999</v>
      </c>
      <c r="EP18" s="305">
        <f t="shared" si="78"/>
        <v>1048.95</v>
      </c>
      <c r="EQ18" s="305">
        <f>+EP18*0.5</f>
        <v>524.47500000000002</v>
      </c>
      <c r="ER18" s="305">
        <f t="shared" ref="ER18:EW18" si="79">+EQ18*0.5</f>
        <v>262.23750000000001</v>
      </c>
      <c r="ES18" s="305">
        <f t="shared" si="79"/>
        <v>131.11875000000001</v>
      </c>
      <c r="ET18" s="305">
        <f t="shared" si="79"/>
        <v>65.559375000000003</v>
      </c>
      <c r="EU18" s="305">
        <f t="shared" si="79"/>
        <v>32.779687500000001</v>
      </c>
      <c r="EV18" s="305">
        <f t="shared" si="79"/>
        <v>16.389843750000001</v>
      </c>
      <c r="EW18" s="305">
        <f t="shared" si="79"/>
        <v>8.1949218750000004</v>
      </c>
      <c r="EX18" s="355"/>
      <c r="EZ18" s="361"/>
    </row>
    <row r="19" spans="2:156" ht="12.75" customHeight="1" x14ac:dyDescent="0.2">
      <c r="B19" s="134" t="s">
        <v>1764</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c r="CJ19" s="313"/>
      <c r="CK19" s="313"/>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0</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457</v>
      </c>
      <c r="EP19" s="305">
        <v>0</v>
      </c>
      <c r="EQ19" s="305">
        <v>0</v>
      </c>
      <c r="ER19" s="305">
        <v>0</v>
      </c>
      <c r="ES19" s="305">
        <v>0</v>
      </c>
      <c r="ET19" s="305">
        <v>0</v>
      </c>
      <c r="EU19" s="305">
        <v>0</v>
      </c>
      <c r="EV19" s="305">
        <v>0</v>
      </c>
      <c r="EW19" s="305">
        <v>0</v>
      </c>
      <c r="EX19" s="355"/>
      <c r="EZ19" s="361"/>
    </row>
    <row r="20" spans="2:156" s="355" customFormat="1" hidden="1" x14ac:dyDescent="0.2">
      <c r="B20" s="134" t="s">
        <v>166</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4" si="82">SUM(CQ20:CT20)</f>
        <v>0</v>
      </c>
      <c r="EN20" s="305">
        <f t="shared" si="70"/>
        <v>0</v>
      </c>
      <c r="EO20" s="305">
        <f t="shared" si="80"/>
        <v>0</v>
      </c>
      <c r="EZ20" s="361"/>
    </row>
    <row r="21" spans="2:156" s="355" customFormat="1" ht="12.75" hidden="1" customHeight="1" x14ac:dyDescent="0.2">
      <c r="B21" s="20" t="s">
        <v>235</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M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1370</v>
      </c>
    </row>
    <row r="22" spans="2:156" s="355" customFormat="1" ht="12.75" hidden="1" customHeight="1" x14ac:dyDescent="0.2">
      <c r="B22" s="20" t="s">
        <v>1706</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1552</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660</v>
      </c>
      <c r="DY23" s="362" t="s">
        <v>659</v>
      </c>
      <c r="DZ23" s="362" t="s">
        <v>80</v>
      </c>
      <c r="EA23" s="362" t="s">
        <v>80</v>
      </c>
      <c r="EB23" s="305" t="s">
        <v>80</v>
      </c>
      <c r="EC23" s="305"/>
      <c r="ED23" s="305">
        <f>SUM(BG23:BJ23)</f>
        <v>0</v>
      </c>
      <c r="EE23" s="305">
        <f>SUM(BK23:BN23)</f>
        <v>443</v>
      </c>
      <c r="EF23" s="305">
        <f>SUM(BO23:BR23)</f>
        <v>517</v>
      </c>
      <c r="EG23" s="305">
        <f>SUM(BS23:BV23)</f>
        <v>274.5</v>
      </c>
      <c r="EH23" s="305">
        <f>+EG23*0.1</f>
        <v>27.450000000000003</v>
      </c>
      <c r="EI23" s="305">
        <f t="shared" ref="EI23:EM26"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1765</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c r="CJ24" s="313"/>
      <c r="CK24" s="313"/>
      <c r="CL24" s="313">
        <v>114</v>
      </c>
      <c r="CM24" s="313"/>
      <c r="CN24" s="313"/>
      <c r="CO24" s="313"/>
      <c r="CP24" s="313">
        <v>99</v>
      </c>
      <c r="CQ24" s="313">
        <v>116</v>
      </c>
      <c r="CR24" s="313">
        <v>113</v>
      </c>
      <c r="CS24" s="313">
        <v>102</v>
      </c>
      <c r="CT24" s="313">
        <v>96</v>
      </c>
      <c r="CU24" s="313">
        <v>108</v>
      </c>
      <c r="CV24" s="313">
        <v>98</v>
      </c>
      <c r="CW24" s="313">
        <v>110</v>
      </c>
      <c r="CX24" s="313">
        <v>74</v>
      </c>
      <c r="CY24" s="313">
        <v>91</v>
      </c>
      <c r="CZ24" s="313">
        <v>0</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390</v>
      </c>
      <c r="EO24" s="305">
        <f t="shared" si="80"/>
        <v>91</v>
      </c>
      <c r="EP24" s="305">
        <f>+EO24</f>
        <v>91</v>
      </c>
      <c r="EQ24" s="305">
        <f t="shared" ref="EQ24:EW24" si="88">+EP24</f>
        <v>91</v>
      </c>
      <c r="ER24" s="305">
        <f t="shared" si="88"/>
        <v>91</v>
      </c>
      <c r="ES24" s="305">
        <f t="shared" si="88"/>
        <v>91</v>
      </c>
      <c r="ET24" s="305">
        <f t="shared" si="88"/>
        <v>91</v>
      </c>
      <c r="EU24" s="305">
        <f t="shared" si="88"/>
        <v>91</v>
      </c>
      <c r="EV24" s="305">
        <f t="shared" si="88"/>
        <v>91</v>
      </c>
      <c r="EW24" s="305">
        <f t="shared" si="88"/>
        <v>91</v>
      </c>
      <c r="EX24" s="355"/>
      <c r="EZ24" s="361"/>
    </row>
    <row r="25" spans="2:156" ht="12.75" customHeight="1" x14ac:dyDescent="0.2">
      <c r="B25" s="134" t="s">
        <v>1642</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c r="CL25" s="313">
        <v>703</v>
      </c>
      <c r="CM25" s="313"/>
      <c r="CN25" s="313"/>
      <c r="CO25" s="313"/>
      <c r="CP25" s="313">
        <v>875</v>
      </c>
      <c r="CQ25" s="313">
        <v>1031</v>
      </c>
      <c r="CR25" s="313">
        <v>949</v>
      </c>
      <c r="CS25" s="313">
        <v>1031</v>
      </c>
      <c r="CT25" s="313">
        <v>1117</v>
      </c>
      <c r="CU25" s="313">
        <v>1125</v>
      </c>
      <c r="CV25" s="313">
        <v>1116</v>
      </c>
      <c r="CW25" s="313">
        <v>1066</v>
      </c>
      <c r="CX25" s="313">
        <v>1062</v>
      </c>
      <c r="CY25" s="313">
        <v>1038</v>
      </c>
      <c r="CZ25" s="313">
        <f>CV25*0.9</f>
        <v>1004.4</v>
      </c>
      <c r="DA25" s="313">
        <f t="shared" ref="DA25:DF25" si="89">CW25*0.9</f>
        <v>959.4</v>
      </c>
      <c r="DB25" s="313">
        <f t="shared" si="89"/>
        <v>955.80000000000007</v>
      </c>
      <c r="DC25" s="313">
        <f t="shared" si="89"/>
        <v>934.2</v>
      </c>
      <c r="DD25" s="313">
        <f t="shared" si="89"/>
        <v>903.96</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3957.6000000000004</v>
      </c>
      <c r="EP25" s="305">
        <f>+EO25*0.95</f>
        <v>3759.7200000000003</v>
      </c>
      <c r="EQ25" s="305">
        <f t="shared" ref="EQ25:EW25" si="90">+EP25*0.95</f>
        <v>3571.7339999999999</v>
      </c>
      <c r="ER25" s="305">
        <f t="shared" si="90"/>
        <v>3393.1472999999996</v>
      </c>
      <c r="ES25" s="305">
        <f t="shared" si="90"/>
        <v>3223.4899349999996</v>
      </c>
      <c r="ET25" s="305">
        <f t="shared" si="90"/>
        <v>3062.3154382499993</v>
      </c>
      <c r="EU25" s="305">
        <f t="shared" si="90"/>
        <v>2909.1996663374994</v>
      </c>
      <c r="EV25" s="305">
        <f t="shared" si="90"/>
        <v>2763.7396830206244</v>
      </c>
      <c r="EW25" s="305">
        <f t="shared" si="90"/>
        <v>2625.5526988695929</v>
      </c>
      <c r="EX25" s="355"/>
      <c r="EZ25" s="361"/>
    </row>
    <row r="26" spans="2:156" ht="12.75" customHeight="1" x14ac:dyDescent="0.2">
      <c r="B26" s="134" t="s">
        <v>1759</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c r="CJ26" s="313"/>
      <c r="CK26" s="313"/>
      <c r="CL26" s="313">
        <v>584</v>
      </c>
      <c r="CM26" s="313"/>
      <c r="CN26" s="313"/>
      <c r="CO26" s="313"/>
      <c r="CP26" s="313">
        <v>830</v>
      </c>
      <c r="CQ26" s="313">
        <v>937</v>
      </c>
      <c r="CR26" s="313">
        <v>901</v>
      </c>
      <c r="CS26" s="313">
        <v>1099</v>
      </c>
      <c r="CT26" s="313">
        <v>1253</v>
      </c>
      <c r="CU26" s="313">
        <v>1365</v>
      </c>
      <c r="CV26" s="313">
        <v>1433</v>
      </c>
      <c r="CW26" s="313">
        <v>1580</v>
      </c>
      <c r="CX26" s="313">
        <v>1645</v>
      </c>
      <c r="CY26" s="313">
        <v>1856</v>
      </c>
      <c r="CZ26" s="313">
        <f>CV26*1.2</f>
        <v>1719.6</v>
      </c>
      <c r="DA26" s="313">
        <f t="shared" ref="DA26:DF26" si="91">CW26*1.2</f>
        <v>1896</v>
      </c>
      <c r="DB26" s="313">
        <f t="shared" si="91"/>
        <v>1974</v>
      </c>
      <c r="DC26" s="313">
        <f t="shared" si="91"/>
        <v>2227.1999999999998</v>
      </c>
      <c r="DD26" s="313">
        <f t="shared" si="91"/>
        <v>2063.52</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7445.6</v>
      </c>
      <c r="EP26" s="305">
        <f>+EO26*1.2</f>
        <v>8934.7199999999993</v>
      </c>
      <c r="EQ26" s="305">
        <f>+EP26*1.1</f>
        <v>9828.1920000000009</v>
      </c>
      <c r="ER26" s="305">
        <f>+EQ26*1.05</f>
        <v>10319.601600000002</v>
      </c>
      <c r="ES26" s="305">
        <f>+ER26*1.02</f>
        <v>10525.993632000002</v>
      </c>
      <c r="ET26" s="305">
        <f t="shared" ref="ET26:EW26" si="92">+ES26*1.02</f>
        <v>10736.513504640001</v>
      </c>
      <c r="EU26" s="305">
        <f t="shared" si="92"/>
        <v>10951.2437747328</v>
      </c>
      <c r="EV26" s="305">
        <f t="shared" si="92"/>
        <v>11170.268650227457</v>
      </c>
      <c r="EW26" s="305">
        <f t="shared" si="92"/>
        <v>11393.674023232006</v>
      </c>
      <c r="EX26" s="355"/>
      <c r="EZ26" s="361"/>
    </row>
    <row r="27" spans="2:156" s="355" customFormat="1" ht="12.75" customHeight="1" x14ac:dyDescent="0.2">
      <c r="B27" s="134" t="s">
        <v>1544</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c r="CJ27" s="313"/>
      <c r="CK27" s="313"/>
      <c r="CL27" s="313">
        <v>786</v>
      </c>
      <c r="CM27" s="313"/>
      <c r="CN27" s="313"/>
      <c r="CO27" s="313"/>
      <c r="CP27" s="313">
        <v>677</v>
      </c>
      <c r="CQ27" s="313">
        <v>690</v>
      </c>
      <c r="CR27" s="313">
        <v>568</v>
      </c>
      <c r="CS27" s="313">
        <v>590</v>
      </c>
      <c r="CT27" s="313">
        <v>622</v>
      </c>
      <c r="CU27" s="313">
        <v>638</v>
      </c>
      <c r="CV27" s="313">
        <v>563</v>
      </c>
      <c r="CW27" s="313">
        <v>548</v>
      </c>
      <c r="CX27" s="313">
        <v>548</v>
      </c>
      <c r="CY27" s="313">
        <v>539</v>
      </c>
      <c r="CZ27" s="313">
        <f>+CU27*0.8</f>
        <v>510.40000000000003</v>
      </c>
      <c r="DA27" s="313">
        <f t="shared" ref="DA27:DF27" si="94">+CV27*0.8</f>
        <v>450.40000000000003</v>
      </c>
      <c r="DB27" s="313">
        <f t="shared" si="94"/>
        <v>438.40000000000003</v>
      </c>
      <c r="DC27" s="313">
        <f t="shared" si="94"/>
        <v>438.40000000000003</v>
      </c>
      <c r="DD27" s="313">
        <f t="shared" si="94"/>
        <v>431.20000000000005</v>
      </c>
      <c r="DE27" s="313">
        <f t="shared" si="94"/>
        <v>408.32000000000005</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M27" si="97">+EJ27*0.1</f>
        <v>22.464540000000003</v>
      </c>
      <c r="EL27" s="305">
        <f t="shared" si="97"/>
        <v>2.2464540000000004</v>
      </c>
      <c r="EM27" s="305">
        <f t="shared" si="82"/>
        <v>2470</v>
      </c>
      <c r="EN27" s="305">
        <f t="shared" si="70"/>
        <v>2297</v>
      </c>
      <c r="EO27" s="305">
        <f>SUM(CY27:DB27)</f>
        <v>1938.2000000000003</v>
      </c>
      <c r="EP27" s="305">
        <f>+EO27*0.5</f>
        <v>969.10000000000014</v>
      </c>
      <c r="EQ27" s="305">
        <f t="shared" ref="EQ27:EW27" si="98">+EP27*0.5</f>
        <v>484.55000000000007</v>
      </c>
      <c r="ER27" s="305">
        <f t="shared" si="98"/>
        <v>242.27500000000003</v>
      </c>
      <c r="ES27" s="305">
        <f t="shared" si="98"/>
        <v>121.13750000000002</v>
      </c>
      <c r="ET27" s="305">
        <f t="shared" si="98"/>
        <v>60.568750000000009</v>
      </c>
      <c r="EU27" s="305">
        <f t="shared" si="98"/>
        <v>30.284375000000004</v>
      </c>
      <c r="EV27" s="305">
        <f t="shared" si="98"/>
        <v>15.142187500000002</v>
      </c>
      <c r="EW27" s="305">
        <f t="shared" si="98"/>
        <v>7.5710937500000011</v>
      </c>
      <c r="EZ27" s="360" t="s">
        <v>1452</v>
      </c>
    </row>
    <row r="28" spans="2:156" s="355" customFormat="1" ht="12.75" customHeight="1" x14ac:dyDescent="0.2">
      <c r="B28" s="134" t="s">
        <v>1767</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c r="CJ28" s="313"/>
      <c r="CK28" s="313"/>
      <c r="CL28" s="313">
        <v>164</v>
      </c>
      <c r="CM28" s="313"/>
      <c r="CN28" s="313"/>
      <c r="CO28" s="313"/>
      <c r="CP28" s="313">
        <v>220</v>
      </c>
      <c r="CQ28" s="313">
        <v>212</v>
      </c>
      <c r="CR28" s="313">
        <v>204</v>
      </c>
      <c r="CS28" s="313">
        <v>203</v>
      </c>
      <c r="CT28" s="313">
        <v>202</v>
      </c>
      <c r="CU28" s="313">
        <v>182</v>
      </c>
      <c r="CV28" s="313">
        <v>120</v>
      </c>
      <c r="CW28" s="313">
        <v>126</v>
      </c>
      <c r="CX28" s="313">
        <v>140</v>
      </c>
      <c r="CY28" s="313">
        <v>118</v>
      </c>
      <c r="CZ28" s="313">
        <f>+CY28</f>
        <v>118</v>
      </c>
      <c r="DA28" s="313">
        <f t="shared" ref="DA28:DF28" si="99">+CZ28</f>
        <v>118</v>
      </c>
      <c r="DB28" s="313">
        <f t="shared" si="99"/>
        <v>118</v>
      </c>
      <c r="DC28" s="313">
        <f t="shared" si="99"/>
        <v>118</v>
      </c>
      <c r="DD28" s="313">
        <f t="shared" si="99"/>
        <v>118</v>
      </c>
      <c r="DE28" s="313">
        <f t="shared" si="99"/>
        <v>118</v>
      </c>
      <c r="DF28" s="313">
        <f t="shared" si="99"/>
        <v>118</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472</v>
      </c>
      <c r="EP28" s="305">
        <f>+EO28*0.9</f>
        <v>424.8</v>
      </c>
      <c r="EQ28" s="305">
        <f t="shared" ref="EQ28:EW28" si="100">+EP28*0.9</f>
        <v>382.32</v>
      </c>
      <c r="ER28" s="305">
        <f t="shared" si="100"/>
        <v>344.08800000000002</v>
      </c>
      <c r="ES28" s="305">
        <f t="shared" si="100"/>
        <v>309.67920000000004</v>
      </c>
      <c r="ET28" s="305">
        <f t="shared" si="100"/>
        <v>278.71128000000004</v>
      </c>
      <c r="EU28" s="305">
        <f t="shared" si="100"/>
        <v>250.84015200000005</v>
      </c>
      <c r="EV28" s="305">
        <f t="shared" si="100"/>
        <v>225.75613680000004</v>
      </c>
      <c r="EW28" s="305">
        <f t="shared" si="100"/>
        <v>203.18052312000003</v>
      </c>
      <c r="EZ28" s="360"/>
    </row>
    <row r="29" spans="2:156" s="355" customFormat="1" x14ac:dyDescent="0.2">
      <c r="B29" s="20" t="s">
        <v>344</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c r="CJ29" s="313"/>
      <c r="CK29" s="313"/>
      <c r="CL29" s="313">
        <v>221</v>
      </c>
      <c r="CM29" s="313"/>
      <c r="CN29" s="313"/>
      <c r="CO29" s="313"/>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M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211</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c r="CJ30" s="313"/>
      <c r="CK30" s="313"/>
      <c r="CL30" s="313">
        <v>252</v>
      </c>
      <c r="CM30" s="313"/>
      <c r="CN30" s="313"/>
      <c r="CO30" s="313"/>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346</v>
      </c>
      <c r="DX30" s="305" t="s">
        <v>347</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M30" si="119">EI30*0.5</f>
        <v>441.71</v>
      </c>
      <c r="EK30" s="305">
        <f t="shared" si="119"/>
        <v>220.85499999999999</v>
      </c>
      <c r="EL30" s="305">
        <f t="shared" si="119"/>
        <v>110.42749999999999</v>
      </c>
      <c r="EM30" s="305">
        <f t="shared" si="82"/>
        <v>0</v>
      </c>
      <c r="EN30" s="305">
        <f t="shared" si="70"/>
        <v>0</v>
      </c>
      <c r="EO30" s="305">
        <f t="shared" ref="EO30:EO40"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1370</v>
      </c>
    </row>
    <row r="31" spans="2:156" ht="12.75" customHeight="1" x14ac:dyDescent="0.2">
      <c r="B31" s="134" t="s">
        <v>1760</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c r="CJ31" s="313"/>
      <c r="CK31" s="313"/>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f>+CV31*1.3</f>
        <v>392.6</v>
      </c>
      <c r="DA31" s="313">
        <f t="shared" ref="DA31:DF31" si="122">+CW31*1.3</f>
        <v>447.2</v>
      </c>
      <c r="DB31" s="313">
        <f t="shared" si="122"/>
        <v>499.20000000000005</v>
      </c>
      <c r="DC31" s="313">
        <f t="shared" si="122"/>
        <v>520</v>
      </c>
      <c r="DD31" s="313">
        <f t="shared" si="122"/>
        <v>510.38000000000005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1739</v>
      </c>
      <c r="EP31" s="305">
        <f>+EO31*1.2</f>
        <v>2086.7999999999997</v>
      </c>
      <c r="EQ31" s="305">
        <f>+EP31*1.1</f>
        <v>2295.48</v>
      </c>
      <c r="ER31" s="305">
        <f t="shared" ref="ER31" si="123">+EQ31*1.1</f>
        <v>2525.0280000000002</v>
      </c>
      <c r="ES31" s="305">
        <f>+ER31*1.05</f>
        <v>2651.2794000000004</v>
      </c>
      <c r="ET31" s="305">
        <f t="shared" ref="ET31:EW31" si="124">+ES31*1.05</f>
        <v>2783.8433700000005</v>
      </c>
      <c r="EU31" s="305">
        <f t="shared" si="124"/>
        <v>2923.0355385000007</v>
      </c>
      <c r="EV31" s="305">
        <f t="shared" si="124"/>
        <v>3069.1873154250011</v>
      </c>
      <c r="EW31" s="305">
        <f t="shared" si="124"/>
        <v>3222.6466811962514</v>
      </c>
      <c r="EX31" s="355"/>
      <c r="EZ31" s="361"/>
    </row>
    <row r="32" spans="2:156" ht="12.75" customHeight="1" x14ac:dyDescent="0.2">
      <c r="B32" s="134" t="s">
        <v>1761</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c r="CJ32" s="313"/>
      <c r="CK32" s="313"/>
      <c r="CL32" s="313">
        <v>323</v>
      </c>
      <c r="CM32" s="313"/>
      <c r="CN32" s="313"/>
      <c r="CO32" s="313"/>
      <c r="CP32" s="313">
        <v>326</v>
      </c>
      <c r="CQ32" s="313">
        <v>389</v>
      </c>
      <c r="CR32" s="313">
        <v>406</v>
      </c>
      <c r="CS32" s="313">
        <v>392</v>
      </c>
      <c r="CT32" s="313">
        <v>452</v>
      </c>
      <c r="CU32" s="313">
        <v>450</v>
      </c>
      <c r="CV32" s="313">
        <v>463</v>
      </c>
      <c r="CW32" s="313">
        <v>458</v>
      </c>
      <c r="CX32" s="313">
        <v>448</v>
      </c>
      <c r="CY32" s="313">
        <v>443</v>
      </c>
      <c r="CZ32" s="313">
        <f>+CV32</f>
        <v>463</v>
      </c>
      <c r="DA32" s="313">
        <f t="shared" ref="DA32" si="125">+CW32</f>
        <v>458</v>
      </c>
      <c r="DB32" s="313">
        <f t="shared" ref="DB32" si="126">+CX32</f>
        <v>448</v>
      </c>
      <c r="DC32" s="313">
        <f t="shared" ref="DC32" si="127">+CY32</f>
        <v>443</v>
      </c>
      <c r="DD32" s="313">
        <f t="shared" ref="DD32" si="128">+CZ32</f>
        <v>463</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1812</v>
      </c>
      <c r="EP32" s="305">
        <f>+EO32*0.99</f>
        <v>1793.8799999999999</v>
      </c>
      <c r="EQ32" s="305">
        <f t="shared" ref="EQ32:EW32" si="131">+EP32*0.99</f>
        <v>1775.9411999999998</v>
      </c>
      <c r="ER32" s="305">
        <f t="shared" si="131"/>
        <v>1758.1817879999996</v>
      </c>
      <c r="ES32" s="305">
        <f t="shared" si="131"/>
        <v>1740.5999701199996</v>
      </c>
      <c r="ET32" s="305">
        <f t="shared" si="131"/>
        <v>1723.1939704187996</v>
      </c>
      <c r="EU32" s="305">
        <f t="shared" si="131"/>
        <v>1705.9620307146115</v>
      </c>
      <c r="EV32" s="305">
        <f t="shared" si="131"/>
        <v>1688.9024104074654</v>
      </c>
      <c r="EW32" s="305">
        <f t="shared" si="131"/>
        <v>1672.0133863033907</v>
      </c>
      <c r="EX32" s="355"/>
      <c r="EZ32" s="361"/>
    </row>
    <row r="33" spans="2:156" ht="12.75" customHeight="1" x14ac:dyDescent="0.2">
      <c r="B33" s="134" t="s">
        <v>1762</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c r="CJ33" s="313"/>
      <c r="CK33" s="313"/>
      <c r="CL33" s="313">
        <v>181</v>
      </c>
      <c r="CM33" s="313"/>
      <c r="CN33" s="313"/>
      <c r="CO33" s="313"/>
      <c r="CP33" s="313">
        <v>208</v>
      </c>
      <c r="CQ33" s="313">
        <v>250</v>
      </c>
      <c r="CR33" s="313">
        <v>282</v>
      </c>
      <c r="CS33" s="313">
        <v>260</v>
      </c>
      <c r="CT33" s="313">
        <v>301</v>
      </c>
      <c r="CU33" s="313">
        <v>305</v>
      </c>
      <c r="CV33" s="313">
        <v>313</v>
      </c>
      <c r="CW33" s="313">
        <v>309</v>
      </c>
      <c r="CX33" s="313">
        <v>310</v>
      </c>
      <c r="CY33" s="313">
        <v>325</v>
      </c>
      <c r="CZ33" s="313">
        <f>+CV33*1.05</f>
        <v>328.65000000000003</v>
      </c>
      <c r="DA33" s="313">
        <f t="shared" ref="DA33:DF33" si="132">+CW33*1.05</f>
        <v>324.45</v>
      </c>
      <c r="DB33" s="313">
        <f t="shared" si="132"/>
        <v>325.5</v>
      </c>
      <c r="DC33" s="313">
        <f t="shared" si="132"/>
        <v>341.25</v>
      </c>
      <c r="DD33" s="313">
        <f t="shared" si="132"/>
        <v>345.08250000000004</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1303.6000000000001</v>
      </c>
      <c r="EP33" s="305">
        <f>+EO33*1.02</f>
        <v>1329.6720000000003</v>
      </c>
      <c r="EQ33" s="305">
        <f t="shared" ref="EQ33:ET33" si="133">+EP33*1.02</f>
        <v>1356.2654400000004</v>
      </c>
      <c r="ER33" s="305">
        <f t="shared" si="133"/>
        <v>1383.3907488000004</v>
      </c>
      <c r="ES33" s="305">
        <f t="shared" si="133"/>
        <v>1411.0585637760005</v>
      </c>
      <c r="ET33" s="305">
        <f t="shared" si="133"/>
        <v>1439.2797350515204</v>
      </c>
      <c r="EU33" s="305">
        <f>+ET33*0.95</f>
        <v>1367.3157482989443</v>
      </c>
      <c r="EV33" s="305">
        <f t="shared" ref="EV33:EW33" si="134">+EU33*0.95</f>
        <v>1298.9499608839969</v>
      </c>
      <c r="EW33" s="305">
        <f t="shared" si="134"/>
        <v>1234.0024628397971</v>
      </c>
      <c r="EX33" s="355"/>
      <c r="EZ33" s="361"/>
    </row>
    <row r="34" spans="2:156" hidden="1" x14ac:dyDescent="0.2">
      <c r="B34" s="134" t="s">
        <v>222</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348</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435</v>
      </c>
      <c r="AJ35" s="307" t="s">
        <v>436</v>
      </c>
      <c r="AK35" s="307" t="s">
        <v>437</v>
      </c>
      <c r="AL35" s="307" t="s">
        <v>438</v>
      </c>
      <c r="AM35" s="307" t="s">
        <v>439</v>
      </c>
      <c r="AN35" s="365" t="s">
        <v>440</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229</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1018</v>
      </c>
      <c r="AN36" s="365" t="s">
        <v>1019</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351</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122</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128</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658</v>
      </c>
      <c r="C39" s="349"/>
      <c r="D39" s="349"/>
      <c r="E39" s="349"/>
      <c r="F39" s="349"/>
      <c r="G39" s="349"/>
      <c r="H39" s="349"/>
      <c r="I39" s="349"/>
      <c r="J39" s="349"/>
      <c r="K39" s="349"/>
      <c r="L39" s="349"/>
      <c r="M39" s="349"/>
      <c r="N39" s="349"/>
      <c r="O39" s="349"/>
      <c r="P39" s="349"/>
      <c r="Q39" s="349"/>
      <c r="R39" s="349"/>
      <c r="S39" s="349">
        <v>2</v>
      </c>
      <c r="T39" s="349">
        <v>10</v>
      </c>
      <c r="U39" s="349">
        <v>14</v>
      </c>
      <c r="V39" s="306" t="s">
        <v>441</v>
      </c>
      <c r="W39" s="306" t="s">
        <v>1020</v>
      </c>
      <c r="X39" s="306" t="s">
        <v>442</v>
      </c>
      <c r="Y39" s="306" t="s">
        <v>437</v>
      </c>
      <c r="Z39" s="306" t="s">
        <v>443</v>
      </c>
      <c r="AA39" s="306" t="s">
        <v>445</v>
      </c>
      <c r="AB39" s="306" t="s">
        <v>446</v>
      </c>
      <c r="AC39" s="306" t="s">
        <v>447</v>
      </c>
      <c r="AD39" s="306" t="s">
        <v>956</v>
      </c>
      <c r="AE39" s="306" t="s">
        <v>449</v>
      </c>
      <c r="AF39" s="306" t="s">
        <v>450</v>
      </c>
      <c r="AG39" s="306" t="s">
        <v>451</v>
      </c>
      <c r="AH39" s="306" t="s">
        <v>452</v>
      </c>
      <c r="AI39" s="307" t="s">
        <v>454</v>
      </c>
      <c r="AJ39" s="307" t="s">
        <v>454</v>
      </c>
      <c r="AK39" s="307" t="s">
        <v>454</v>
      </c>
      <c r="AL39" s="307" t="s">
        <v>450</v>
      </c>
      <c r="AM39" s="307" t="s">
        <v>1021</v>
      </c>
      <c r="AN39" s="365" t="s">
        <v>1021</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444</v>
      </c>
      <c r="DV39" s="314" t="s">
        <v>448</v>
      </c>
      <c r="DW39" s="314" t="s">
        <v>453</v>
      </c>
      <c r="DX39" s="314" t="s">
        <v>455</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1768</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c r="CJ40" s="313"/>
      <c r="CK40" s="313"/>
      <c r="CL40" s="313"/>
      <c r="CM40" s="313"/>
      <c r="CN40" s="313"/>
      <c r="CO40" s="313"/>
      <c r="CP40" s="313">
        <f>56+32</f>
        <v>88</v>
      </c>
      <c r="CQ40" s="313">
        <v>106</v>
      </c>
      <c r="CR40" s="313">
        <v>101</v>
      </c>
      <c r="CS40" s="313">
        <v>97</v>
      </c>
      <c r="CT40" s="313">
        <v>112</v>
      </c>
      <c r="CU40" s="313">
        <v>105</v>
      </c>
      <c r="CV40" s="313">
        <v>95</v>
      </c>
      <c r="CW40" s="313">
        <v>101</v>
      </c>
      <c r="CX40" s="313">
        <v>94</v>
      </c>
      <c r="CY40" s="313">
        <v>83</v>
      </c>
      <c r="CZ40" s="313">
        <f>+CY40</f>
        <v>83</v>
      </c>
      <c r="DA40" s="313">
        <f t="shared" ref="DA40:DF40" si="135">+CZ40</f>
        <v>83</v>
      </c>
      <c r="DB40" s="313">
        <f t="shared" si="135"/>
        <v>83</v>
      </c>
      <c r="DC40" s="313">
        <f t="shared" si="135"/>
        <v>83</v>
      </c>
      <c r="DD40" s="313">
        <f t="shared" si="135"/>
        <v>83</v>
      </c>
      <c r="DE40" s="313">
        <f t="shared" si="135"/>
        <v>83</v>
      </c>
      <c r="DF40" s="313">
        <f t="shared" si="135"/>
        <v>83</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f t="shared" si="82"/>
        <v>416</v>
      </c>
      <c r="EN40" s="305">
        <f t="shared" si="70"/>
        <v>395</v>
      </c>
      <c r="EO40" s="305">
        <f t="shared" si="120"/>
        <v>332</v>
      </c>
      <c r="EP40" s="305">
        <f>+EO40</f>
        <v>332</v>
      </c>
      <c r="EQ40" s="305">
        <f t="shared" ref="EQ40:EW40" si="136">+EP40</f>
        <v>332</v>
      </c>
      <c r="ER40" s="305">
        <f t="shared" si="136"/>
        <v>332</v>
      </c>
      <c r="ES40" s="305">
        <f t="shared" si="136"/>
        <v>332</v>
      </c>
      <c r="ET40" s="305">
        <f t="shared" si="136"/>
        <v>332</v>
      </c>
      <c r="EU40" s="305">
        <f t="shared" si="136"/>
        <v>332</v>
      </c>
      <c r="EV40" s="305">
        <f t="shared" si="136"/>
        <v>332</v>
      </c>
      <c r="EW40" s="305">
        <f t="shared" si="136"/>
        <v>332</v>
      </c>
    </row>
    <row r="41" spans="2:156" s="355" customFormat="1" ht="12.75" customHeight="1" x14ac:dyDescent="0.2">
      <c r="B41" s="20" t="s">
        <v>209</v>
      </c>
      <c r="C41" s="349"/>
      <c r="D41" s="349"/>
      <c r="E41" s="349"/>
      <c r="F41" s="349"/>
      <c r="G41" s="349"/>
      <c r="H41" s="349"/>
      <c r="I41" s="349"/>
      <c r="J41" s="349"/>
      <c r="K41" s="349"/>
      <c r="L41" s="349"/>
      <c r="M41" s="349"/>
      <c r="N41" s="349"/>
      <c r="O41" s="349"/>
      <c r="P41" s="349"/>
      <c r="Q41" s="349"/>
      <c r="R41" s="349"/>
      <c r="S41" s="349"/>
      <c r="T41" s="349"/>
      <c r="U41" s="349"/>
      <c r="V41" s="349"/>
      <c r="W41" s="363"/>
      <c r="X41" s="363"/>
      <c r="Y41" s="363"/>
      <c r="Z41" s="363"/>
      <c r="AA41" s="363"/>
      <c r="AB41" s="363"/>
      <c r="AC41" s="363"/>
      <c r="AD41" s="363"/>
      <c r="AE41" s="364"/>
      <c r="AF41" s="351"/>
      <c r="AG41" s="351"/>
      <c r="AH41" s="351"/>
      <c r="AI41" s="351"/>
      <c r="AJ41" s="351"/>
      <c r="AK41" s="351"/>
      <c r="AL41" s="351"/>
      <c r="AM41" s="351"/>
      <c r="AN41" s="351"/>
      <c r="AO41" s="351"/>
      <c r="AP41" s="351"/>
      <c r="AQ41" s="351"/>
      <c r="AR41" s="351"/>
      <c r="AS41" s="351"/>
      <c r="AT41" s="351"/>
      <c r="AU41" s="351"/>
      <c r="AV41" s="351"/>
      <c r="AW41" s="351"/>
      <c r="AX41" s="313"/>
      <c r="AY41" s="349"/>
      <c r="AZ41" s="349"/>
      <c r="BA41" s="354"/>
      <c r="BB41" s="354"/>
      <c r="BC41" s="349"/>
      <c r="BD41" s="349"/>
      <c r="BE41" s="349"/>
      <c r="BF41" s="349"/>
      <c r="BG41" s="349"/>
      <c r="BH41" s="349"/>
      <c r="BI41" s="349"/>
      <c r="BJ41" s="349"/>
      <c r="BK41" s="313">
        <v>27</v>
      </c>
      <c r="BL41" s="313">
        <v>49</v>
      </c>
      <c r="BM41" s="313">
        <v>68</v>
      </c>
      <c r="BN41" s="313">
        <v>95</v>
      </c>
      <c r="BO41" s="313">
        <v>158</v>
      </c>
      <c r="BP41" s="313">
        <v>189</v>
      </c>
      <c r="BQ41" s="313">
        <v>246</v>
      </c>
      <c r="BR41" s="313">
        <v>271</v>
      </c>
      <c r="BS41" s="313">
        <v>319</v>
      </c>
      <c r="BT41" s="313">
        <v>361</v>
      </c>
      <c r="BU41" s="313">
        <f>+BT41+50</f>
        <v>411</v>
      </c>
      <c r="BV41" s="313">
        <f t="shared" ref="BV41:BZ41" si="137">+BU41+50</f>
        <v>461</v>
      </c>
      <c r="BW41" s="313">
        <f t="shared" si="137"/>
        <v>511</v>
      </c>
      <c r="BX41" s="313">
        <f t="shared" si="137"/>
        <v>561</v>
      </c>
      <c r="BY41" s="313">
        <f t="shared" si="137"/>
        <v>611</v>
      </c>
      <c r="BZ41" s="313">
        <f t="shared" si="137"/>
        <v>661</v>
      </c>
      <c r="CA41" s="313"/>
      <c r="CB41" s="313"/>
      <c r="CC41" s="313"/>
      <c r="CD41" s="313"/>
      <c r="CE41" s="313"/>
      <c r="CF41" s="313"/>
      <c r="CG41" s="313"/>
      <c r="CH41" s="313"/>
      <c r="CI41" s="313"/>
      <c r="CJ41" s="313"/>
      <c r="CK41" s="313"/>
      <c r="CL41" s="313"/>
      <c r="CM41" s="313"/>
      <c r="CN41" s="313"/>
      <c r="CO41" s="313"/>
      <c r="CP41" s="313"/>
      <c r="CQ41" s="313">
        <v>527</v>
      </c>
      <c r="CR41" s="313">
        <v>559</v>
      </c>
      <c r="CS41" s="313">
        <v>630</v>
      </c>
      <c r="CT41" s="313">
        <v>629</v>
      </c>
      <c r="CU41" s="313">
        <v>589</v>
      </c>
      <c r="CV41" s="313">
        <v>569</v>
      </c>
      <c r="CW41" s="313">
        <v>636</v>
      </c>
      <c r="CX41" s="313">
        <v>644</v>
      </c>
      <c r="CY41" s="313">
        <v>508</v>
      </c>
      <c r="CZ41" s="313">
        <f>+CV41*0.95</f>
        <v>540.54999999999995</v>
      </c>
      <c r="DA41" s="313">
        <f t="shared" ref="DA41:DF41" si="138">+CW41*0.95</f>
        <v>604.19999999999993</v>
      </c>
      <c r="DB41" s="313">
        <f t="shared" si="138"/>
        <v>611.79999999999995</v>
      </c>
      <c r="DC41" s="313">
        <f t="shared" si="138"/>
        <v>482.59999999999997</v>
      </c>
      <c r="DD41" s="313">
        <f t="shared" si="138"/>
        <v>513.52249999999992</v>
      </c>
      <c r="DE41" s="313">
        <f t="shared" si="138"/>
        <v>573.9899999999999</v>
      </c>
      <c r="DF41" s="313">
        <f t="shared" si="138"/>
        <v>581.20999999999992</v>
      </c>
      <c r="DH41" s="349"/>
      <c r="DI41" s="349"/>
      <c r="DJ41" s="349"/>
      <c r="DK41" s="349"/>
      <c r="DL41" s="349"/>
      <c r="DM41" s="349"/>
      <c r="DN41" s="349"/>
      <c r="DO41" s="349"/>
      <c r="DP41" s="349"/>
      <c r="DQ41" s="349"/>
      <c r="DR41" s="349"/>
      <c r="DS41" s="349"/>
      <c r="DT41" s="349"/>
      <c r="DU41" s="349"/>
      <c r="DV41" s="349"/>
      <c r="DW41" s="349"/>
      <c r="DX41" s="349"/>
      <c r="DY41" s="362" t="s">
        <v>80</v>
      </c>
      <c r="DZ41" s="305" t="s">
        <v>80</v>
      </c>
      <c r="EA41" s="305" t="s">
        <v>78</v>
      </c>
      <c r="EB41" s="305">
        <v>0</v>
      </c>
      <c r="EC41" s="305"/>
      <c r="ED41" s="305"/>
      <c r="EE41" s="305">
        <f>SUM(BK41:BN41)</f>
        <v>239</v>
      </c>
      <c r="EF41" s="305">
        <f>SUM(BO41:BR41)</f>
        <v>864</v>
      </c>
      <c r="EG41" s="305">
        <f>SUM(BS41:BV41)</f>
        <v>1552</v>
      </c>
      <c r="EH41" s="305">
        <f>EG41*1.1</f>
        <v>1707.2</v>
      </c>
      <c r="EI41" s="305">
        <f>EH41*1.05</f>
        <v>1792.5600000000002</v>
      </c>
      <c r="EJ41" s="305">
        <f t="shared" ref="EJ41:EL41" si="139">EI41*1.05</f>
        <v>1882.1880000000003</v>
      </c>
      <c r="EK41" s="305">
        <f t="shared" si="139"/>
        <v>1976.2974000000004</v>
      </c>
      <c r="EL41" s="305">
        <f t="shared" si="139"/>
        <v>2075.1122700000005</v>
      </c>
      <c r="EM41" s="305">
        <f t="shared" si="82"/>
        <v>2345</v>
      </c>
      <c r="EN41" s="305">
        <f t="shared" si="70"/>
        <v>2438</v>
      </c>
      <c r="EO41" s="305">
        <f>SUM(CY41:DB41)</f>
        <v>2264.5500000000002</v>
      </c>
      <c r="EP41" s="305">
        <f>+EO41*1.05</f>
        <v>2377.7775000000001</v>
      </c>
      <c r="EQ41" s="305">
        <f t="shared" ref="EQ41:EU41" si="140">+EP41*1.05</f>
        <v>2496.6663750000002</v>
      </c>
      <c r="ER41" s="305">
        <f t="shared" si="140"/>
        <v>2621.4996937500005</v>
      </c>
      <c r="ES41" s="305">
        <f t="shared" si="140"/>
        <v>2752.5746784375006</v>
      </c>
      <c r="ET41" s="305">
        <f t="shared" si="140"/>
        <v>2890.2034123593758</v>
      </c>
      <c r="EU41" s="305">
        <f t="shared" si="140"/>
        <v>3034.7135829773447</v>
      </c>
      <c r="EV41" s="305">
        <f>+EU41*0.5</f>
        <v>1517.3567914886723</v>
      </c>
      <c r="EW41" s="305">
        <f t="shared" ref="EW41" si="141">+EV41*0.5</f>
        <v>758.67839574433617</v>
      </c>
      <c r="EZ41" s="360" t="s">
        <v>1327</v>
      </c>
    </row>
    <row r="42" spans="2:156" s="355" customFormat="1" ht="12.75" customHeight="1" x14ac:dyDescent="0.2">
      <c r="B42" s="20" t="s">
        <v>1630</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c r="BL42" s="313"/>
      <c r="BM42" s="313"/>
      <c r="BN42" s="313"/>
      <c r="BO42" s="313"/>
      <c r="BP42" s="313"/>
      <c r="BQ42" s="313"/>
      <c r="BR42" s="313"/>
      <c r="BS42" s="313"/>
      <c r="BT42" s="313"/>
      <c r="BU42" s="313"/>
      <c r="BV42" s="313"/>
      <c r="BW42" s="313"/>
      <c r="BX42" s="313"/>
      <c r="BY42" s="313"/>
      <c r="BZ42" s="313"/>
      <c r="CA42" s="313"/>
      <c r="CB42" s="313"/>
      <c r="CC42" s="313"/>
      <c r="CD42" s="313"/>
      <c r="CE42" s="313"/>
      <c r="CF42" s="313"/>
      <c r="CG42" s="313"/>
      <c r="CH42" s="313"/>
      <c r="CI42" s="313"/>
      <c r="CJ42" s="313"/>
      <c r="CK42" s="313"/>
      <c r="CL42" s="313"/>
      <c r="CM42" s="313"/>
      <c r="CN42" s="313"/>
      <c r="CO42" s="313"/>
      <c r="CP42" s="313"/>
      <c r="CQ42" s="313">
        <v>175</v>
      </c>
      <c r="CR42" s="313">
        <v>179</v>
      </c>
      <c r="CS42" s="313">
        <v>224</v>
      </c>
      <c r="CT42" s="313">
        <v>217</v>
      </c>
      <c r="CU42" s="313">
        <v>150</v>
      </c>
      <c r="CV42" s="313">
        <v>160</v>
      </c>
      <c r="CW42" s="313">
        <v>133</v>
      </c>
      <c r="CX42" s="313">
        <v>120</v>
      </c>
      <c r="CY42" s="313">
        <v>128</v>
      </c>
      <c r="CZ42" s="313">
        <f>+CV42</f>
        <v>160</v>
      </c>
      <c r="DA42" s="313">
        <f t="shared" ref="DA42:DA43" si="142">+CW42</f>
        <v>133</v>
      </c>
      <c r="DB42" s="313">
        <f t="shared" ref="DB42:DB43" si="143">+CX42</f>
        <v>120</v>
      </c>
      <c r="DC42" s="313">
        <f t="shared" ref="DC42:DC43" si="144">+CY42</f>
        <v>128</v>
      </c>
      <c r="DD42" s="313">
        <f t="shared" ref="DD42:DD43" si="145">+CZ42</f>
        <v>160</v>
      </c>
      <c r="DE42" s="313">
        <f t="shared" ref="DE42:DE43" si="146">+DA42</f>
        <v>133</v>
      </c>
      <c r="DF42" s="313">
        <f t="shared" ref="DF42:DF43" si="147">+DB42</f>
        <v>120</v>
      </c>
      <c r="DH42" s="349"/>
      <c r="DI42" s="349"/>
      <c r="DJ42" s="349"/>
      <c r="DK42" s="349"/>
      <c r="DL42" s="349"/>
      <c r="DM42" s="349"/>
      <c r="DN42" s="349"/>
      <c r="DO42" s="349"/>
      <c r="DP42" s="349"/>
      <c r="DQ42" s="349"/>
      <c r="DR42" s="349"/>
      <c r="DS42" s="349"/>
      <c r="DT42" s="349"/>
      <c r="DU42" s="349"/>
      <c r="DV42" s="349"/>
      <c r="DW42" s="349"/>
      <c r="DX42" s="349"/>
      <c r="DY42" s="362"/>
      <c r="DZ42" s="305"/>
      <c r="EA42" s="305"/>
      <c r="EB42" s="305"/>
      <c r="EC42" s="305"/>
      <c r="ED42" s="305"/>
      <c r="EE42" s="305"/>
      <c r="EF42" s="305"/>
      <c r="EG42" s="305"/>
      <c r="EH42" s="305"/>
      <c r="EI42" s="305"/>
      <c r="EJ42" s="305"/>
      <c r="EK42" s="305"/>
      <c r="EL42" s="305"/>
      <c r="EM42" s="305">
        <f t="shared" si="82"/>
        <v>795</v>
      </c>
      <c r="EN42" s="305">
        <f t="shared" si="70"/>
        <v>563</v>
      </c>
      <c r="EO42" s="305">
        <f>SUM(CY42:DB42)</f>
        <v>541</v>
      </c>
      <c r="EP42" s="305">
        <f>+EO42</f>
        <v>541</v>
      </c>
      <c r="EQ42" s="305">
        <f t="shared" ref="EQ42:EW42" si="148">+EP42</f>
        <v>541</v>
      </c>
      <c r="ER42" s="305">
        <f t="shared" si="148"/>
        <v>541</v>
      </c>
      <c r="ES42" s="305">
        <f t="shared" si="148"/>
        <v>541</v>
      </c>
      <c r="ET42" s="305">
        <f t="shared" si="148"/>
        <v>541</v>
      </c>
      <c r="EU42" s="305">
        <f t="shared" si="148"/>
        <v>541</v>
      </c>
      <c r="EV42" s="305">
        <f t="shared" si="148"/>
        <v>541</v>
      </c>
      <c r="EW42" s="305">
        <f t="shared" si="148"/>
        <v>541</v>
      </c>
      <c r="EZ42" s="360"/>
    </row>
    <row r="43" spans="2:156" s="355" customFormat="1" ht="12.75" customHeight="1" x14ac:dyDescent="0.2">
      <c r="B43" s="134" t="s">
        <v>1268</v>
      </c>
      <c r="C43" s="349"/>
      <c r="D43" s="349"/>
      <c r="E43" s="349"/>
      <c r="F43" s="349"/>
      <c r="G43" s="349"/>
      <c r="H43" s="349"/>
      <c r="I43" s="349"/>
      <c r="J43" s="349"/>
      <c r="K43" s="351">
        <v>700</v>
      </c>
      <c r="L43" s="351">
        <v>748</v>
      </c>
      <c r="M43" s="351">
        <v>723</v>
      </c>
      <c r="N43" s="351">
        <v>633</v>
      </c>
      <c r="O43" s="351">
        <v>742</v>
      </c>
      <c r="P43" s="351">
        <v>749</v>
      </c>
      <c r="Q43" s="351">
        <v>698</v>
      </c>
      <c r="R43" s="351">
        <v>651</v>
      </c>
      <c r="S43" s="351">
        <v>781</v>
      </c>
      <c r="T43" s="351">
        <v>847</v>
      </c>
      <c r="U43" s="351">
        <v>769</v>
      </c>
      <c r="V43" s="349">
        <v>651</v>
      </c>
      <c r="W43" s="349">
        <v>669</v>
      </c>
      <c r="X43" s="349">
        <v>632</v>
      </c>
      <c r="Y43" s="349">
        <v>615</v>
      </c>
      <c r="Z43" s="349">
        <v>699</v>
      </c>
      <c r="AA43" s="349">
        <v>731</v>
      </c>
      <c r="AB43" s="349">
        <v>789</v>
      </c>
      <c r="AC43" s="349">
        <v>745</v>
      </c>
      <c r="AD43" s="349">
        <v>836</v>
      </c>
      <c r="AE43" s="351">
        <f>5376-SUM(AE3:AE37)</f>
        <v>1116</v>
      </c>
      <c r="AF43" s="351">
        <f>5427-SUM(AF3:AF37)</f>
        <v>1072</v>
      </c>
      <c r="AG43" s="351">
        <f>5485-SUM(AG3:AG39)</f>
        <v>660</v>
      </c>
      <c r="AH43" s="351">
        <f>5840-SUM(AH3:AH39)</f>
        <v>759</v>
      </c>
      <c r="AI43" s="351">
        <f>5755-SUM(AI3:AI39)</f>
        <v>1286</v>
      </c>
      <c r="AJ43" s="351">
        <f>5628-SUM(AJ3:AJ37)</f>
        <v>1165</v>
      </c>
      <c r="AK43" s="351">
        <f>5457-SUM(AK3:AK39)</f>
        <v>1064</v>
      </c>
      <c r="AL43" s="351">
        <f>5482-SUM(AL3:AL39)</f>
        <v>1050</v>
      </c>
      <c r="AM43" s="351">
        <f>5626-SUM(AM3:AM39)</f>
        <v>1149</v>
      </c>
      <c r="AN43" s="313">
        <f>5810-SUM(AN3:AN41)</f>
        <v>1243</v>
      </c>
      <c r="AO43" s="313">
        <f>5881-SUM(AO3:AO41)</f>
        <v>1220</v>
      </c>
      <c r="AP43" s="313">
        <f>5950-SUM(AP3:AP41)</f>
        <v>1242</v>
      </c>
      <c r="AQ43" s="313">
        <f>6221-SUM(AQ3:AQ39)+AQ11</f>
        <v>1086</v>
      </c>
      <c r="AR43" s="313">
        <f>6149-SUM(AR3:AR41)+AR11</f>
        <v>1077</v>
      </c>
      <c r="AS43" s="313">
        <f>6099-SUM(AS3:AS41)+AS11</f>
        <v>1118</v>
      </c>
      <c r="AT43" s="313">
        <f>1402-AT37</f>
        <v>1187</v>
      </c>
      <c r="AU43" s="313">
        <f>6429-SUM(AU3:AU41)</f>
        <v>1067.5500000000002</v>
      </c>
      <c r="AV43" s="313">
        <f>1486-AV11-AV17</f>
        <v>1322</v>
      </c>
      <c r="AW43" s="313">
        <f>1530-AW11-AW17</f>
        <v>1362</v>
      </c>
      <c r="AX43" s="313">
        <f>1408-AX17-AX11</f>
        <v>1220</v>
      </c>
      <c r="AY43" s="313">
        <f>1444-AY17-AY11</f>
        <v>1231</v>
      </c>
      <c r="AZ43" s="313">
        <f>1557-AZ17-AZ11</f>
        <v>1318</v>
      </c>
      <c r="BA43" s="313">
        <f>1561-BA17-BA11</f>
        <v>1313</v>
      </c>
      <c r="BB43" s="313">
        <f>1726-BB11-BB17</f>
        <v>1441</v>
      </c>
      <c r="BC43" s="313">
        <f>1672-BC11</f>
        <v>1564</v>
      </c>
      <c r="BD43" s="313">
        <f>1732-BD11</f>
        <v>1630</v>
      </c>
      <c r="BE43" s="313">
        <f>1749-BE11</f>
        <v>1651</v>
      </c>
      <c r="BF43" s="313">
        <f>1767-BF11-65-67</f>
        <v>1519</v>
      </c>
      <c r="BG43" s="313">
        <f>1870-BG21-BG6-BG4-BG11-BG27</f>
        <v>1415</v>
      </c>
      <c r="BH43" s="313">
        <f>2003-BH21-BH6-BH11-BH4</f>
        <v>1553</v>
      </c>
      <c r="BI43" s="313">
        <f>5982-SUM(BI3:BI41)</f>
        <v>1438</v>
      </c>
      <c r="BJ43" s="313">
        <f>2264-BJ21-BJ6-BJ11-BJ4</f>
        <v>1730</v>
      </c>
      <c r="BK43" s="313">
        <f>6133-SUM(BK3:BK41)</f>
        <v>1557</v>
      </c>
      <c r="BL43" s="313">
        <f>1284+23+308+754-BL15-BL29+23</f>
        <v>1759</v>
      </c>
      <c r="BM43" s="313">
        <f>21+317+711+20+673</f>
        <v>1742</v>
      </c>
      <c r="BN43" s="313">
        <f>22+409+713+23+673</f>
        <v>1840</v>
      </c>
      <c r="BO43" s="313">
        <f>523+97+737+197+21</f>
        <v>1575</v>
      </c>
      <c r="BP43" s="313">
        <f>23+260+689+111+569</f>
        <v>1652</v>
      </c>
      <c r="BQ43" s="313">
        <f>18+243+653+113+576</f>
        <v>1603</v>
      </c>
      <c r="BR43" s="313">
        <f>19+281+657+94+579</f>
        <v>1630</v>
      </c>
      <c r="BS43" s="313">
        <f>18+234+640+102+666</f>
        <v>1660</v>
      </c>
      <c r="BT43" s="313">
        <f>17+250+146+698+628</f>
        <v>1739</v>
      </c>
      <c r="BU43" s="313">
        <f t="shared" ref="BU43" si="149">+BQ43</f>
        <v>1603</v>
      </c>
      <c r="BV43" s="313">
        <f t="shared" ref="BV43" si="150">+BR43</f>
        <v>1630</v>
      </c>
      <c r="BW43" s="313">
        <f t="shared" ref="BW43" si="151">+BS43</f>
        <v>1660</v>
      </c>
      <c r="BX43" s="313">
        <f t="shared" ref="BX43" si="152">+BT43</f>
        <v>1739</v>
      </c>
      <c r="BY43" s="313">
        <f t="shared" ref="BY43" si="153">+BU43</f>
        <v>1603</v>
      </c>
      <c r="BZ43" s="313">
        <f t="shared" ref="BZ43" si="154">+BV43</f>
        <v>1630</v>
      </c>
      <c r="CA43" s="313"/>
      <c r="CB43" s="313"/>
      <c r="CC43" s="313"/>
      <c r="CD43" s="313"/>
      <c r="CE43" s="313"/>
      <c r="CF43" s="313"/>
      <c r="CG43" s="313"/>
      <c r="CH43" s="313"/>
      <c r="CI43" s="313"/>
      <c r="CJ43" s="313"/>
      <c r="CK43" s="313"/>
      <c r="CL43" s="313"/>
      <c r="CM43" s="313"/>
      <c r="CN43" s="313"/>
      <c r="CO43" s="313"/>
      <c r="CP43" s="313"/>
      <c r="CQ43" s="313">
        <v>302</v>
      </c>
      <c r="CR43" s="313">
        <v>312</v>
      </c>
      <c r="CS43" s="313">
        <v>294</v>
      </c>
      <c r="CT43" s="313">
        <v>278</v>
      </c>
      <c r="CU43" s="313">
        <f>305-CU29</f>
        <v>178</v>
      </c>
      <c r="CV43" s="313">
        <v>271</v>
      </c>
      <c r="CW43" s="313">
        <v>251</v>
      </c>
      <c r="CX43" s="313">
        <v>198</v>
      </c>
      <c r="CY43" s="313">
        <v>274</v>
      </c>
      <c r="CZ43" s="313">
        <f t="shared" ref="CZ43" si="155">+CV43</f>
        <v>271</v>
      </c>
      <c r="DA43" s="313">
        <f t="shared" si="142"/>
        <v>251</v>
      </c>
      <c r="DB43" s="313">
        <f t="shared" si="143"/>
        <v>198</v>
      </c>
      <c r="DC43" s="313">
        <f t="shared" si="144"/>
        <v>274</v>
      </c>
      <c r="DD43" s="313">
        <f t="shared" si="145"/>
        <v>271</v>
      </c>
      <c r="DE43" s="313">
        <f t="shared" si="146"/>
        <v>251</v>
      </c>
      <c r="DF43" s="313">
        <f t="shared" si="147"/>
        <v>198</v>
      </c>
      <c r="DH43" s="373" t="s">
        <v>128</v>
      </c>
      <c r="DI43" s="367"/>
      <c r="DJ43" s="367"/>
      <c r="DK43" s="367"/>
      <c r="DL43" s="367"/>
      <c r="DM43" s="367"/>
      <c r="DN43" s="305">
        <v>1857</v>
      </c>
      <c r="DO43" s="305">
        <v>2307</v>
      </c>
      <c r="DP43" s="305">
        <v>2025</v>
      </c>
      <c r="DQ43" s="305">
        <v>1976</v>
      </c>
      <c r="DR43" s="305">
        <v>1656</v>
      </c>
      <c r="DS43" s="305">
        <f>SUM(X43:AA43)</f>
        <v>2677</v>
      </c>
      <c r="DT43" s="305">
        <f>SUM(Y43:AB43)</f>
        <v>2834</v>
      </c>
      <c r="DU43" s="305">
        <f>SUM(Z43:AC43)</f>
        <v>2964</v>
      </c>
      <c r="DV43" s="305">
        <f>SUM(AA43:AD43)</f>
        <v>3101</v>
      </c>
      <c r="DW43" s="305">
        <f>22128-SUM(DW8:DW37)</f>
        <v>6625</v>
      </c>
      <c r="DX43" s="305">
        <f>22322-SUM(DX8:DX37)</f>
        <v>6921.6</v>
      </c>
      <c r="DY43" s="305">
        <f t="shared" ref="DY43:DY54" si="156">SUM(AM43:AP43)</f>
        <v>4854</v>
      </c>
      <c r="DZ43" s="305">
        <f t="shared" ref="DZ43:DZ54" si="157">SUM(AQ43:AT43)</f>
        <v>4468</v>
      </c>
      <c r="EA43" s="305">
        <f t="shared" ref="EA43:EA52" si="158">SUM(AU43:AX43)</f>
        <v>4971.55</v>
      </c>
      <c r="EB43" s="305">
        <f t="shared" ref="EB43:EB52" si="159">SUM(AY43:BB43)</f>
        <v>5303</v>
      </c>
      <c r="EC43" s="305">
        <f t="shared" ref="EC43:EC52" si="160">SUM(BC43:BF43)</f>
        <v>6364</v>
      </c>
      <c r="ED43" s="305">
        <f>SUM(BG43:BJ43)</f>
        <v>6136</v>
      </c>
      <c r="EE43" s="305">
        <f t="shared" ref="EE43:EE54" si="161">SUM(BK43:BN43)</f>
        <v>6898</v>
      </c>
      <c r="EF43" s="305">
        <f>SUM(BO43:BR43)</f>
        <v>6460</v>
      </c>
      <c r="EG43" s="305">
        <f>EF43*0.95</f>
        <v>6137</v>
      </c>
      <c r="EH43" s="305">
        <f>EG43</f>
        <v>6137</v>
      </c>
      <c r="EI43" s="305">
        <f>EH43</f>
        <v>6137</v>
      </c>
      <c r="EJ43" s="305">
        <f t="shared" ref="EJ43:EM43" si="162">EI43</f>
        <v>6137</v>
      </c>
      <c r="EK43" s="305">
        <f t="shared" si="162"/>
        <v>6137</v>
      </c>
      <c r="EL43" s="305">
        <f t="shared" si="162"/>
        <v>6137</v>
      </c>
      <c r="EM43" s="305">
        <f t="shared" si="82"/>
        <v>1186</v>
      </c>
      <c r="EN43" s="305">
        <f t="shared" si="70"/>
        <v>898</v>
      </c>
      <c r="EO43" s="305">
        <f t="shared" ref="EO43:EO52" si="163">SUM(CY43:DB43)</f>
        <v>994</v>
      </c>
      <c r="EP43" s="305">
        <f t="shared" ref="EP43" si="164">EO43</f>
        <v>994</v>
      </c>
      <c r="EQ43" s="305">
        <f t="shared" ref="EQ43" si="165">EP43</f>
        <v>994</v>
      </c>
      <c r="ER43" s="305">
        <f t="shared" ref="ER43" si="166">EQ43</f>
        <v>994</v>
      </c>
      <c r="ES43" s="305">
        <f t="shared" ref="ES43" si="167">ER43</f>
        <v>994</v>
      </c>
      <c r="ET43" s="305">
        <f t="shared" ref="ET43" si="168">ES43</f>
        <v>994</v>
      </c>
      <c r="EU43" s="305">
        <f t="shared" ref="EU43" si="169">ET43</f>
        <v>994</v>
      </c>
      <c r="EV43" s="305">
        <f t="shared" ref="EV43" si="170">EU43</f>
        <v>994</v>
      </c>
      <c r="EW43" s="305">
        <f t="shared" ref="EW43" si="171">EV43</f>
        <v>994</v>
      </c>
    </row>
    <row r="44" spans="2:156" s="355" customFormat="1" ht="12.75" customHeight="1" x14ac:dyDescent="0.2">
      <c r="B44" s="134" t="s">
        <v>1604</v>
      </c>
      <c r="C44" s="351">
        <f>G44/0.67</f>
        <v>362.68656716417911</v>
      </c>
      <c r="D44" s="351">
        <f>H44/0.61</f>
        <v>380.32786885245901</v>
      </c>
      <c r="E44" s="351">
        <f>I44/0.65</f>
        <v>316.92307692307691</v>
      </c>
      <c r="F44" s="351">
        <f>143+125</f>
        <v>268</v>
      </c>
      <c r="G44" s="349">
        <f>124+119</f>
        <v>243</v>
      </c>
      <c r="H44" s="349">
        <f>119+113</f>
        <v>232</v>
      </c>
      <c r="I44" s="349">
        <f>102+104</f>
        <v>206</v>
      </c>
      <c r="J44" s="349">
        <f>104+122</f>
        <v>226</v>
      </c>
      <c r="K44" s="351">
        <v>223</v>
      </c>
      <c r="L44" s="351">
        <v>242</v>
      </c>
      <c r="M44" s="351">
        <v>229</v>
      </c>
      <c r="N44" s="351">
        <v>241</v>
      </c>
      <c r="O44" s="351">
        <f>111+137</f>
        <v>248</v>
      </c>
      <c r="P44" s="351">
        <f>117+131</f>
        <v>248</v>
      </c>
      <c r="Q44" s="351">
        <f>149.4+121.4</f>
        <v>270.8</v>
      </c>
      <c r="R44" s="351">
        <f>165+124</f>
        <v>289</v>
      </c>
      <c r="S44" s="351">
        <f>167+143</f>
        <v>310</v>
      </c>
      <c r="T44" s="351">
        <v>341</v>
      </c>
      <c r="U44" s="351">
        <v>326</v>
      </c>
      <c r="V44" s="349">
        <v>366</v>
      </c>
      <c r="W44" s="349">
        <v>369</v>
      </c>
      <c r="X44" s="349">
        <v>409</v>
      </c>
      <c r="Y44" s="349">
        <v>415</v>
      </c>
      <c r="Z44" s="349">
        <v>449</v>
      </c>
      <c r="AA44" s="349">
        <v>420</v>
      </c>
      <c r="AB44" s="349">
        <v>599</v>
      </c>
      <c r="AC44" s="349">
        <v>791</v>
      </c>
      <c r="AD44" s="349">
        <v>896</v>
      </c>
      <c r="AE44" s="351">
        <v>877</v>
      </c>
      <c r="AF44" s="351">
        <v>664</v>
      </c>
      <c r="AG44" s="351">
        <v>756</v>
      </c>
      <c r="AH44" s="351">
        <v>915</v>
      </c>
      <c r="AI44" s="351">
        <v>969</v>
      </c>
      <c r="AJ44" s="351">
        <v>1014</v>
      </c>
      <c r="AK44" s="351">
        <v>994</v>
      </c>
      <c r="AL44" s="351">
        <v>1005</v>
      </c>
      <c r="AM44" s="351">
        <v>1075</v>
      </c>
      <c r="AN44" s="313">
        <v>1068</v>
      </c>
      <c r="AO44" s="313">
        <v>983</v>
      </c>
      <c r="AP44" s="313">
        <v>961</v>
      </c>
      <c r="AQ44" s="313">
        <v>928</v>
      </c>
      <c r="AR44" s="313">
        <v>852</v>
      </c>
      <c r="AS44" s="313">
        <v>777</v>
      </c>
      <c r="AT44" s="313">
        <v>868</v>
      </c>
      <c r="AU44" s="313">
        <v>835</v>
      </c>
      <c r="AV44" s="313">
        <v>852</v>
      </c>
      <c r="AW44" s="313">
        <v>726</v>
      </c>
      <c r="AX44" s="313">
        <v>722</v>
      </c>
      <c r="AY44" s="313">
        <v>668</v>
      </c>
      <c r="AZ44" s="313">
        <v>674</v>
      </c>
      <c r="BA44" s="313">
        <v>640</v>
      </c>
      <c r="BB44" s="313">
        <v>697</v>
      </c>
      <c r="BC44" s="313">
        <v>672</v>
      </c>
      <c r="BD44" s="313">
        <v>655</v>
      </c>
      <c r="BE44" s="313">
        <v>596</v>
      </c>
      <c r="BF44" s="313">
        <v>629</v>
      </c>
      <c r="BG44" s="313">
        <v>635</v>
      </c>
      <c r="BH44" s="313">
        <v>587</v>
      </c>
      <c r="BI44" s="313">
        <v>526</v>
      </c>
      <c r="BJ44" s="313">
        <v>540</v>
      </c>
      <c r="BK44" s="313">
        <v>482</v>
      </c>
      <c r="BL44" s="313">
        <v>504</v>
      </c>
      <c r="BM44" s="313">
        <v>493</v>
      </c>
      <c r="BN44" s="313">
        <v>506</v>
      </c>
      <c r="BO44" s="313">
        <v>513</v>
      </c>
      <c r="BP44" s="313">
        <v>529</v>
      </c>
      <c r="BQ44" s="313">
        <v>501</v>
      </c>
      <c r="BR44" s="313">
        <v>534</v>
      </c>
      <c r="BS44" s="313">
        <v>541</v>
      </c>
      <c r="BT44" s="313">
        <v>567</v>
      </c>
      <c r="BU44" s="313">
        <f>+BQ44*1.03</f>
        <v>516.03</v>
      </c>
      <c r="BV44" s="313">
        <f t="shared" ref="BV44:BZ44" si="172">+BR44*1.03</f>
        <v>550.02</v>
      </c>
      <c r="BW44" s="313">
        <f t="shared" si="172"/>
        <v>557.23</v>
      </c>
      <c r="BX44" s="313">
        <f t="shared" si="172"/>
        <v>584.01</v>
      </c>
      <c r="BY44" s="313">
        <f t="shared" si="172"/>
        <v>531.51089999999999</v>
      </c>
      <c r="BZ44" s="313">
        <f t="shared" si="172"/>
        <v>566.52059999999994</v>
      </c>
      <c r="CA44" s="313"/>
      <c r="CB44" s="313"/>
      <c r="CC44" s="313"/>
      <c r="CD44" s="313"/>
      <c r="CE44" s="313"/>
      <c r="CF44" s="313"/>
      <c r="CG44" s="313"/>
      <c r="CH44" s="313"/>
      <c r="CI44" s="313"/>
      <c r="CJ44" s="313"/>
      <c r="CK44" s="313"/>
      <c r="CL44" s="313"/>
      <c r="CM44" s="313"/>
      <c r="CN44" s="313"/>
      <c r="CO44" s="313"/>
      <c r="CP44" s="313"/>
      <c r="CQ44" s="313">
        <v>727</v>
      </c>
      <c r="CR44" s="313">
        <v>590</v>
      </c>
      <c r="CS44" s="313">
        <v>836</v>
      </c>
      <c r="CT44" s="313">
        <v>893</v>
      </c>
      <c r="CU44" s="313">
        <v>949</v>
      </c>
      <c r="CV44" s="313">
        <v>1046</v>
      </c>
      <c r="CW44" s="313">
        <v>957</v>
      </c>
      <c r="CX44" s="313">
        <v>1019</v>
      </c>
      <c r="CY44" s="313">
        <v>1092</v>
      </c>
      <c r="CZ44" s="313">
        <f>+CV44*1.05</f>
        <v>1098.3</v>
      </c>
      <c r="DA44" s="313">
        <f t="shared" ref="DA44" si="173">+CW44*1.05</f>
        <v>1004.85</v>
      </c>
      <c r="DB44" s="313">
        <f t="shared" ref="DB44" si="174">+CX44*1.05</f>
        <v>1069.95</v>
      </c>
      <c r="DC44" s="313">
        <f t="shared" ref="DC44" si="175">+CY44*1.05</f>
        <v>1146.6000000000001</v>
      </c>
      <c r="DD44" s="313">
        <f t="shared" ref="DD44" si="176">+CZ44*1.05</f>
        <v>1153.2149999999999</v>
      </c>
      <c r="DE44" s="313">
        <f t="shared" ref="DE44" si="177">+DA44*1.05</f>
        <v>1055.0925</v>
      </c>
      <c r="DF44" s="313">
        <f t="shared" ref="DF44" si="178">+DB44*1.05</f>
        <v>1123.4475</v>
      </c>
      <c r="DH44" s="367"/>
      <c r="DI44" s="367"/>
      <c r="DJ44" s="367"/>
      <c r="DK44" s="367"/>
      <c r="DL44" s="367"/>
      <c r="DM44" s="367"/>
      <c r="DN44" s="367"/>
      <c r="DO44" s="305">
        <f>+DP44/0.98</f>
        <v>1362.2448979591836</v>
      </c>
      <c r="DP44" s="305">
        <v>1335</v>
      </c>
      <c r="DQ44" s="305">
        <f>SUM(G44:J44)</f>
        <v>907</v>
      </c>
      <c r="DR44" s="305">
        <v>942</v>
      </c>
      <c r="DS44" s="305">
        <f t="shared" ref="DS44:DS53" si="179">SUM(O44:R44)</f>
        <v>1055.8</v>
      </c>
      <c r="DT44" s="305">
        <f t="shared" ref="DT44:DT53" si="180">SUM(S44:V44)</f>
        <v>1343</v>
      </c>
      <c r="DU44" s="305">
        <f t="shared" ref="DU44:DU53" si="181">SUM(W44:Z44)</f>
        <v>1642</v>
      </c>
      <c r="DV44" s="305">
        <f t="shared" ref="DV44:DV54" si="182">SUM(AA44:AD44)</f>
        <v>2706</v>
      </c>
      <c r="DW44" s="305">
        <f t="shared" ref="DW44:DW54" si="183">SUM(AE44:AH44)</f>
        <v>3212</v>
      </c>
      <c r="DX44" s="305">
        <f t="shared" ref="DX44:DX54" si="184">SUM(AI44:AL44)</f>
        <v>3982</v>
      </c>
      <c r="DY44" s="305">
        <f t="shared" si="156"/>
        <v>4087</v>
      </c>
      <c r="DZ44" s="305">
        <f t="shared" si="157"/>
        <v>3425</v>
      </c>
      <c r="EA44" s="305">
        <f t="shared" si="158"/>
        <v>3135</v>
      </c>
      <c r="EB44" s="305">
        <f t="shared" si="159"/>
        <v>2679</v>
      </c>
      <c r="EC44" s="305">
        <f t="shared" si="160"/>
        <v>2552</v>
      </c>
      <c r="ED44" s="305">
        <f t="shared" ref="ED44:ED54" si="185">SUM(BG44:BJ44)</f>
        <v>2288</v>
      </c>
      <c r="EE44" s="305">
        <f t="shared" si="161"/>
        <v>1985</v>
      </c>
      <c r="EF44" s="305">
        <f t="shared" ref="EF44:EF52" si="186">SUM(BO44:BR44)</f>
        <v>2077</v>
      </c>
      <c r="EG44" s="305">
        <f>EF44*1.02</f>
        <v>2118.54</v>
      </c>
      <c r="EH44" s="305">
        <f t="shared" ref="EH44:EM44" si="187">EG44*1.02</f>
        <v>2160.9108000000001</v>
      </c>
      <c r="EI44" s="305">
        <f t="shared" si="187"/>
        <v>2204.1290160000003</v>
      </c>
      <c r="EJ44" s="305">
        <f t="shared" si="187"/>
        <v>2248.2115963200004</v>
      </c>
      <c r="EK44" s="305">
        <f t="shared" si="187"/>
        <v>2293.1758282464002</v>
      </c>
      <c r="EL44" s="305">
        <f t="shared" si="187"/>
        <v>2339.0393448113282</v>
      </c>
      <c r="EM44" s="305">
        <f t="shared" si="82"/>
        <v>3046</v>
      </c>
      <c r="EN44" s="305">
        <f t="shared" si="70"/>
        <v>3971</v>
      </c>
      <c r="EO44" s="305">
        <f t="shared" si="163"/>
        <v>4265.1000000000004</v>
      </c>
      <c r="EP44" s="305">
        <f t="shared" ref="EP44:EQ44" si="188">EO44*1.02</f>
        <v>4350.402</v>
      </c>
      <c r="EQ44" s="305">
        <f t="shared" si="188"/>
        <v>4437.4100399999998</v>
      </c>
      <c r="ER44" s="305">
        <f t="shared" ref="ER44" si="189">EQ44*1.02</f>
        <v>4526.1582407999995</v>
      </c>
      <c r="ES44" s="305">
        <f t="shared" ref="ES44" si="190">ER44*1.02</f>
        <v>4616.6814056159992</v>
      </c>
      <c r="ET44" s="305">
        <f t="shared" ref="ET44" si="191">ES44*1.02</f>
        <v>4709.0150337283194</v>
      </c>
      <c r="EU44" s="305">
        <f t="shared" ref="EU44" si="192">ET44*1.02</f>
        <v>4803.1953344028861</v>
      </c>
      <c r="EV44" s="305">
        <f t="shared" ref="EV44" si="193">EU44*1.02</f>
        <v>4899.2592410909438</v>
      </c>
      <c r="EW44" s="305">
        <f t="shared" ref="EW44" si="194">EV44*1.02</f>
        <v>4997.2444259127624</v>
      </c>
      <c r="EZ44" s="360"/>
    </row>
    <row r="45" spans="2:156" s="355" customFormat="1" ht="12.75" customHeight="1" x14ac:dyDescent="0.2">
      <c r="B45" s="20" t="s">
        <v>1605</v>
      </c>
      <c r="C45" s="349"/>
      <c r="D45" s="349"/>
      <c r="E45" s="349"/>
      <c r="F45" s="349"/>
      <c r="G45" s="349"/>
      <c r="H45" s="349"/>
      <c r="I45" s="349"/>
      <c r="J45" s="349"/>
      <c r="K45" s="351">
        <v>428</v>
      </c>
      <c r="L45" s="351">
        <v>420</v>
      </c>
      <c r="M45" s="351">
        <v>420</v>
      </c>
      <c r="N45" s="351">
        <v>434</v>
      </c>
      <c r="O45" s="351">
        <v>471</v>
      </c>
      <c r="P45" s="351">
        <v>456</v>
      </c>
      <c r="Q45" s="351">
        <v>429</v>
      </c>
      <c r="R45" s="351">
        <v>460</v>
      </c>
      <c r="S45" s="351">
        <v>511</v>
      </c>
      <c r="T45" s="351">
        <v>508</v>
      </c>
      <c r="U45" s="351">
        <v>495</v>
      </c>
      <c r="V45" s="349">
        <v>540</v>
      </c>
      <c r="W45" s="349">
        <v>617</v>
      </c>
      <c r="X45" s="349">
        <v>633</v>
      </c>
      <c r="Y45" s="349">
        <v>615</v>
      </c>
      <c r="Z45" s="349">
        <v>672</v>
      </c>
      <c r="AA45" s="349">
        <v>739</v>
      </c>
      <c r="AB45" s="349">
        <v>748</v>
      </c>
      <c r="AC45" s="349">
        <v>718</v>
      </c>
      <c r="AD45" s="349">
        <v>802</v>
      </c>
      <c r="AE45" s="351">
        <v>839</v>
      </c>
      <c r="AF45" s="351">
        <v>839</v>
      </c>
      <c r="AG45" s="351">
        <v>790</v>
      </c>
      <c r="AH45" s="351">
        <v>952</v>
      </c>
      <c r="AI45" s="351">
        <v>993</v>
      </c>
      <c r="AJ45" s="351">
        <v>980</v>
      </c>
      <c r="AK45" s="351">
        <v>897</v>
      </c>
      <c r="AL45" s="351">
        <v>977</v>
      </c>
      <c r="AM45" s="351">
        <v>1039</v>
      </c>
      <c r="AN45" s="313">
        <v>1035</v>
      </c>
      <c r="AO45" s="313">
        <v>971</v>
      </c>
      <c r="AP45" s="313">
        <v>1060</v>
      </c>
      <c r="AQ45" s="313">
        <v>1157</v>
      </c>
      <c r="AR45" s="313">
        <v>1135</v>
      </c>
      <c r="AS45" s="313">
        <v>1086</v>
      </c>
      <c r="AT45" s="313">
        <v>1209</v>
      </c>
      <c r="AU45" s="313">
        <v>1253</v>
      </c>
      <c r="AV45" s="313">
        <v>1289</v>
      </c>
      <c r="AW45" s="313">
        <v>1195</v>
      </c>
      <c r="AX45" s="313">
        <v>1252</v>
      </c>
      <c r="AY45" s="313">
        <v>1292</v>
      </c>
      <c r="AZ45" s="313">
        <v>1323</v>
      </c>
      <c r="BA45" s="313">
        <v>1284</v>
      </c>
      <c r="BB45" s="313">
        <v>1473</v>
      </c>
      <c r="BC45" s="313">
        <v>1454</v>
      </c>
      <c r="BD45" s="313">
        <v>1375</v>
      </c>
      <c r="BE45" s="313">
        <v>1309</v>
      </c>
      <c r="BF45" s="313">
        <v>1447</v>
      </c>
      <c r="BG45" s="313">
        <v>1503</v>
      </c>
      <c r="BH45" s="313">
        <v>1469</v>
      </c>
      <c r="BI45" s="313">
        <v>1384</v>
      </c>
      <c r="BJ45" s="313">
        <v>1453</v>
      </c>
      <c r="BK45" s="313">
        <v>1493</v>
      </c>
      <c r="BL45" s="313">
        <v>1628</v>
      </c>
      <c r="BM45" s="313">
        <v>2290</v>
      </c>
      <c r="BN45" s="313">
        <v>2388</v>
      </c>
      <c r="BO45" s="313">
        <v>2385</v>
      </c>
      <c r="BP45" s="313">
        <v>2385</v>
      </c>
      <c r="BQ45" s="313">
        <v>2283</v>
      </c>
      <c r="BR45" s="313">
        <v>2456</v>
      </c>
      <c r="BS45" s="313">
        <v>2421</v>
      </c>
      <c r="BT45" s="313">
        <v>2469</v>
      </c>
      <c r="BU45" s="313">
        <f>+BQ45*1.02</f>
        <v>2328.66</v>
      </c>
      <c r="BV45" s="313">
        <f t="shared" ref="BV45:BZ45" si="195">+BR45*1.02</f>
        <v>2505.12</v>
      </c>
      <c r="BW45" s="313">
        <f t="shared" si="195"/>
        <v>2469.42</v>
      </c>
      <c r="BX45" s="313">
        <f t="shared" si="195"/>
        <v>2518.38</v>
      </c>
      <c r="BY45" s="313">
        <f t="shared" si="195"/>
        <v>2375.2331999999997</v>
      </c>
      <c r="BZ45" s="313">
        <f t="shared" si="195"/>
        <v>2555.2224000000001</v>
      </c>
      <c r="CA45" s="313"/>
      <c r="CB45" s="313"/>
      <c r="CC45" s="313"/>
      <c r="CD45" s="313"/>
      <c r="CE45" s="313"/>
      <c r="CF45" s="313"/>
      <c r="CG45" s="313"/>
      <c r="CH45" s="313"/>
      <c r="CI45" s="313"/>
      <c r="CJ45" s="313"/>
      <c r="CK45" s="313"/>
      <c r="CL45" s="313"/>
      <c r="CM45" s="313"/>
      <c r="CN45" s="313"/>
      <c r="CO45" s="313"/>
      <c r="CP45" s="313"/>
      <c r="CQ45" s="313">
        <v>2038</v>
      </c>
      <c r="CR45" s="313">
        <v>1451</v>
      </c>
      <c r="CS45" s="313">
        <v>2083</v>
      </c>
      <c r="CT45" s="313">
        <v>2191</v>
      </c>
      <c r="CU45" s="313">
        <v>2113</v>
      </c>
      <c r="CV45" s="313">
        <v>2227</v>
      </c>
      <c r="CW45" s="313">
        <v>2093</v>
      </c>
      <c r="CX45" s="313">
        <v>2155</v>
      </c>
      <c r="CY45" s="313">
        <v>2188</v>
      </c>
      <c r="CZ45" s="313">
        <f>+CV45*1.02</f>
        <v>2271.54</v>
      </c>
      <c r="DA45" s="313">
        <f t="shared" ref="DA45:DF45" si="196">+CW45*1.02</f>
        <v>2134.86</v>
      </c>
      <c r="DB45" s="313">
        <f t="shared" si="196"/>
        <v>2198.1</v>
      </c>
      <c r="DC45" s="313">
        <f t="shared" si="196"/>
        <v>2231.7600000000002</v>
      </c>
      <c r="DD45" s="313">
        <f t="shared" si="196"/>
        <v>2316.9708000000001</v>
      </c>
      <c r="DE45" s="313">
        <f t="shared" si="196"/>
        <v>2177.5572000000002</v>
      </c>
      <c r="DF45" s="313">
        <f t="shared" si="196"/>
        <v>2242.0619999999999</v>
      </c>
      <c r="DH45" s="367"/>
      <c r="DI45" s="367"/>
      <c r="DJ45" s="367"/>
      <c r="DK45" s="367"/>
      <c r="DL45" s="367"/>
      <c r="DM45" s="367"/>
      <c r="DN45" s="367"/>
      <c r="DO45" s="367"/>
      <c r="DP45" s="367"/>
      <c r="DQ45" s="305">
        <v>795</v>
      </c>
      <c r="DR45" s="305">
        <v>1751</v>
      </c>
      <c r="DS45" s="305">
        <f t="shared" si="179"/>
        <v>1816</v>
      </c>
      <c r="DT45" s="305">
        <f t="shared" si="180"/>
        <v>2054</v>
      </c>
      <c r="DU45" s="305">
        <f t="shared" si="181"/>
        <v>2537</v>
      </c>
      <c r="DV45" s="305">
        <f t="shared" si="182"/>
        <v>3007</v>
      </c>
      <c r="DW45" s="305">
        <f t="shared" si="183"/>
        <v>3420</v>
      </c>
      <c r="DX45" s="305">
        <f t="shared" si="184"/>
        <v>3847</v>
      </c>
      <c r="DY45" s="305">
        <f t="shared" si="156"/>
        <v>4105</v>
      </c>
      <c r="DZ45" s="305">
        <f t="shared" si="157"/>
        <v>4587</v>
      </c>
      <c r="EA45" s="305">
        <f t="shared" si="158"/>
        <v>4989</v>
      </c>
      <c r="EB45" s="305">
        <f t="shared" si="159"/>
        <v>5372</v>
      </c>
      <c r="EC45" s="305">
        <f t="shared" si="160"/>
        <v>5585</v>
      </c>
      <c r="ED45" s="305">
        <f t="shared" si="185"/>
        <v>5809</v>
      </c>
      <c r="EE45" s="305">
        <f t="shared" si="161"/>
        <v>7799</v>
      </c>
      <c r="EF45" s="305">
        <f t="shared" si="186"/>
        <v>9509</v>
      </c>
      <c r="EG45" s="305">
        <f t="shared" ref="EG45:EI45" si="197">EF45*1.03</f>
        <v>9794.27</v>
      </c>
      <c r="EH45" s="305">
        <f t="shared" si="197"/>
        <v>10088.098100000001</v>
      </c>
      <c r="EI45" s="305">
        <f t="shared" si="197"/>
        <v>10390.741043000002</v>
      </c>
      <c r="EJ45" s="305">
        <f t="shared" ref="EJ45" si="198">EI45*1.03</f>
        <v>10702.463274290003</v>
      </c>
      <c r="EK45" s="305">
        <f t="shared" ref="EK45" si="199">EJ45*1.03</f>
        <v>11023.537172518703</v>
      </c>
      <c r="EL45" s="305">
        <f t="shared" ref="EL45" si="200">EK45*1.03</f>
        <v>11354.243287694264</v>
      </c>
      <c r="EM45" s="305">
        <f t="shared" si="82"/>
        <v>7763</v>
      </c>
      <c r="EN45" s="305">
        <f t="shared" si="70"/>
        <v>8588</v>
      </c>
      <c r="EO45" s="305">
        <f t="shared" si="163"/>
        <v>8792.5</v>
      </c>
      <c r="EP45" s="305">
        <f t="shared" ref="EP45" si="201">EO45*1.03</f>
        <v>9056.2749999999996</v>
      </c>
      <c r="EQ45" s="305">
        <f t="shared" ref="EQ45" si="202">EP45*1.03</f>
        <v>9327.9632500000007</v>
      </c>
      <c r="ER45" s="305">
        <f t="shared" ref="ER45" si="203">EQ45*1.03</f>
        <v>9607.8021475000005</v>
      </c>
      <c r="ES45" s="305">
        <f t="shared" ref="ES45" si="204">ER45*1.03</f>
        <v>9896.0362119250003</v>
      </c>
      <c r="ET45" s="305">
        <f t="shared" ref="ET45" si="205">ES45*1.03</f>
        <v>10192.917298282751</v>
      </c>
      <c r="EU45" s="305">
        <f t="shared" ref="EU45" si="206">ET45*1.03</f>
        <v>10498.704817231233</v>
      </c>
      <c r="EV45" s="305">
        <f t="shared" ref="EV45" si="207">EU45*1.03</f>
        <v>10813.665961748171</v>
      </c>
      <c r="EW45" s="305">
        <f t="shared" ref="EW45" si="208">EV45*1.03</f>
        <v>11138.075940600616</v>
      </c>
      <c r="EZ45" s="360" t="s">
        <v>1646</v>
      </c>
    </row>
    <row r="46" spans="2:156" s="355" customFormat="1" ht="12.75" customHeight="1" x14ac:dyDescent="0.2">
      <c r="B46" s="20" t="s">
        <v>248</v>
      </c>
      <c r="C46" s="351">
        <f>G46/1.04</f>
        <v>381.73076923076923</v>
      </c>
      <c r="D46" s="351">
        <f>H46/1.03</f>
        <v>383.49514563106794</v>
      </c>
      <c r="E46" s="351">
        <f>I46/1.04</f>
        <v>374.03846153846155</v>
      </c>
      <c r="F46" s="351">
        <f>147+231</f>
        <v>378</v>
      </c>
      <c r="G46" s="351">
        <f>156+241</f>
        <v>397</v>
      </c>
      <c r="H46" s="351">
        <f>158+237</f>
        <v>395</v>
      </c>
      <c r="I46" s="351">
        <f>164+225</f>
        <v>389</v>
      </c>
      <c r="J46" s="351">
        <f>172+254</f>
        <v>426</v>
      </c>
      <c r="K46" s="351">
        <v>480</v>
      </c>
      <c r="L46" s="351">
        <v>475</v>
      </c>
      <c r="M46" s="351">
        <v>467</v>
      </c>
      <c r="N46" s="351">
        <v>495</v>
      </c>
      <c r="O46" s="351">
        <v>482</v>
      </c>
      <c r="P46" s="351">
        <v>509</v>
      </c>
      <c r="Q46" s="351">
        <v>482</v>
      </c>
      <c r="R46" s="351">
        <v>503</v>
      </c>
      <c r="S46" s="351">
        <v>519</v>
      </c>
      <c r="T46" s="351">
        <v>530</v>
      </c>
      <c r="U46" s="351">
        <v>532</v>
      </c>
      <c r="V46" s="349">
        <v>618</v>
      </c>
      <c r="W46" s="349">
        <v>564</v>
      </c>
      <c r="X46" s="349">
        <v>606</v>
      </c>
      <c r="Y46" s="349">
        <v>596</v>
      </c>
      <c r="Z46" s="349">
        <v>620</v>
      </c>
      <c r="AA46" s="349">
        <v>629</v>
      </c>
      <c r="AB46" s="349">
        <v>673</v>
      </c>
      <c r="AC46" s="349">
        <v>640</v>
      </c>
      <c r="AD46" s="349">
        <v>697</v>
      </c>
      <c r="AE46" s="351">
        <v>681</v>
      </c>
      <c r="AF46" s="351">
        <v>716</v>
      </c>
      <c r="AG46" s="351">
        <v>687</v>
      </c>
      <c r="AH46" s="351">
        <v>753</v>
      </c>
      <c r="AI46" s="351">
        <v>787</v>
      </c>
      <c r="AJ46" s="351">
        <v>798</v>
      </c>
      <c r="AK46" s="351">
        <v>745</v>
      </c>
      <c r="AL46" s="351">
        <v>769</v>
      </c>
      <c r="AM46" s="351">
        <v>774</v>
      </c>
      <c r="AN46" s="313">
        <v>816</v>
      </c>
      <c r="AO46" s="313">
        <v>796</v>
      </c>
      <c r="AP46" s="313">
        <v>827</v>
      </c>
      <c r="AQ46" s="313">
        <v>870</v>
      </c>
      <c r="AR46" s="313">
        <v>901</v>
      </c>
      <c r="AS46" s="313">
        <v>877</v>
      </c>
      <c r="AT46" s="313">
        <v>944</v>
      </c>
      <c r="AU46" s="313">
        <v>945</v>
      </c>
      <c r="AV46" s="313">
        <v>1020</v>
      </c>
      <c r="AW46" s="313">
        <v>957</v>
      </c>
      <c r="AX46" s="313">
        <v>918</v>
      </c>
      <c r="AY46" s="313">
        <v>953</v>
      </c>
      <c r="AZ46" s="313">
        <v>1041</v>
      </c>
      <c r="BA46" s="313">
        <v>1019</v>
      </c>
      <c r="BB46" s="313">
        <v>1109</v>
      </c>
      <c r="BC46" s="313">
        <v>1147</v>
      </c>
      <c r="BD46" s="313">
        <v>1132</v>
      </c>
      <c r="BE46" s="313">
        <v>1072</v>
      </c>
      <c r="BF46" s="313">
        <v>1152</v>
      </c>
      <c r="BG46" s="313">
        <v>1193</v>
      </c>
      <c r="BH46" s="313">
        <v>1257</v>
      </c>
      <c r="BI46" s="313">
        <v>1187</v>
      </c>
      <c r="BJ46" s="313">
        <v>1233</v>
      </c>
      <c r="BK46" s="313"/>
      <c r="BL46" s="313"/>
      <c r="BM46" s="313"/>
      <c r="BN46" s="313"/>
      <c r="BO46" s="313"/>
      <c r="BP46" s="313"/>
      <c r="BQ46" s="313"/>
      <c r="BR46" s="313"/>
      <c r="BS46" s="313"/>
      <c r="BT46" s="313"/>
      <c r="BU46" s="313"/>
      <c r="BV46" s="313"/>
      <c r="BW46" s="313"/>
      <c r="BX46" s="313"/>
      <c r="BY46" s="313"/>
      <c r="BZ46" s="313"/>
      <c r="CA46" s="313"/>
      <c r="CB46" s="313"/>
      <c r="CC46" s="313"/>
      <c r="CD46" s="313"/>
      <c r="CE46" s="313"/>
      <c r="CF46" s="313"/>
      <c r="CG46" s="313"/>
      <c r="CH46" s="313"/>
      <c r="CI46" s="313"/>
      <c r="CJ46" s="313"/>
      <c r="CK46" s="313"/>
      <c r="CL46" s="313"/>
      <c r="CM46" s="313"/>
      <c r="CN46" s="313"/>
      <c r="CO46" s="313"/>
      <c r="CP46" s="313"/>
      <c r="CQ46" s="313"/>
      <c r="CR46" s="313"/>
      <c r="CS46" s="313"/>
      <c r="CT46" s="313"/>
      <c r="CU46" s="313"/>
      <c r="CV46" s="313"/>
      <c r="CW46" s="313"/>
      <c r="CX46" s="313"/>
      <c r="CY46" s="313"/>
      <c r="CZ46" s="313"/>
      <c r="DA46" s="313"/>
      <c r="DB46" s="313"/>
      <c r="DC46" s="313"/>
      <c r="DD46" s="313"/>
      <c r="DE46" s="313"/>
      <c r="DF46" s="313"/>
      <c r="DH46" s="367"/>
      <c r="DI46" s="367"/>
      <c r="DJ46" s="367"/>
      <c r="DK46" s="367"/>
      <c r="DL46" s="367"/>
      <c r="DM46" s="367"/>
      <c r="DN46" s="367"/>
      <c r="DO46" s="305">
        <f>DP46*1</f>
        <v>1525</v>
      </c>
      <c r="DP46" s="305">
        <f>586+939</f>
        <v>1525</v>
      </c>
      <c r="DQ46" s="305">
        <f>SUM(G46:J46)</f>
        <v>1607</v>
      </c>
      <c r="DR46" s="305">
        <f>1828+108</f>
        <v>1936</v>
      </c>
      <c r="DS46" s="305">
        <f t="shared" si="179"/>
        <v>1976</v>
      </c>
      <c r="DT46" s="305">
        <f t="shared" si="180"/>
        <v>2199</v>
      </c>
      <c r="DU46" s="305">
        <f t="shared" si="181"/>
        <v>2386</v>
      </c>
      <c r="DV46" s="305">
        <f t="shared" si="182"/>
        <v>2639</v>
      </c>
      <c r="DW46" s="305">
        <f t="shared" si="183"/>
        <v>2837</v>
      </c>
      <c r="DX46" s="305">
        <f t="shared" si="184"/>
        <v>3099</v>
      </c>
      <c r="DY46" s="305">
        <f t="shared" si="156"/>
        <v>3213</v>
      </c>
      <c r="DZ46" s="305">
        <f t="shared" si="157"/>
        <v>3592</v>
      </c>
      <c r="EA46" s="305">
        <f t="shared" si="158"/>
        <v>3840</v>
      </c>
      <c r="EB46" s="305">
        <f t="shared" si="159"/>
        <v>4122</v>
      </c>
      <c r="EC46" s="305">
        <f t="shared" si="160"/>
        <v>4503</v>
      </c>
      <c r="ED46" s="305">
        <f t="shared" si="185"/>
        <v>4870</v>
      </c>
      <c r="EE46" s="305"/>
      <c r="EF46" s="305"/>
      <c r="EG46" s="305"/>
      <c r="EH46" s="305"/>
      <c r="EI46" s="305"/>
      <c r="EJ46" s="305"/>
      <c r="EK46" s="305"/>
      <c r="EL46" s="305"/>
      <c r="EM46" s="305"/>
      <c r="EN46" s="305"/>
      <c r="EO46" s="305">
        <f t="shared" si="163"/>
        <v>0</v>
      </c>
      <c r="EP46" s="305">
        <f t="shared" ref="EP46:EP47" si="209">SUM(CZ46:DC46)</f>
        <v>0</v>
      </c>
      <c r="EQ46" s="305">
        <f t="shared" ref="EQ46:EQ47" si="210">SUM(DA46:DD46)</f>
        <v>0</v>
      </c>
      <c r="ER46" s="305">
        <f t="shared" ref="ER46:ER47" si="211">SUM(DB46:DE46)</f>
        <v>0</v>
      </c>
      <c r="ES46" s="305">
        <f t="shared" ref="ES46:ES47" si="212">SUM(DC46:DF46)</f>
        <v>0</v>
      </c>
      <c r="ET46" s="305">
        <f t="shared" ref="ET46:ET47" si="213">SUM(DD46:DG46)</f>
        <v>0</v>
      </c>
      <c r="EU46" s="305">
        <f t="shared" ref="EU46:EU47" si="214">SUM(DE46:DH46)</f>
        <v>0</v>
      </c>
      <c r="EV46" s="305">
        <f t="shared" ref="EV46:EV47" si="215">SUM(DF46:DI46)</f>
        <v>0</v>
      </c>
      <c r="EW46" s="305">
        <f t="shared" ref="EW46:EW47" si="216">SUM(DG46:DJ46)</f>
        <v>0</v>
      </c>
      <c r="EZ46" s="360" t="s">
        <v>1507</v>
      </c>
    </row>
    <row r="47" spans="2:156" s="355" customFormat="1" ht="12.75" customHeight="1" x14ac:dyDescent="0.2">
      <c r="B47" s="20" t="s">
        <v>354</v>
      </c>
      <c r="C47" s="351">
        <f>G47/1.16</f>
        <v>244.82758620689657</v>
      </c>
      <c r="D47" s="351">
        <f>H47/1.17</f>
        <v>247.86324786324789</v>
      </c>
      <c r="E47" s="351">
        <f>I47/1.17</f>
        <v>252.13675213675216</v>
      </c>
      <c r="F47" s="351">
        <f>164+100</f>
        <v>264</v>
      </c>
      <c r="G47" s="351">
        <f>171+113</f>
        <v>284</v>
      </c>
      <c r="H47" s="351">
        <f>178+112</f>
        <v>290</v>
      </c>
      <c r="I47" s="351">
        <f>193+102</f>
        <v>295</v>
      </c>
      <c r="J47" s="351">
        <f>196+127</f>
        <v>323</v>
      </c>
      <c r="K47" s="351">
        <v>427</v>
      </c>
      <c r="L47" s="351">
        <v>431</v>
      </c>
      <c r="M47" s="351">
        <v>431</v>
      </c>
      <c r="N47" s="351">
        <v>450</v>
      </c>
      <c r="O47" s="351">
        <v>448</v>
      </c>
      <c r="P47" s="351">
        <v>463</v>
      </c>
      <c r="Q47" s="351">
        <v>447</v>
      </c>
      <c r="R47" s="351">
        <v>482</v>
      </c>
      <c r="S47" s="351">
        <v>475</v>
      </c>
      <c r="T47" s="351">
        <v>499</v>
      </c>
      <c r="U47" s="351">
        <v>503</v>
      </c>
      <c r="V47" s="349">
        <v>523</v>
      </c>
      <c r="W47" s="349">
        <v>521</v>
      </c>
      <c r="X47" s="349">
        <v>575</v>
      </c>
      <c r="Y47" s="349">
        <v>571</v>
      </c>
      <c r="Z47" s="349">
        <v>625</v>
      </c>
      <c r="AA47" s="349">
        <v>623</v>
      </c>
      <c r="AB47" s="349">
        <v>649</v>
      </c>
      <c r="AC47" s="349">
        <v>622</v>
      </c>
      <c r="AD47" s="349">
        <v>693</v>
      </c>
      <c r="AE47" s="351">
        <v>665</v>
      </c>
      <c r="AF47" s="351">
        <v>710</v>
      </c>
      <c r="AG47" s="351">
        <v>672</v>
      </c>
      <c r="AH47" s="351">
        <v>802</v>
      </c>
      <c r="AI47" s="351">
        <v>767</v>
      </c>
      <c r="AJ47" s="351">
        <v>785</v>
      </c>
      <c r="AK47" s="351">
        <v>723</v>
      </c>
      <c r="AL47" s="351">
        <v>823</v>
      </c>
      <c r="AM47" s="351">
        <v>794</v>
      </c>
      <c r="AN47" s="313">
        <v>857</v>
      </c>
      <c r="AO47" s="313">
        <v>826</v>
      </c>
      <c r="AP47" s="313">
        <v>900</v>
      </c>
      <c r="AQ47" s="313">
        <v>891</v>
      </c>
      <c r="AR47" s="313">
        <v>957</v>
      </c>
      <c r="AS47" s="313">
        <v>922</v>
      </c>
      <c r="AT47" s="313">
        <v>1064</v>
      </c>
      <c r="AU47" s="313">
        <v>1003</v>
      </c>
      <c r="AV47" s="313">
        <v>1124</v>
      </c>
      <c r="AW47" s="313">
        <v>1042</v>
      </c>
      <c r="AX47" s="313">
        <v>1117</v>
      </c>
      <c r="AY47" s="313">
        <v>1015</v>
      </c>
      <c r="AZ47" s="313">
        <v>1115</v>
      </c>
      <c r="BA47" s="313">
        <v>1106</v>
      </c>
      <c r="BB47" s="313">
        <v>1256</v>
      </c>
      <c r="BC47" s="313">
        <v>1168</v>
      </c>
      <c r="BD47" s="313">
        <v>1196</v>
      </c>
      <c r="BE47" s="313">
        <v>1137</v>
      </c>
      <c r="BF47" s="313">
        <v>1257</v>
      </c>
      <c r="BG47" s="313">
        <v>1221</v>
      </c>
      <c r="BH47" s="313">
        <v>1295</v>
      </c>
      <c r="BI47" s="313">
        <v>1231</v>
      </c>
      <c r="BJ47" s="313">
        <v>1333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+DP47/1.16</f>
        <v>869.67895362663512</v>
      </c>
      <c r="DP47" s="305">
        <f>SUM(C47:F47)</f>
        <v>1008.8275862068966</v>
      </c>
      <c r="DQ47" s="305">
        <f>SUM(G47:J47)</f>
        <v>1192</v>
      </c>
      <c r="DR47" s="305">
        <f>SUM(K47:N47)</f>
        <v>1739</v>
      </c>
      <c r="DS47" s="305">
        <f t="shared" si="179"/>
        <v>1840</v>
      </c>
      <c r="DT47" s="305">
        <f t="shared" si="180"/>
        <v>2000</v>
      </c>
      <c r="DU47" s="305">
        <f t="shared" si="181"/>
        <v>2292</v>
      </c>
      <c r="DV47" s="305">
        <f t="shared" si="182"/>
        <v>2587</v>
      </c>
      <c r="DW47" s="305">
        <f t="shared" si="183"/>
        <v>2849</v>
      </c>
      <c r="DX47" s="305">
        <f t="shared" si="184"/>
        <v>3098</v>
      </c>
      <c r="DY47" s="305">
        <f t="shared" si="156"/>
        <v>3377</v>
      </c>
      <c r="DZ47" s="305">
        <f t="shared" si="157"/>
        <v>3834</v>
      </c>
      <c r="EA47" s="305">
        <f t="shared" si="158"/>
        <v>4286</v>
      </c>
      <c r="EB47" s="305">
        <f t="shared" si="159"/>
        <v>4492</v>
      </c>
      <c r="EC47" s="305">
        <f t="shared" si="160"/>
        <v>4758</v>
      </c>
      <c r="ED47" s="305">
        <f t="shared" si="185"/>
        <v>5080</v>
      </c>
      <c r="EE47" s="305"/>
      <c r="EF47" s="305"/>
      <c r="EG47" s="305"/>
      <c r="EH47" s="305"/>
      <c r="EI47" s="305"/>
      <c r="EJ47" s="305"/>
      <c r="EK47" s="305"/>
      <c r="EL47" s="305"/>
      <c r="EM47" s="305"/>
      <c r="EN47" s="305"/>
      <c r="EO47" s="305">
        <f t="shared" si="163"/>
        <v>0</v>
      </c>
      <c r="EP47" s="305">
        <f t="shared" si="209"/>
        <v>0</v>
      </c>
      <c r="EQ47" s="305">
        <f t="shared" si="210"/>
        <v>0</v>
      </c>
      <c r="ER47" s="305">
        <f t="shared" si="211"/>
        <v>0</v>
      </c>
      <c r="ES47" s="305">
        <f t="shared" si="212"/>
        <v>0</v>
      </c>
      <c r="ET47" s="305">
        <f t="shared" si="213"/>
        <v>0</v>
      </c>
      <c r="EU47" s="305">
        <f t="shared" si="214"/>
        <v>0</v>
      </c>
      <c r="EV47" s="305">
        <f t="shared" si="215"/>
        <v>0</v>
      </c>
      <c r="EW47" s="305">
        <f t="shared" si="216"/>
        <v>0</v>
      </c>
      <c r="EZ47" s="360" t="s">
        <v>1509</v>
      </c>
    </row>
    <row r="48" spans="2:156" s="355" customFormat="1" ht="12.75" customHeight="1" x14ac:dyDescent="0.2">
      <c r="B48" s="20" t="s">
        <v>1709</v>
      </c>
      <c r="C48" s="351"/>
      <c r="D48" s="351"/>
      <c r="E48" s="351"/>
      <c r="F48" s="351"/>
      <c r="G48" s="351"/>
      <c r="H48" s="351"/>
      <c r="I48" s="351"/>
      <c r="J48" s="351"/>
      <c r="K48" s="351"/>
      <c r="L48" s="351"/>
      <c r="M48" s="351"/>
      <c r="N48" s="351"/>
      <c r="O48" s="351"/>
      <c r="P48" s="351"/>
      <c r="Q48" s="351"/>
      <c r="R48" s="351"/>
      <c r="S48" s="351"/>
      <c r="T48" s="351"/>
      <c r="U48" s="351"/>
      <c r="V48" s="349"/>
      <c r="W48" s="349"/>
      <c r="X48" s="349"/>
      <c r="Y48" s="349"/>
      <c r="Z48" s="349"/>
      <c r="AA48" s="349"/>
      <c r="AB48" s="349"/>
      <c r="AC48" s="349"/>
      <c r="AD48" s="349"/>
      <c r="AE48" s="351"/>
      <c r="AF48" s="351"/>
      <c r="AG48" s="351"/>
      <c r="AH48" s="351"/>
      <c r="AI48" s="351"/>
      <c r="AJ48" s="351"/>
      <c r="AK48" s="351"/>
      <c r="AL48" s="351"/>
      <c r="AM48" s="351"/>
      <c r="AN48" s="313"/>
      <c r="AO48" s="313"/>
      <c r="AP48" s="313"/>
      <c r="AQ48" s="313"/>
      <c r="AR48" s="313"/>
      <c r="AS48" s="313"/>
      <c r="AT48" s="313"/>
      <c r="AU48" s="313"/>
      <c r="AV48" s="313"/>
      <c r="AW48" s="313"/>
      <c r="AX48" s="313"/>
      <c r="AY48" s="313"/>
      <c r="AZ48" s="313"/>
      <c r="BA48" s="313"/>
      <c r="BB48" s="313"/>
      <c r="BC48" s="313"/>
      <c r="BD48" s="313"/>
      <c r="BE48" s="313"/>
      <c r="BF48" s="313"/>
      <c r="BG48" s="374">
        <f>577+216</f>
        <v>793</v>
      </c>
      <c r="BH48" s="313"/>
      <c r="BI48" s="313">
        <f>576+220</f>
        <v>796</v>
      </c>
      <c r="BJ48" s="313">
        <f>634+238</f>
        <v>872</v>
      </c>
      <c r="BK48" s="313">
        <f>628+244</f>
        <v>872</v>
      </c>
      <c r="BL48" s="313">
        <f>646+230</f>
        <v>876</v>
      </c>
      <c r="BM48" s="313">
        <f>597+232</f>
        <v>829</v>
      </c>
      <c r="BN48" s="313">
        <f>655+246</f>
        <v>901</v>
      </c>
      <c r="BO48" s="313">
        <f>627+212</f>
        <v>839</v>
      </c>
      <c r="BP48" s="313">
        <f>656+234</f>
        <v>890</v>
      </c>
      <c r="BQ48" s="313">
        <f>626+220</f>
        <v>846</v>
      </c>
      <c r="BR48" s="313">
        <f>683+246</f>
        <v>929</v>
      </c>
      <c r="BS48" s="313">
        <v>874</v>
      </c>
      <c r="BT48" s="313">
        <v>905</v>
      </c>
      <c r="BU48" s="313">
        <f>+BQ48*1.01</f>
        <v>854.46</v>
      </c>
      <c r="BV48" s="313">
        <f t="shared" ref="BV48:BZ48" si="217">+BR48*1.01</f>
        <v>938.29</v>
      </c>
      <c r="BW48" s="313">
        <f t="shared" si="217"/>
        <v>882.74</v>
      </c>
      <c r="BX48" s="313">
        <f t="shared" si="217"/>
        <v>914.05</v>
      </c>
      <c r="BY48" s="313">
        <f t="shared" si="217"/>
        <v>863.0046000000001</v>
      </c>
      <c r="BZ48" s="313">
        <f t="shared" si="217"/>
        <v>947.67290000000003</v>
      </c>
      <c r="CA48" s="313"/>
      <c r="CB48" s="313"/>
      <c r="CC48" s="313"/>
      <c r="CD48" s="313"/>
      <c r="CE48" s="313"/>
      <c r="CF48" s="313"/>
      <c r="CG48" s="313"/>
      <c r="CH48" s="313"/>
      <c r="CI48" s="313"/>
      <c r="CJ48" s="313"/>
      <c r="CK48" s="313"/>
      <c r="CL48" s="313"/>
      <c r="CM48" s="313"/>
      <c r="CN48" s="313"/>
      <c r="CO48" s="313"/>
      <c r="CP48" s="313"/>
      <c r="CQ48" s="313">
        <v>948</v>
      </c>
      <c r="CR48" s="313">
        <v>775</v>
      </c>
      <c r="CS48" s="313">
        <v>1000</v>
      </c>
      <c r="CT48" s="313">
        <v>1116</v>
      </c>
      <c r="CU48" s="313">
        <v>1118</v>
      </c>
      <c r="CV48" s="313">
        <v>1168</v>
      </c>
      <c r="CW48" s="313">
        <v>1144</v>
      </c>
      <c r="CX48" s="313">
        <v>1192</v>
      </c>
      <c r="CY48" s="313">
        <v>1146</v>
      </c>
      <c r="CZ48" s="313">
        <f t="shared" ref="CZ48:CZ49" si="218">+CV48*1.02</f>
        <v>1191.3600000000001</v>
      </c>
      <c r="DA48" s="313">
        <f t="shared" ref="DA48:DA49" si="219">+CW48*1.02</f>
        <v>1166.8800000000001</v>
      </c>
      <c r="DB48" s="313">
        <f t="shared" ref="DB48:DB49" si="220">+CX48*1.02</f>
        <v>1215.8399999999999</v>
      </c>
      <c r="DC48" s="313">
        <f t="shared" ref="DC48:DC49" si="221">+CY48*1.02</f>
        <v>1168.92</v>
      </c>
      <c r="DD48" s="313">
        <f t="shared" ref="DD48:DD49" si="222">+CZ48*1.02</f>
        <v>1215.1872000000001</v>
      </c>
      <c r="DE48" s="313">
        <f t="shared" ref="DE48:DE49" si="223">+DA48*1.02</f>
        <v>1190.2176000000002</v>
      </c>
      <c r="DF48" s="313">
        <f t="shared" ref="DF48:DF49" si="224">+DB48*1.02</f>
        <v>1240.1568</v>
      </c>
      <c r="DH48" s="367"/>
      <c r="DI48" s="367"/>
      <c r="DJ48" s="367"/>
      <c r="DK48" s="367"/>
      <c r="DL48" s="367"/>
      <c r="DM48" s="367"/>
      <c r="DN48" s="367"/>
      <c r="DO48" s="305"/>
      <c r="DP48" s="305"/>
      <c r="DQ48" s="305"/>
      <c r="DR48" s="305"/>
      <c r="DS48" s="305"/>
      <c r="DT48" s="305"/>
      <c r="DU48" s="305"/>
      <c r="DV48" s="305"/>
      <c r="DW48" s="305"/>
      <c r="DX48" s="305"/>
      <c r="DY48" s="305"/>
      <c r="DZ48" s="305"/>
      <c r="EA48" s="305"/>
      <c r="EB48" s="305"/>
      <c r="EC48" s="305"/>
      <c r="ED48" s="305"/>
      <c r="EE48" s="305">
        <f t="shared" si="161"/>
        <v>3478</v>
      </c>
      <c r="EF48" s="305">
        <f t="shared" si="186"/>
        <v>3504</v>
      </c>
      <c r="EG48" s="305">
        <f t="shared" ref="EG48:EM48" si="225">+EF48*1.01</f>
        <v>3539.04</v>
      </c>
      <c r="EH48" s="305">
        <f t="shared" si="225"/>
        <v>3574.4304000000002</v>
      </c>
      <c r="EI48" s="305">
        <f t="shared" si="225"/>
        <v>3610.174704</v>
      </c>
      <c r="EJ48" s="305">
        <f t="shared" si="225"/>
        <v>3646.2764510400002</v>
      </c>
      <c r="EK48" s="305">
        <f t="shared" si="225"/>
        <v>3682.7392155504003</v>
      </c>
      <c r="EL48" s="305">
        <f t="shared" si="225"/>
        <v>3719.5666077059045</v>
      </c>
      <c r="EM48" s="305">
        <f t="shared" si="82"/>
        <v>3839</v>
      </c>
      <c r="EN48" s="305">
        <f t="shared" si="70"/>
        <v>4622</v>
      </c>
      <c r="EO48" s="305">
        <f t="shared" si="163"/>
        <v>4720.08</v>
      </c>
      <c r="EP48" s="305">
        <f t="shared" ref="EP48:EP49" si="226">+EO48*1.01</f>
        <v>4767.2807999999995</v>
      </c>
      <c r="EQ48" s="305">
        <f t="shared" ref="EQ48:EQ49" si="227">+EP48*1.01</f>
        <v>4814.9536079999998</v>
      </c>
      <c r="ER48" s="305">
        <f t="shared" ref="ER48:ER49" si="228">+EQ48*1.01</f>
        <v>4863.1031440799998</v>
      </c>
      <c r="ES48" s="305">
        <f t="shared" ref="ES48:ES49" si="229">+ER48*1.01</f>
        <v>4911.7341755207999</v>
      </c>
      <c r="ET48" s="305">
        <f t="shared" ref="ET48:ET49" si="230">+ES48*1.01</f>
        <v>4960.8515172760081</v>
      </c>
      <c r="EU48" s="305">
        <f t="shared" ref="EU48:EU49" si="231">+ET48*1.01</f>
        <v>5010.4600324487683</v>
      </c>
      <c r="EV48" s="305">
        <f t="shared" ref="EV48:EV49" si="232">+EU48*1.01</f>
        <v>5060.5646327732557</v>
      </c>
      <c r="EW48" s="305">
        <f t="shared" ref="EW48:EW49" si="233">+EV48*1.01</f>
        <v>5111.1702791009884</v>
      </c>
      <c r="EZ48" s="360"/>
    </row>
    <row r="49" spans="1:159" s="355" customFormat="1" ht="12.75" customHeight="1" x14ac:dyDescent="0.2">
      <c r="B49" s="20" t="s">
        <v>1607</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t="s">
        <v>1617</v>
      </c>
      <c r="BH49" s="313"/>
      <c r="BI49" s="313">
        <v>1622</v>
      </c>
      <c r="BJ49" s="313">
        <v>1694</v>
      </c>
      <c r="BK49" s="313">
        <v>1625</v>
      </c>
      <c r="BL49" s="313">
        <v>1640</v>
      </c>
      <c r="BM49" s="313">
        <v>1551</v>
      </c>
      <c r="BN49" s="313">
        <v>1667</v>
      </c>
      <c r="BO49" s="313">
        <v>1508</v>
      </c>
      <c r="BP49" s="313">
        <v>1588</v>
      </c>
      <c r="BQ49" s="313">
        <v>1534</v>
      </c>
      <c r="BR49" s="313">
        <v>1639</v>
      </c>
      <c r="BS49" s="313">
        <v>1508</v>
      </c>
      <c r="BT49" s="313">
        <v>1575</v>
      </c>
      <c r="BU49" s="313">
        <f>+BQ49*0.99</f>
        <v>1518.66</v>
      </c>
      <c r="BV49" s="313">
        <f t="shared" ref="BV49:BZ49" si="234">+BR49*0.99</f>
        <v>1622.61</v>
      </c>
      <c r="BW49" s="313">
        <f t="shared" si="234"/>
        <v>1492.92</v>
      </c>
      <c r="BX49" s="313">
        <f t="shared" si="234"/>
        <v>1559.25</v>
      </c>
      <c r="BY49" s="313">
        <f t="shared" si="234"/>
        <v>1503.4734000000001</v>
      </c>
      <c r="BZ49" s="313">
        <f t="shared" si="234"/>
        <v>1606.3838999999998</v>
      </c>
      <c r="CA49" s="313"/>
      <c r="CB49" s="313"/>
      <c r="CC49" s="313"/>
      <c r="CD49" s="313"/>
      <c r="CE49" s="313"/>
      <c r="CF49" s="313"/>
      <c r="CG49" s="313"/>
      <c r="CH49" s="313"/>
      <c r="CI49" s="313"/>
      <c r="CJ49" s="313"/>
      <c r="CK49" s="313"/>
      <c r="CL49" s="313"/>
      <c r="CM49" s="313"/>
      <c r="CN49" s="313"/>
      <c r="CO49" s="313"/>
      <c r="CP49" s="313"/>
      <c r="CQ49" s="313">
        <v>1153</v>
      </c>
      <c r="CR49" s="313">
        <v>775</v>
      </c>
      <c r="CS49" s="313">
        <v>1152</v>
      </c>
      <c r="CT49" s="313">
        <v>1312</v>
      </c>
      <c r="CU49" s="313">
        <v>1254</v>
      </c>
      <c r="CV49" s="313">
        <v>1354</v>
      </c>
      <c r="CW49" s="313">
        <v>1261</v>
      </c>
      <c r="CX49" s="313">
        <v>1321</v>
      </c>
      <c r="CY49" s="313">
        <v>1288</v>
      </c>
      <c r="CZ49" s="313">
        <f t="shared" si="218"/>
        <v>1381.08</v>
      </c>
      <c r="DA49" s="313">
        <f t="shared" si="219"/>
        <v>1286.22</v>
      </c>
      <c r="DB49" s="313">
        <f t="shared" si="220"/>
        <v>1347.42</v>
      </c>
      <c r="DC49" s="313">
        <f t="shared" si="221"/>
        <v>1313.76</v>
      </c>
      <c r="DD49" s="313">
        <f t="shared" si="222"/>
        <v>1408.7015999999999</v>
      </c>
      <c r="DE49" s="313">
        <f t="shared" si="223"/>
        <v>1311.9444000000001</v>
      </c>
      <c r="DF49" s="313">
        <f t="shared" si="224"/>
        <v>1374.3684000000001</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1"/>
        <v>6483</v>
      </c>
      <c r="EF49" s="305">
        <f t="shared" si="186"/>
        <v>6269</v>
      </c>
      <c r="EG49" s="305">
        <f t="shared" ref="EG49:EM49" si="235">+EF49*1.01</f>
        <v>6331.6900000000005</v>
      </c>
      <c r="EH49" s="305">
        <f t="shared" si="235"/>
        <v>6395.0069000000003</v>
      </c>
      <c r="EI49" s="305">
        <f t="shared" si="235"/>
        <v>6458.9569690000008</v>
      </c>
      <c r="EJ49" s="305">
        <f t="shared" si="235"/>
        <v>6523.5465386900005</v>
      </c>
      <c r="EK49" s="305">
        <f t="shared" si="235"/>
        <v>6588.7820040769002</v>
      </c>
      <c r="EL49" s="305">
        <f t="shared" si="235"/>
        <v>6654.6698241176691</v>
      </c>
      <c r="EM49" s="305">
        <f t="shared" si="82"/>
        <v>4392</v>
      </c>
      <c r="EN49" s="305">
        <f t="shared" si="70"/>
        <v>5190</v>
      </c>
      <c r="EO49" s="305">
        <f t="shared" si="163"/>
        <v>5302.72</v>
      </c>
      <c r="EP49" s="305">
        <f t="shared" si="226"/>
        <v>5355.7472000000007</v>
      </c>
      <c r="EQ49" s="305">
        <f t="shared" si="227"/>
        <v>5409.3046720000011</v>
      </c>
      <c r="ER49" s="305">
        <f t="shared" si="228"/>
        <v>5463.3977187200007</v>
      </c>
      <c r="ES49" s="305">
        <f t="shared" si="229"/>
        <v>5518.0316959072006</v>
      </c>
      <c r="ET49" s="305">
        <f t="shared" si="230"/>
        <v>5573.2120128662727</v>
      </c>
      <c r="EU49" s="305">
        <f t="shared" si="231"/>
        <v>5628.9441329949359</v>
      </c>
      <c r="EV49" s="305">
        <f t="shared" si="232"/>
        <v>5685.233574324885</v>
      </c>
      <c r="EW49" s="305">
        <f t="shared" si="233"/>
        <v>5742.0859100681337</v>
      </c>
      <c r="EZ49" s="360"/>
    </row>
    <row r="50" spans="1:159" s="355" customFormat="1" ht="12.75" customHeight="1" x14ac:dyDescent="0.2">
      <c r="B50" s="134" t="s">
        <v>1158</v>
      </c>
      <c r="C50" s="351">
        <f>G50/1.1</f>
        <v>210.90909090909088</v>
      </c>
      <c r="D50" s="351">
        <f>H50/0.95</f>
        <v>229.47368421052633</v>
      </c>
      <c r="E50" s="351">
        <f>I50/1.08</f>
        <v>241.66666666666666</v>
      </c>
      <c r="F50" s="351">
        <f>177+74</f>
        <v>251</v>
      </c>
      <c r="G50" s="351">
        <f>166+66</f>
        <v>232</v>
      </c>
      <c r="H50" s="351">
        <f>146+72</f>
        <v>218</v>
      </c>
      <c r="I50" s="351">
        <f>198+63</f>
        <v>261</v>
      </c>
      <c r="J50" s="351">
        <f>195+92</f>
        <v>287</v>
      </c>
      <c r="K50" s="351">
        <f>184+76</f>
        <v>260</v>
      </c>
      <c r="L50" s="351">
        <f>168+78</f>
        <v>246</v>
      </c>
      <c r="M50" s="351">
        <f>192+71</f>
        <v>263</v>
      </c>
      <c r="N50" s="351">
        <f>177+97</f>
        <v>274</v>
      </c>
      <c r="O50" s="351">
        <v>233</v>
      </c>
      <c r="P50" s="351">
        <v>252</v>
      </c>
      <c r="Q50" s="351">
        <v>254</v>
      </c>
      <c r="R50" s="351">
        <v>249</v>
      </c>
      <c r="S50" s="351">
        <v>263</v>
      </c>
      <c r="T50" s="351">
        <v>266</v>
      </c>
      <c r="U50" s="351">
        <v>293</v>
      </c>
      <c r="V50" s="349">
        <v>285</v>
      </c>
      <c r="W50" s="349">
        <v>318</v>
      </c>
      <c r="X50" s="349">
        <v>353</v>
      </c>
      <c r="Y50" s="349">
        <v>324</v>
      </c>
      <c r="Z50" s="349">
        <v>347</v>
      </c>
      <c r="AA50" s="349">
        <v>348</v>
      </c>
      <c r="AB50" s="349">
        <v>330</v>
      </c>
      <c r="AC50" s="349">
        <v>362</v>
      </c>
      <c r="AD50" s="349">
        <v>387</v>
      </c>
      <c r="AE50" s="351">
        <v>400</v>
      </c>
      <c r="AF50" s="351">
        <v>420</v>
      </c>
      <c r="AG50" s="351">
        <v>420</v>
      </c>
      <c r="AH50" s="351">
        <v>461</v>
      </c>
      <c r="AI50" s="351">
        <v>501</v>
      </c>
      <c r="AJ50" s="351">
        <v>474</v>
      </c>
      <c r="AK50" s="351">
        <v>462</v>
      </c>
      <c r="AL50" s="351">
        <v>473</v>
      </c>
      <c r="AM50" s="351">
        <v>504</v>
      </c>
      <c r="AN50" s="313">
        <v>522</v>
      </c>
      <c r="AO50" s="313">
        <v>505</v>
      </c>
      <c r="AP50" s="313">
        <v>542</v>
      </c>
      <c r="AQ50" s="313">
        <v>549</v>
      </c>
      <c r="AR50" s="313">
        <v>596</v>
      </c>
      <c r="AS50" s="313">
        <v>585</v>
      </c>
      <c r="AT50" s="313">
        <v>643</v>
      </c>
      <c r="AU50" s="313">
        <v>615</v>
      </c>
      <c r="AV50" s="313">
        <v>674</v>
      </c>
      <c r="AW50" s="313">
        <v>667</v>
      </c>
      <c r="AX50" s="313">
        <v>579</v>
      </c>
      <c r="AY50" s="313">
        <v>541</v>
      </c>
      <c r="AZ50" s="313">
        <v>610</v>
      </c>
      <c r="BA50" s="313">
        <v>634</v>
      </c>
      <c r="BB50" s="313">
        <v>655</v>
      </c>
      <c r="BC50" s="313">
        <v>597</v>
      </c>
      <c r="BD50" s="313">
        <v>616</v>
      </c>
      <c r="BE50" s="313">
        <v>613</v>
      </c>
      <c r="BF50" s="313">
        <v>644</v>
      </c>
      <c r="BG50" s="313">
        <v>637</v>
      </c>
      <c r="BH50" s="313">
        <v>681</v>
      </c>
      <c r="BI50" s="313">
        <v>664</v>
      </c>
      <c r="BJ50" s="313">
        <v>670</v>
      </c>
      <c r="BK50" s="313">
        <v>670</v>
      </c>
      <c r="BL50" s="313">
        <v>673</v>
      </c>
      <c r="BM50" s="313">
        <v>629</v>
      </c>
      <c r="BN50" s="313">
        <v>644</v>
      </c>
      <c r="BO50" s="313">
        <v>600</v>
      </c>
      <c r="BP50" s="313">
        <v>589</v>
      </c>
      <c r="BQ50" s="313">
        <v>557</v>
      </c>
      <c r="BR50" s="313">
        <v>563</v>
      </c>
      <c r="BS50" s="313">
        <v>512</v>
      </c>
      <c r="BT50" s="313">
        <v>558</v>
      </c>
      <c r="BU50" s="313">
        <f>+BQ50*0.95</f>
        <v>529.15</v>
      </c>
      <c r="BV50" s="313">
        <f t="shared" ref="BV50:BZ50" si="236">+BR50*0.95</f>
        <v>534.85</v>
      </c>
      <c r="BW50" s="313">
        <f t="shared" si="236"/>
        <v>486.4</v>
      </c>
      <c r="BX50" s="313">
        <f t="shared" si="236"/>
        <v>530.1</v>
      </c>
      <c r="BY50" s="313">
        <f t="shared" si="236"/>
        <v>502.69249999999994</v>
      </c>
      <c r="BZ50" s="313">
        <f t="shared" si="236"/>
        <v>508.10750000000002</v>
      </c>
      <c r="CA50" s="313"/>
      <c r="CB50" s="313"/>
      <c r="CC50" s="313"/>
      <c r="CD50" s="313"/>
      <c r="CE50" s="313"/>
      <c r="CF50" s="313"/>
      <c r="CG50" s="313"/>
      <c r="CH50" s="313"/>
      <c r="CI50" s="313"/>
      <c r="CJ50" s="313"/>
      <c r="CK50" s="313"/>
      <c r="CL50" s="313"/>
      <c r="CM50" s="313"/>
      <c r="CN50" s="313"/>
      <c r="CO50" s="313"/>
      <c r="CP50" s="313"/>
      <c r="CQ50" s="313"/>
      <c r="CR50" s="313"/>
      <c r="CS50" s="313"/>
      <c r="CT50" s="313"/>
      <c r="CU50" s="313"/>
      <c r="CV50" s="313"/>
      <c r="CW50" s="313"/>
      <c r="CX50" s="313"/>
      <c r="CY50" s="313"/>
      <c r="CZ50" s="313"/>
      <c r="DA50" s="313"/>
      <c r="DB50" s="313"/>
      <c r="DC50" s="313"/>
      <c r="DD50" s="313"/>
      <c r="DE50" s="313"/>
      <c r="DF50" s="313"/>
      <c r="DH50" s="367"/>
      <c r="DI50" s="367"/>
      <c r="DJ50" s="367"/>
      <c r="DK50" s="367"/>
      <c r="DL50" s="367"/>
      <c r="DM50" s="367"/>
      <c r="DN50" s="367"/>
      <c r="DO50" s="305">
        <f>+DP50/1.15</f>
        <v>811.34734068372518</v>
      </c>
      <c r="DP50" s="305">
        <f>SUM(C50:F50)</f>
        <v>933.04944178628386</v>
      </c>
      <c r="DQ50" s="305">
        <f>SUM(G50:J50)</f>
        <v>998</v>
      </c>
      <c r="DR50" s="305">
        <f>SUM(K50:N50)</f>
        <v>1043</v>
      </c>
      <c r="DS50" s="305">
        <f t="shared" si="179"/>
        <v>988</v>
      </c>
      <c r="DT50" s="305">
        <f t="shared" si="180"/>
        <v>1107</v>
      </c>
      <c r="DU50" s="305">
        <f t="shared" si="181"/>
        <v>1342</v>
      </c>
      <c r="DV50" s="305">
        <f t="shared" si="182"/>
        <v>1427</v>
      </c>
      <c r="DW50" s="305">
        <f t="shared" si="183"/>
        <v>1701</v>
      </c>
      <c r="DX50" s="305">
        <f t="shared" si="184"/>
        <v>1910</v>
      </c>
      <c r="DY50" s="305">
        <f t="shared" si="156"/>
        <v>2073</v>
      </c>
      <c r="DZ50" s="305">
        <f t="shared" si="157"/>
        <v>2373</v>
      </c>
      <c r="EA50" s="305">
        <f t="shared" si="158"/>
        <v>2535</v>
      </c>
      <c r="EB50" s="305">
        <f t="shared" si="159"/>
        <v>2440</v>
      </c>
      <c r="EC50" s="305">
        <f t="shared" si="160"/>
        <v>2470</v>
      </c>
      <c r="ED50" s="305">
        <f t="shared" si="185"/>
        <v>2652</v>
      </c>
      <c r="EE50" s="305">
        <f t="shared" si="161"/>
        <v>2616</v>
      </c>
      <c r="EF50" s="305">
        <f t="shared" si="186"/>
        <v>2309</v>
      </c>
      <c r="EG50" s="305">
        <f>+EF50*0.995</f>
        <v>2297.4549999999999</v>
      </c>
      <c r="EH50" s="305">
        <f t="shared" ref="EH50:EQ50" si="237">+EG50*0.995</f>
        <v>2285.967725</v>
      </c>
      <c r="EI50" s="305">
        <f t="shared" si="237"/>
        <v>2274.5378863749997</v>
      </c>
      <c r="EJ50" s="305">
        <f t="shared" si="237"/>
        <v>2263.1651969431246</v>
      </c>
      <c r="EK50" s="305">
        <f t="shared" si="237"/>
        <v>2251.8493709584091</v>
      </c>
      <c r="EL50" s="305">
        <f t="shared" si="237"/>
        <v>2240.5901241036172</v>
      </c>
      <c r="EM50" s="305"/>
      <c r="EN50" s="305"/>
      <c r="EO50" s="305"/>
      <c r="EP50" s="305"/>
      <c r="EQ50" s="305"/>
      <c r="ER50" s="305"/>
      <c r="ES50" s="305"/>
      <c r="ET50" s="305"/>
      <c r="EU50" s="305"/>
      <c r="EV50" s="305"/>
      <c r="EW50" s="305"/>
      <c r="EZ50" s="360" t="s">
        <v>1509</v>
      </c>
    </row>
    <row r="51" spans="1:159" s="355" customFormat="1" ht="12.75" customHeight="1" x14ac:dyDescent="0.2">
      <c r="B51" s="134" t="s">
        <v>1164</v>
      </c>
      <c r="C51" s="351">
        <f>G51/0.94</f>
        <v>255.31914893617022</v>
      </c>
      <c r="D51" s="351">
        <f>H51/0.92</f>
        <v>259.78260869565219</v>
      </c>
      <c r="E51" s="351">
        <f>I51/0.94</f>
        <v>238.29787234042556</v>
      </c>
      <c r="F51" s="351">
        <f>141+141</f>
        <v>282</v>
      </c>
      <c r="G51" s="351">
        <f>120+120</f>
        <v>240</v>
      </c>
      <c r="H51" s="351">
        <f>116+123</f>
        <v>239</v>
      </c>
      <c r="I51" s="351">
        <f>109+115</f>
        <v>224</v>
      </c>
      <c r="J51" s="351">
        <f>141+144</f>
        <v>285</v>
      </c>
      <c r="K51" s="351">
        <f>114+120</f>
        <v>234</v>
      </c>
      <c r="L51" s="351">
        <f>121+118</f>
        <v>239</v>
      </c>
      <c r="M51" s="351">
        <f>108+118</f>
        <v>226</v>
      </c>
      <c r="N51" s="351">
        <f>114+127</f>
        <v>241</v>
      </c>
      <c r="O51" s="351">
        <v>249</v>
      </c>
      <c r="P51" s="351">
        <v>250</v>
      </c>
      <c r="Q51" s="351">
        <v>238</v>
      </c>
      <c r="R51" s="351">
        <v>241</v>
      </c>
      <c r="S51" s="351">
        <v>263</v>
      </c>
      <c r="T51" s="351">
        <v>254</v>
      </c>
      <c r="U51" s="351">
        <v>254</v>
      </c>
      <c r="V51" s="349">
        <v>252</v>
      </c>
      <c r="W51" s="349">
        <v>269</v>
      </c>
      <c r="X51" s="349">
        <v>269</v>
      </c>
      <c r="Y51" s="349">
        <v>274</v>
      </c>
      <c r="Z51" s="349">
        <v>282</v>
      </c>
      <c r="AA51" s="349">
        <v>286</v>
      </c>
      <c r="AB51" s="349">
        <v>294</v>
      </c>
      <c r="AC51" s="349">
        <v>287</v>
      </c>
      <c r="AD51" s="349">
        <v>309</v>
      </c>
      <c r="AE51" s="351">
        <v>303</v>
      </c>
      <c r="AF51" s="351">
        <v>317</v>
      </c>
      <c r="AG51" s="351">
        <v>309</v>
      </c>
      <c r="AH51" s="351">
        <v>344</v>
      </c>
      <c r="AI51" s="351">
        <v>355</v>
      </c>
      <c r="AJ51" s="351">
        <v>366</v>
      </c>
      <c r="AK51" s="351">
        <v>343</v>
      </c>
      <c r="AL51" s="351">
        <v>344</v>
      </c>
      <c r="AM51" s="351">
        <v>370</v>
      </c>
      <c r="AN51" s="313">
        <v>368</v>
      </c>
      <c r="AO51" s="313">
        <v>360</v>
      </c>
      <c r="AP51" s="313">
        <v>390</v>
      </c>
      <c r="AQ51" s="313">
        <v>393</v>
      </c>
      <c r="AR51" s="313">
        <v>406</v>
      </c>
      <c r="AS51" s="313">
        <v>404</v>
      </c>
      <c r="AT51" s="313">
        <v>456</v>
      </c>
      <c r="AU51" s="313">
        <v>443</v>
      </c>
      <c r="AV51" s="313">
        <v>476</v>
      </c>
      <c r="AW51" s="313">
        <v>470</v>
      </c>
      <c r="AX51" s="313">
        <v>452</v>
      </c>
      <c r="AY51" s="313">
        <v>467</v>
      </c>
      <c r="AZ51" s="313">
        <v>494</v>
      </c>
      <c r="BA51" s="313">
        <v>501</v>
      </c>
      <c r="BB51" s="313">
        <v>501</v>
      </c>
      <c r="BC51" s="313">
        <v>525</v>
      </c>
      <c r="BD51" s="313">
        <v>494</v>
      </c>
      <c r="BE51" s="313">
        <v>498</v>
      </c>
      <c r="BF51" s="313">
        <v>536</v>
      </c>
      <c r="BG51" s="313">
        <v>521</v>
      </c>
      <c r="BH51" s="313">
        <v>550</v>
      </c>
      <c r="BI51" s="313">
        <v>539</v>
      </c>
      <c r="BJ51" s="313">
        <v>554</v>
      </c>
      <c r="BK51" s="313">
        <v>512</v>
      </c>
      <c r="BL51" s="313">
        <v>514</v>
      </c>
      <c r="BM51" s="313">
        <v>513</v>
      </c>
      <c r="BN51" s="313">
        <v>530</v>
      </c>
      <c r="BO51" s="313">
        <v>477</v>
      </c>
      <c r="BP51" s="313">
        <v>483</v>
      </c>
      <c r="BQ51" s="313">
        <v>459</v>
      </c>
      <c r="BR51" s="313">
        <v>466</v>
      </c>
      <c r="BS51" s="313">
        <v>443</v>
      </c>
      <c r="BT51" s="313">
        <v>461</v>
      </c>
      <c r="BU51" s="313"/>
      <c r="BV51" s="313"/>
      <c r="BW51" s="313"/>
      <c r="BX51" s="313"/>
      <c r="BY51" s="313"/>
      <c r="BZ51" s="313"/>
      <c r="CA51" s="313"/>
      <c r="CB51" s="313"/>
      <c r="CC51" s="313"/>
      <c r="CD51" s="313"/>
      <c r="CE51" s="313"/>
      <c r="CF51" s="313"/>
      <c r="CG51" s="313"/>
      <c r="CH51" s="313"/>
      <c r="CI51" s="313"/>
      <c r="CJ51" s="313"/>
      <c r="CK51" s="313"/>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+DP51/0.96</f>
        <v>1083.3333333333335</v>
      </c>
      <c r="DP51" s="305">
        <v>1040</v>
      </c>
      <c r="DQ51" s="305">
        <f>SUM(G51:J51)</f>
        <v>988</v>
      </c>
      <c r="DR51" s="305">
        <f>SUM(K51:N51)</f>
        <v>940</v>
      </c>
      <c r="DS51" s="305">
        <f t="shared" si="179"/>
        <v>978</v>
      </c>
      <c r="DT51" s="305">
        <f t="shared" si="180"/>
        <v>1023</v>
      </c>
      <c r="DU51" s="305">
        <f t="shared" si="181"/>
        <v>1094</v>
      </c>
      <c r="DV51" s="305">
        <f t="shared" si="182"/>
        <v>1176</v>
      </c>
      <c r="DW51" s="305">
        <f t="shared" si="183"/>
        <v>1273</v>
      </c>
      <c r="DX51" s="305">
        <f t="shared" si="184"/>
        <v>1408</v>
      </c>
      <c r="DY51" s="305">
        <f t="shared" si="156"/>
        <v>1488</v>
      </c>
      <c r="DZ51" s="305">
        <f t="shared" si="157"/>
        <v>1659</v>
      </c>
      <c r="EA51" s="305">
        <f t="shared" si="158"/>
        <v>1841</v>
      </c>
      <c r="EB51" s="305">
        <f t="shared" si="159"/>
        <v>1963</v>
      </c>
      <c r="EC51" s="305">
        <f t="shared" si="160"/>
        <v>2053</v>
      </c>
      <c r="ED51" s="305">
        <f t="shared" si="185"/>
        <v>2164</v>
      </c>
      <c r="EE51" s="305">
        <f t="shared" si="161"/>
        <v>2069</v>
      </c>
      <c r="EF51" s="305">
        <f t="shared" si="186"/>
        <v>1885</v>
      </c>
      <c r="EG51" s="305">
        <f>+EF51*0.995</f>
        <v>1875.575</v>
      </c>
      <c r="EH51" s="305">
        <f t="shared" ref="EH51:EQ51" si="238">+EG51*0.995</f>
        <v>1866.1971250000001</v>
      </c>
      <c r="EI51" s="305">
        <f t="shared" si="238"/>
        <v>1856.8661393750001</v>
      </c>
      <c r="EJ51" s="305">
        <f t="shared" si="238"/>
        <v>1847.5818086781251</v>
      </c>
      <c r="EK51" s="305">
        <f t="shared" si="238"/>
        <v>1838.3438996347345</v>
      </c>
      <c r="EL51" s="305">
        <f t="shared" si="238"/>
        <v>1829.1521801365609</v>
      </c>
      <c r="EM51" s="305"/>
      <c r="EN51" s="305"/>
      <c r="EO51" s="305"/>
      <c r="EP51" s="305"/>
      <c r="EQ51" s="305"/>
      <c r="ER51" s="305"/>
      <c r="ES51" s="305"/>
      <c r="ET51" s="305"/>
      <c r="EU51" s="305"/>
      <c r="EV51" s="305"/>
      <c r="EW51" s="305"/>
      <c r="EZ51" s="360" t="s">
        <v>1647</v>
      </c>
    </row>
    <row r="52" spans="1:159" ht="12.75" customHeight="1" x14ac:dyDescent="0.2">
      <c r="B52" s="20" t="s">
        <v>355</v>
      </c>
      <c r="C52" s="351">
        <f>G52/1.03</f>
        <v>200.97087378640776</v>
      </c>
      <c r="D52" s="351">
        <f>H52/1</f>
        <v>210</v>
      </c>
      <c r="E52" s="351">
        <f>H52/0.95</f>
        <v>221.05263157894737</v>
      </c>
      <c r="F52" s="351">
        <f>99+107</f>
        <v>206</v>
      </c>
      <c r="G52" s="351">
        <f>100+107</f>
        <v>207</v>
      </c>
      <c r="H52" s="351">
        <f>94+116</f>
        <v>210</v>
      </c>
      <c r="I52" s="351">
        <f>95+122</f>
        <v>217</v>
      </c>
      <c r="J52" s="351">
        <f>92+128</f>
        <v>220</v>
      </c>
      <c r="K52" s="351">
        <v>221</v>
      </c>
      <c r="L52" s="351">
        <v>234</v>
      </c>
      <c r="M52" s="351">
        <v>249</v>
      </c>
      <c r="N52" s="351">
        <v>233</v>
      </c>
      <c r="O52" s="351">
        <v>242</v>
      </c>
      <c r="P52" s="351">
        <v>255</v>
      </c>
      <c r="Q52" s="351">
        <v>274</v>
      </c>
      <c r="R52" s="351">
        <v>260</v>
      </c>
      <c r="S52" s="351">
        <v>264</v>
      </c>
      <c r="T52" s="351">
        <v>265</v>
      </c>
      <c r="U52" s="351">
        <v>282</v>
      </c>
      <c r="V52" s="349">
        <v>252</v>
      </c>
      <c r="W52" s="349">
        <v>270</v>
      </c>
      <c r="X52" s="349">
        <v>288</v>
      </c>
      <c r="Y52" s="349">
        <v>312</v>
      </c>
      <c r="Z52" s="349">
        <v>298</v>
      </c>
      <c r="AA52" s="349">
        <v>300</v>
      </c>
      <c r="AB52" s="349">
        <v>317</v>
      </c>
      <c r="AC52" s="349">
        <v>342</v>
      </c>
      <c r="AD52" s="349">
        <v>339</v>
      </c>
      <c r="AE52" s="351">
        <v>354</v>
      </c>
      <c r="AF52" s="351">
        <v>377</v>
      </c>
      <c r="AG52" s="351">
        <v>392</v>
      </c>
      <c r="AH52" s="351">
        <v>407</v>
      </c>
      <c r="AI52" s="351">
        <v>407</v>
      </c>
      <c r="AJ52" s="351">
        <v>426</v>
      </c>
      <c r="AK52" s="351">
        <v>443</v>
      </c>
      <c r="AL52" s="351">
        <v>418</v>
      </c>
      <c r="AM52" s="351">
        <v>441</v>
      </c>
      <c r="AN52" s="313">
        <v>474</v>
      </c>
      <c r="AO52" s="313">
        <v>493</v>
      </c>
      <c r="AP52" s="313">
        <v>471</v>
      </c>
      <c r="AQ52" s="313">
        <v>513</v>
      </c>
      <c r="AR52" s="313">
        <v>553</v>
      </c>
      <c r="AS52" s="313">
        <v>577</v>
      </c>
      <c r="AT52" s="313">
        <v>566</v>
      </c>
      <c r="AU52" s="313">
        <v>607</v>
      </c>
      <c r="AV52" s="313">
        <v>639</v>
      </c>
      <c r="AW52" s="313">
        <v>652</v>
      </c>
      <c r="AX52" s="313">
        <v>602</v>
      </c>
      <c r="AY52" s="313">
        <v>599</v>
      </c>
      <c r="AZ52" s="313">
        <v>630</v>
      </c>
      <c r="BA52" s="313">
        <v>659</v>
      </c>
      <c r="BB52" s="313">
        <v>618</v>
      </c>
      <c r="BC52" s="313">
        <v>664</v>
      </c>
      <c r="BD52" s="313">
        <v>662</v>
      </c>
      <c r="BE52" s="313">
        <v>695</v>
      </c>
      <c r="BF52" s="313">
        <v>659</v>
      </c>
      <c r="BG52" s="313">
        <v>722</v>
      </c>
      <c r="BH52" s="313">
        <v>732</v>
      </c>
      <c r="BI52" s="313">
        <v>752</v>
      </c>
      <c r="BJ52" s="313">
        <v>710</v>
      </c>
      <c r="BK52" s="313">
        <v>757</v>
      </c>
      <c r="BL52" s="313">
        <v>730</v>
      </c>
      <c r="BM52" s="313">
        <v>764</v>
      </c>
      <c r="BN52" s="313">
        <v>745</v>
      </c>
      <c r="BO52" s="313">
        <v>740</v>
      </c>
      <c r="BP52" s="313">
        <v>730</v>
      </c>
      <c r="BQ52" s="313">
        <v>748</v>
      </c>
      <c r="BR52" s="313">
        <v>719</v>
      </c>
      <c r="BS52" s="313">
        <v>761</v>
      </c>
      <c r="BT52" s="313">
        <v>707</v>
      </c>
      <c r="BU52" s="313">
        <f>+BQ52*0.95</f>
        <v>710.6</v>
      </c>
      <c r="BV52" s="313">
        <f t="shared" ref="BV52:BZ52" si="239">+BR52*0.95</f>
        <v>683.05</v>
      </c>
      <c r="BW52" s="313">
        <f t="shared" si="239"/>
        <v>722.94999999999993</v>
      </c>
      <c r="BX52" s="313">
        <f t="shared" si="239"/>
        <v>671.65</v>
      </c>
      <c r="BY52" s="313">
        <f t="shared" si="239"/>
        <v>675.06999999999994</v>
      </c>
      <c r="BZ52" s="313">
        <f t="shared" si="239"/>
        <v>648.89749999999992</v>
      </c>
      <c r="CA52" s="313"/>
      <c r="CB52" s="313"/>
      <c r="CC52" s="313"/>
      <c r="CD52" s="313"/>
      <c r="CE52" s="313"/>
      <c r="CF52" s="313"/>
      <c r="CG52" s="313"/>
      <c r="CH52" s="313"/>
      <c r="CI52" s="313"/>
      <c r="CJ52" s="313"/>
      <c r="CK52" s="313"/>
      <c r="CL52" s="313"/>
      <c r="CM52" s="313"/>
      <c r="CN52" s="313"/>
      <c r="CO52" s="313"/>
      <c r="CP52" s="313"/>
      <c r="CQ52" s="313">
        <v>1067</v>
      </c>
      <c r="CR52" s="313">
        <v>695</v>
      </c>
      <c r="CS52" s="313">
        <v>1081</v>
      </c>
      <c r="CT52" s="313">
        <v>1076</v>
      </c>
      <c r="CU52" s="313">
        <v>1145</v>
      </c>
      <c r="CV52" s="313">
        <v>1183</v>
      </c>
      <c r="CW52" s="313">
        <v>1189</v>
      </c>
      <c r="CX52" s="313">
        <v>1171</v>
      </c>
      <c r="CY52" s="313">
        <v>1257</v>
      </c>
      <c r="CZ52" s="313">
        <f t="shared" ref="CZ52:DF52" si="240">+CV52*1.02</f>
        <v>1206.6600000000001</v>
      </c>
      <c r="DA52" s="313">
        <f t="shared" si="240"/>
        <v>1212.78</v>
      </c>
      <c r="DB52" s="313">
        <f t="shared" si="240"/>
        <v>1194.42</v>
      </c>
      <c r="DC52" s="313">
        <f t="shared" si="240"/>
        <v>1282.1400000000001</v>
      </c>
      <c r="DD52" s="313">
        <f t="shared" si="240"/>
        <v>1230.7932000000001</v>
      </c>
      <c r="DE52" s="313">
        <f t="shared" si="240"/>
        <v>1237.0355999999999</v>
      </c>
      <c r="DF52" s="313">
        <f t="shared" si="240"/>
        <v>1218.3084000000001</v>
      </c>
      <c r="DH52" s="367"/>
      <c r="DI52" s="367"/>
      <c r="DJ52" s="367"/>
      <c r="DK52" s="367"/>
      <c r="DL52" s="367"/>
      <c r="DM52" s="367"/>
      <c r="DN52" s="367"/>
      <c r="DO52" s="305">
        <f>+DP52/1.17</f>
        <v>723.07692307692309</v>
      </c>
      <c r="DP52" s="305">
        <f>427+419</f>
        <v>846</v>
      </c>
      <c r="DQ52" s="305">
        <f>SUM(G52:J52)</f>
        <v>854</v>
      </c>
      <c r="DR52" s="305">
        <v>953</v>
      </c>
      <c r="DS52" s="305">
        <f t="shared" si="179"/>
        <v>1031</v>
      </c>
      <c r="DT52" s="305">
        <f t="shared" si="180"/>
        <v>1063</v>
      </c>
      <c r="DU52" s="305">
        <f t="shared" si="181"/>
        <v>1168</v>
      </c>
      <c r="DV52" s="305">
        <f t="shared" si="182"/>
        <v>1298</v>
      </c>
      <c r="DW52" s="305">
        <f t="shared" si="183"/>
        <v>1530</v>
      </c>
      <c r="DX52" s="305">
        <f t="shared" si="184"/>
        <v>1694</v>
      </c>
      <c r="DY52" s="305">
        <f t="shared" si="156"/>
        <v>1879</v>
      </c>
      <c r="DZ52" s="305">
        <f t="shared" si="157"/>
        <v>2209</v>
      </c>
      <c r="EA52" s="305">
        <f t="shared" si="158"/>
        <v>2500</v>
      </c>
      <c r="EB52" s="305">
        <f t="shared" si="159"/>
        <v>2506</v>
      </c>
      <c r="EC52" s="305">
        <f t="shared" si="160"/>
        <v>2680</v>
      </c>
      <c r="ED52" s="305">
        <f>SUM(BG52:BJ52)</f>
        <v>2916</v>
      </c>
      <c r="EE52" s="305">
        <f>SUM(BK52:BN52)</f>
        <v>2996</v>
      </c>
      <c r="EF52" s="305">
        <f t="shared" si="186"/>
        <v>2937</v>
      </c>
      <c r="EG52" s="305">
        <f>+EF52*0.995</f>
        <v>2922.3150000000001</v>
      </c>
      <c r="EH52" s="305">
        <f t="shared" ref="EH52:EQ52" si="241">+EG52*0.995</f>
        <v>2907.7034250000002</v>
      </c>
      <c r="EI52" s="305">
        <f t="shared" si="241"/>
        <v>2893.1649078750002</v>
      </c>
      <c r="EJ52" s="305">
        <f t="shared" si="241"/>
        <v>2878.6990833356253</v>
      </c>
      <c r="EK52" s="305">
        <f t="shared" si="241"/>
        <v>2864.3055879189474</v>
      </c>
      <c r="EL52" s="305">
        <f t="shared" si="241"/>
        <v>2849.9840599793524</v>
      </c>
      <c r="EM52" s="305">
        <f t="shared" si="82"/>
        <v>3919</v>
      </c>
      <c r="EN52" s="305">
        <f t="shared" si="70"/>
        <v>4688</v>
      </c>
      <c r="EO52" s="305">
        <f t="shared" si="163"/>
        <v>4870.8599999999997</v>
      </c>
      <c r="EP52" s="305">
        <f t="shared" si="241"/>
        <v>4846.5056999999997</v>
      </c>
      <c r="EQ52" s="305">
        <f t="shared" si="241"/>
        <v>4822.2731715</v>
      </c>
      <c r="ER52" s="305">
        <f t="shared" ref="ER50:ER52" si="242">+EQ52*0.995</f>
        <v>4798.1618056424995</v>
      </c>
      <c r="ES52" s="305">
        <f t="shared" ref="ES50:ES52" si="243">+ER52*0.995</f>
        <v>4774.1709966142871</v>
      </c>
      <c r="ET52" s="305">
        <f t="shared" ref="ET50:ET52" si="244">+ES52*0.995</f>
        <v>4750.3001416312154</v>
      </c>
      <c r="EU52" s="305">
        <f t="shared" ref="EU50:EU52" si="245">+ET52*0.995</f>
        <v>4726.5486409230589</v>
      </c>
      <c r="EV52" s="305">
        <f t="shared" ref="EV50:EV52" si="246">+EU52*0.995</f>
        <v>4702.9158977184434</v>
      </c>
      <c r="EW52" s="305">
        <f t="shared" ref="EW50:EW52" si="247">+EV52*0.995</f>
        <v>4679.4013182298513</v>
      </c>
      <c r="EZ52" s="360" t="s">
        <v>1508</v>
      </c>
      <c r="FC52" s="375"/>
    </row>
    <row r="53" spans="1:159" ht="12.75" customHeight="1" x14ac:dyDescent="0.2">
      <c r="B53" s="20" t="s">
        <v>356</v>
      </c>
      <c r="C53" s="351"/>
      <c r="D53" s="351"/>
      <c r="E53" s="351"/>
      <c r="F53" s="351"/>
      <c r="G53" s="351"/>
      <c r="H53" s="351"/>
      <c r="I53" s="351"/>
      <c r="J53" s="351"/>
      <c r="K53" s="351">
        <v>161</v>
      </c>
      <c r="L53" s="351">
        <v>168</v>
      </c>
      <c r="M53" s="351">
        <v>161</v>
      </c>
      <c r="N53" s="351">
        <v>214</v>
      </c>
      <c r="O53" s="351">
        <v>153</v>
      </c>
      <c r="P53" s="351">
        <v>146</v>
      </c>
      <c r="Q53" s="351">
        <v>154</v>
      </c>
      <c r="R53" s="351">
        <v>144</v>
      </c>
      <c r="S53" s="351">
        <v>141</v>
      </c>
      <c r="T53" s="351">
        <v>131</v>
      </c>
      <c r="U53" s="351">
        <v>99</v>
      </c>
      <c r="V53" s="349">
        <v>18</v>
      </c>
      <c r="W53" s="349">
        <v>30</v>
      </c>
      <c r="X53" s="349">
        <v>33</v>
      </c>
      <c r="Y53" s="349">
        <v>35</v>
      </c>
      <c r="Z53" s="349">
        <v>26</v>
      </c>
      <c r="AA53" s="349">
        <v>19</v>
      </c>
      <c r="AB53" s="349">
        <v>19</v>
      </c>
      <c r="AC53" s="349">
        <v>17</v>
      </c>
      <c r="AD53" s="349">
        <v>18</v>
      </c>
      <c r="AE53" s="351">
        <f>4136-SUM(AE44:AE52)</f>
        <v>17</v>
      </c>
      <c r="AF53" s="351">
        <f>4057-SUM(AF44:AF52)</f>
        <v>14</v>
      </c>
      <c r="AG53" s="351">
        <f>4044-SUM(AG44:AG52)</f>
        <v>18</v>
      </c>
      <c r="AH53" s="351">
        <f>4650-SUM(AH44:AH52)</f>
        <v>16</v>
      </c>
      <c r="AI53" s="351">
        <f>4797-SUM(AI44:AI52)</f>
        <v>18</v>
      </c>
      <c r="AJ53" s="351">
        <f>4856-SUM(AJ44:AJ52)</f>
        <v>13</v>
      </c>
      <c r="AK53" s="351">
        <f>4622-SUM(AK44:AK52)</f>
        <v>15</v>
      </c>
      <c r="AL53" s="351">
        <f>4821-SUM(AL44:AL52)</f>
        <v>12</v>
      </c>
      <c r="AM53" s="351">
        <f>5011-SUM(AM44:AM52)</f>
        <v>14</v>
      </c>
      <c r="AN53" s="313">
        <f>5155-SUM(AN44:AN52)</f>
        <v>15</v>
      </c>
      <c r="AO53" s="313">
        <f>4950-SUM(AO44:AO52)</f>
        <v>16</v>
      </c>
      <c r="AP53" s="313">
        <f>5167-SUM(AP44:AP52)</f>
        <v>16</v>
      </c>
      <c r="AQ53" s="313">
        <f>5320-SUM(AQ44:AQ52)</f>
        <v>19</v>
      </c>
      <c r="AR53" s="313">
        <f>5418-SUM(AR44:AR52)</f>
        <v>18</v>
      </c>
      <c r="AS53" s="313">
        <f>5248-SUM(AS44:AS52)</f>
        <v>20</v>
      </c>
      <c r="AT53" s="313"/>
      <c r="AU53" s="313"/>
      <c r="AV53" s="313"/>
      <c r="AW53" s="313"/>
      <c r="AX53" s="313"/>
      <c r="AY53" s="313"/>
      <c r="AZ53" s="313"/>
      <c r="BA53" s="313"/>
      <c r="BB53" s="313"/>
      <c r="BC53" s="313"/>
      <c r="BD53" s="313"/>
      <c r="BE53" s="313"/>
      <c r="BF53" s="313"/>
      <c r="BG53" s="313"/>
      <c r="BH53" s="313"/>
      <c r="BI53" s="313"/>
      <c r="BJ53" s="313"/>
      <c r="BK53" s="313"/>
      <c r="BL53" s="313"/>
      <c r="BM53" s="313"/>
      <c r="BN53" s="313"/>
      <c r="BO53" s="313"/>
      <c r="BP53" s="313"/>
      <c r="BQ53" s="313"/>
      <c r="BR53" s="313"/>
      <c r="BS53" s="313"/>
      <c r="BT53" s="313"/>
      <c r="BU53" s="313"/>
      <c r="BV53" s="313"/>
      <c r="BW53" s="313"/>
      <c r="BX53" s="313"/>
      <c r="BY53" s="313"/>
      <c r="BZ53" s="313"/>
      <c r="CA53" s="313"/>
      <c r="CB53" s="313"/>
      <c r="CC53" s="313"/>
      <c r="CD53" s="313"/>
      <c r="CE53" s="313"/>
      <c r="CF53" s="313"/>
      <c r="CG53" s="313"/>
      <c r="CH53" s="313"/>
      <c r="CI53" s="313"/>
      <c r="CJ53" s="313"/>
      <c r="CK53" s="313"/>
      <c r="CL53" s="313"/>
      <c r="CM53" s="313"/>
      <c r="CN53" s="313"/>
      <c r="CO53" s="313"/>
      <c r="CP53" s="313"/>
      <c r="CQ53" s="313"/>
      <c r="CR53" s="313"/>
      <c r="CS53" s="313"/>
      <c r="CT53" s="313"/>
      <c r="CU53" s="313"/>
      <c r="CV53" s="313"/>
      <c r="CW53" s="313"/>
      <c r="CX53" s="313"/>
      <c r="CY53" s="313"/>
      <c r="CZ53" s="313"/>
      <c r="DA53" s="313"/>
      <c r="DB53" s="313"/>
      <c r="DC53" s="313"/>
      <c r="DD53" s="313"/>
      <c r="DE53" s="313"/>
      <c r="DF53" s="313"/>
      <c r="DH53" s="367"/>
      <c r="DI53" s="367"/>
      <c r="DJ53" s="367"/>
      <c r="DK53" s="367"/>
      <c r="DL53" s="367"/>
      <c r="DM53" s="367"/>
      <c r="DN53" s="367"/>
      <c r="DO53" s="367"/>
      <c r="DP53" s="367"/>
      <c r="DQ53" s="305">
        <f>1011+77</f>
        <v>1088</v>
      </c>
      <c r="DR53" s="305">
        <v>1071</v>
      </c>
      <c r="DS53" s="305">
        <f t="shared" si="179"/>
        <v>597</v>
      </c>
      <c r="DT53" s="305">
        <f t="shared" si="180"/>
        <v>389</v>
      </c>
      <c r="DU53" s="305">
        <f t="shared" si="181"/>
        <v>124</v>
      </c>
      <c r="DV53" s="305">
        <f t="shared" si="182"/>
        <v>73</v>
      </c>
      <c r="DW53" s="305">
        <f t="shared" si="183"/>
        <v>65</v>
      </c>
      <c r="DX53" s="305">
        <f t="shared" si="184"/>
        <v>58</v>
      </c>
      <c r="DY53" s="305">
        <f t="shared" si="156"/>
        <v>61</v>
      </c>
      <c r="DZ53" s="305">
        <f t="shared" si="157"/>
        <v>57</v>
      </c>
      <c r="EA53" s="305"/>
      <c r="EB53" s="305"/>
      <c r="EC53" s="305"/>
      <c r="ED53" s="305"/>
      <c r="EE53" s="305"/>
      <c r="EF53" s="305"/>
      <c r="EG53" s="305"/>
      <c r="EH53" s="305"/>
      <c r="EI53" s="305"/>
      <c r="EJ53" s="305"/>
      <c r="EK53" s="305"/>
      <c r="EL53" s="305"/>
      <c r="EM53" s="305"/>
      <c r="EN53" s="305"/>
      <c r="EO53" s="305"/>
      <c r="EP53" s="305"/>
      <c r="EQ53" s="305"/>
      <c r="ER53" s="305"/>
      <c r="ES53" s="305"/>
      <c r="ET53" s="305"/>
      <c r="EU53" s="305"/>
      <c r="EV53" s="305"/>
      <c r="EW53" s="305"/>
    </row>
    <row r="54" spans="1:159" s="376" customFormat="1" ht="12.75" customHeight="1" x14ac:dyDescent="0.2">
      <c r="A54" s="58"/>
      <c r="B54" s="353" t="s">
        <v>250</v>
      </c>
      <c r="C54" s="313"/>
      <c r="D54" s="313"/>
      <c r="E54" s="313"/>
      <c r="F54" s="313"/>
      <c r="G54" s="313"/>
      <c r="H54" s="313"/>
      <c r="I54" s="313"/>
      <c r="J54" s="313"/>
      <c r="K54" s="313">
        <v>1728</v>
      </c>
      <c r="L54" s="313">
        <v>1687</v>
      </c>
      <c r="M54" s="313">
        <v>1704</v>
      </c>
      <c r="N54" s="313">
        <v>1744</v>
      </c>
      <c r="O54" s="313">
        <v>1752</v>
      </c>
      <c r="P54" s="313">
        <v>1707</v>
      </c>
      <c r="Q54" s="313">
        <v>1722</v>
      </c>
      <c r="R54" s="313">
        <v>1723</v>
      </c>
      <c r="S54" s="313">
        <v>1785</v>
      </c>
      <c r="T54" s="313">
        <v>1684</v>
      </c>
      <c r="U54" s="313">
        <v>1777</v>
      </c>
      <c r="V54" s="313">
        <v>1551</v>
      </c>
      <c r="W54" s="313">
        <v>1604</v>
      </c>
      <c r="X54" s="313">
        <v>1648</v>
      </c>
      <c r="Y54" s="313">
        <v>1661</v>
      </c>
      <c r="Z54" s="313">
        <v>1652</v>
      </c>
      <c r="AA54" s="313">
        <v>1791</v>
      </c>
      <c r="AB54" s="313">
        <v>1819</v>
      </c>
      <c r="AC54" s="313">
        <v>1841</v>
      </c>
      <c r="AD54" s="313">
        <v>1979</v>
      </c>
      <c r="AE54" s="313">
        <v>2047</v>
      </c>
      <c r="AF54" s="313">
        <v>2000</v>
      </c>
      <c r="AG54" s="313">
        <v>2024</v>
      </c>
      <c r="AH54" s="351">
        <v>2262</v>
      </c>
      <c r="AI54" s="351">
        <v>2280</v>
      </c>
      <c r="AJ54" s="351">
        <v>2278</v>
      </c>
      <c r="AK54" s="351">
        <v>2231</v>
      </c>
      <c r="AL54" s="351">
        <v>2307</v>
      </c>
      <c r="AM54" s="351">
        <v>2355</v>
      </c>
      <c r="AN54" s="313">
        <v>2398</v>
      </c>
      <c r="AO54" s="313">
        <v>2456</v>
      </c>
      <c r="AP54" s="313">
        <v>2565</v>
      </c>
      <c r="AQ54" s="313">
        <v>3496</v>
      </c>
      <c r="AR54" s="313">
        <v>3564</v>
      </c>
      <c r="AS54" s="313">
        <v>3623</v>
      </c>
      <c r="AT54" s="313">
        <v>3810</v>
      </c>
      <c r="AU54" s="313">
        <v>4064</v>
      </c>
      <c r="AV54" s="313">
        <v>4036</v>
      </c>
      <c r="AW54" s="313">
        <v>4099</v>
      </c>
      <c r="AX54" s="313">
        <v>3855</v>
      </c>
      <c r="AY54" s="313">
        <v>3711</v>
      </c>
      <c r="AZ54" s="313">
        <v>3854</v>
      </c>
      <c r="BA54" s="313">
        <v>3989</v>
      </c>
      <c r="BB54" s="313">
        <v>4249</v>
      </c>
      <c r="BC54" s="313">
        <v>3766</v>
      </c>
      <c r="BD54" s="313">
        <v>3647</v>
      </c>
      <c r="BE54" s="313">
        <v>3567</v>
      </c>
      <c r="BF54" s="313">
        <v>3610</v>
      </c>
      <c r="BG54" s="313">
        <v>3682</v>
      </c>
      <c r="BH54" s="313">
        <v>3793</v>
      </c>
      <c r="BI54" s="313">
        <v>3740</v>
      </c>
      <c r="BJ54" s="313">
        <v>3668</v>
      </c>
      <c r="BK54" s="313">
        <v>3595</v>
      </c>
      <c r="BL54" s="313">
        <v>3619</v>
      </c>
      <c r="BM54" s="313">
        <v>3581</v>
      </c>
      <c r="BN54" s="313">
        <v>3652</v>
      </c>
      <c r="BO54" s="313">
        <v>3675</v>
      </c>
      <c r="BP54" s="313">
        <v>3658</v>
      </c>
      <c r="BQ54" s="313">
        <v>3611</v>
      </c>
      <c r="BR54" s="313">
        <v>3753</v>
      </c>
      <c r="BS54" s="313">
        <v>3557</v>
      </c>
      <c r="BT54" s="313">
        <v>3744</v>
      </c>
      <c r="BU54" s="313">
        <f t="shared" ref="BU54" si="248">+BQ54*1.03</f>
        <v>3719.33</v>
      </c>
      <c r="BV54" s="313">
        <f t="shared" ref="BV54" si="249">+BR54*1.03</f>
        <v>3865.59</v>
      </c>
      <c r="BW54" s="313">
        <f t="shared" ref="BW54" si="250">+BS54*1.03</f>
        <v>3663.71</v>
      </c>
      <c r="BX54" s="313">
        <f t="shared" ref="BX54" si="251">+BT54*1.03</f>
        <v>3856.32</v>
      </c>
      <c r="BY54" s="313">
        <f t="shared" ref="BY54" si="252">+BU54*1.03</f>
        <v>3830.9099000000001</v>
      </c>
      <c r="BZ54" s="313">
        <f t="shared" ref="BZ54" si="253">+BV54*1.03</f>
        <v>3981.5577000000003</v>
      </c>
      <c r="CA54" s="313"/>
      <c r="CB54" s="313"/>
      <c r="CC54" s="313"/>
      <c r="CD54" s="313"/>
      <c r="CE54" s="313"/>
      <c r="CF54" s="313"/>
      <c r="CG54" s="313"/>
      <c r="CH54" s="313"/>
      <c r="CI54" s="313"/>
      <c r="CJ54" s="313"/>
      <c r="CK54" s="313"/>
      <c r="CL54" s="313"/>
      <c r="CM54" s="313"/>
      <c r="CN54" s="313"/>
      <c r="CO54" s="313"/>
      <c r="CP54" s="313"/>
      <c r="CQ54" s="313">
        <v>3625</v>
      </c>
      <c r="CR54" s="313">
        <v>3296</v>
      </c>
      <c r="CS54" s="313">
        <v>3514</v>
      </c>
      <c r="CT54" s="313">
        <v>3618</v>
      </c>
      <c r="CU54" s="313">
        <v>3641</v>
      </c>
      <c r="CV54" s="313">
        <v>3735</v>
      </c>
      <c r="CW54" s="313">
        <v>3700</v>
      </c>
      <c r="CX54" s="313">
        <v>3657</v>
      </c>
      <c r="CY54" s="313">
        <v>3586</v>
      </c>
      <c r="CZ54" s="313">
        <f>+CV54*1.01</f>
        <v>3772.35</v>
      </c>
      <c r="DA54" s="313">
        <f t="shared" ref="DA54:DF54" si="254">+CW54*1.01</f>
        <v>3737</v>
      </c>
      <c r="DB54" s="313">
        <f t="shared" si="254"/>
        <v>3693.57</v>
      </c>
      <c r="DC54" s="313">
        <f t="shared" si="254"/>
        <v>3621.86</v>
      </c>
      <c r="DD54" s="313">
        <f t="shared" si="254"/>
        <v>3810.0735</v>
      </c>
      <c r="DE54" s="313">
        <f t="shared" si="254"/>
        <v>3774.37</v>
      </c>
      <c r="DF54" s="313">
        <f t="shared" si="254"/>
        <v>3730.5057000000002</v>
      </c>
      <c r="DH54" s="377"/>
      <c r="DI54" s="377"/>
      <c r="DJ54" s="377"/>
      <c r="DK54" s="313">
        <v>4780</v>
      </c>
      <c r="DL54" s="313">
        <v>4824</v>
      </c>
      <c r="DM54" s="313">
        <v>5251</v>
      </c>
      <c r="DN54" s="313">
        <v>5831</v>
      </c>
      <c r="DO54" s="313">
        <v>6364</v>
      </c>
      <c r="DP54" s="313">
        <v>6498</v>
      </c>
      <c r="DQ54" s="313">
        <v>6526</v>
      </c>
      <c r="DR54" s="313">
        <v>6864</v>
      </c>
      <c r="DS54" s="313">
        <v>6904</v>
      </c>
      <c r="DT54" s="313">
        <v>6962</v>
      </c>
      <c r="DU54" s="313">
        <v>6563.9</v>
      </c>
      <c r="DV54" s="305">
        <f t="shared" si="182"/>
        <v>7430</v>
      </c>
      <c r="DW54" s="305">
        <f t="shared" si="183"/>
        <v>8333</v>
      </c>
      <c r="DX54" s="305">
        <f t="shared" si="184"/>
        <v>9096</v>
      </c>
      <c r="DY54" s="305">
        <f t="shared" si="156"/>
        <v>9774</v>
      </c>
      <c r="DZ54" s="305">
        <f t="shared" si="157"/>
        <v>14493</v>
      </c>
      <c r="EA54" s="305">
        <f>SUM(AU54:AX54)</f>
        <v>16054</v>
      </c>
      <c r="EB54" s="305">
        <f>SUM(AY54:BB54)</f>
        <v>15803</v>
      </c>
      <c r="EC54" s="313">
        <f>SUM(BC54:BF54)</f>
        <v>14590</v>
      </c>
      <c r="ED54" s="305">
        <f t="shared" si="185"/>
        <v>14883</v>
      </c>
      <c r="EE54" s="305">
        <f t="shared" si="161"/>
        <v>14447</v>
      </c>
      <c r="EF54" s="305">
        <f>SUM(BO54:BR54)</f>
        <v>14697</v>
      </c>
      <c r="EG54" s="313">
        <f t="shared" ref="EG54:EI54" si="255">EF54*1.02</f>
        <v>14990.94</v>
      </c>
      <c r="EH54" s="313">
        <f t="shared" si="255"/>
        <v>15290.758800000001</v>
      </c>
      <c r="EI54" s="313">
        <f t="shared" si="255"/>
        <v>15596.573976000001</v>
      </c>
      <c r="EJ54" s="313">
        <f t="shared" ref="EJ54" si="256">EI54*1.02</f>
        <v>15908.505455520002</v>
      </c>
      <c r="EK54" s="313">
        <f t="shared" ref="EK54" si="257">EJ54*1.02</f>
        <v>16226.675564630403</v>
      </c>
      <c r="EL54" s="313">
        <f t="shared" ref="EL54" si="258">EK54*1.02</f>
        <v>16551.209075923012</v>
      </c>
      <c r="EM54" s="305">
        <f t="shared" si="82"/>
        <v>14053</v>
      </c>
      <c r="EN54" s="305">
        <f t="shared" si="70"/>
        <v>14733</v>
      </c>
      <c r="EO54" s="305">
        <f>SUM(CY54:DB54)</f>
        <v>14788.92</v>
      </c>
      <c r="EP54" s="313">
        <f t="shared" ref="EP54" si="259">EO54*1.02</f>
        <v>15084.698400000001</v>
      </c>
      <c r="EQ54" s="313">
        <f t="shared" ref="EQ54" si="260">EP54*1.02</f>
        <v>15386.392368000001</v>
      </c>
      <c r="ER54" s="313">
        <f>+EQ54*1.03</f>
        <v>15847.984139040002</v>
      </c>
      <c r="ES54" s="313">
        <f t="shared" ref="ES54:EW54" si="261">+ER54*1.03</f>
        <v>16323.423663211202</v>
      </c>
      <c r="ET54" s="313">
        <f t="shared" si="261"/>
        <v>16813.126373107538</v>
      </c>
      <c r="EU54" s="313">
        <f t="shared" si="261"/>
        <v>17317.520164300764</v>
      </c>
      <c r="EV54" s="313">
        <f t="shared" si="261"/>
        <v>17837.045769229786</v>
      </c>
      <c r="EW54" s="313">
        <f t="shared" si="261"/>
        <v>18372.157142306682</v>
      </c>
      <c r="FB54" s="378"/>
      <c r="FC54" s="378"/>
    </row>
    <row r="55" spans="1:159" s="381" customFormat="1" ht="12.75" customHeight="1" x14ac:dyDescent="0.2">
      <c r="A55" s="229"/>
      <c r="B55" s="229" t="s">
        <v>1418</v>
      </c>
      <c r="C55" s="309">
        <v>5715</v>
      </c>
      <c r="D55" s="309">
        <v>5698</v>
      </c>
      <c r="E55" s="309">
        <v>5586</v>
      </c>
      <c r="F55" s="309">
        <v>5630</v>
      </c>
      <c r="G55" s="309">
        <v>5783</v>
      </c>
      <c r="H55" s="309">
        <v>5783</v>
      </c>
      <c r="I55" s="309">
        <v>5724</v>
      </c>
      <c r="J55" s="309">
        <v>6367</v>
      </c>
      <c r="K55" s="309">
        <v>6638</v>
      </c>
      <c r="L55" s="309">
        <v>6854</v>
      </c>
      <c r="M55" s="309">
        <v>6749</v>
      </c>
      <c r="N55" s="309">
        <v>6877</v>
      </c>
      <c r="O55" s="309">
        <v>7319</v>
      </c>
      <c r="P55" s="309">
        <v>7508</v>
      </c>
      <c r="Q55" s="309">
        <v>7204</v>
      </c>
      <c r="R55" s="309">
        <v>7108</v>
      </c>
      <c r="S55" s="309">
        <v>7791</v>
      </c>
      <c r="T55" s="309">
        <v>8342</v>
      </c>
      <c r="U55" s="309">
        <v>8238</v>
      </c>
      <c r="V55" s="309">
        <v>8403</v>
      </c>
      <c r="W55" s="309">
        <v>8743</v>
      </c>
      <c r="X55" s="309">
        <v>9073</v>
      </c>
      <c r="Y55" s="309">
        <v>9079</v>
      </c>
      <c r="Z55" s="309">
        <v>9403</v>
      </c>
      <c r="AA55" s="309">
        <f t="shared" ref="AA55:BH55" si="262">SUM(AA3:AA54)</f>
        <v>9822</v>
      </c>
      <c r="AB55" s="309">
        <f t="shared" si="262"/>
        <v>10332</v>
      </c>
      <c r="AC55" s="309">
        <f t="shared" si="262"/>
        <v>10454</v>
      </c>
      <c r="AD55" s="309">
        <f t="shared" si="262"/>
        <v>11389</v>
      </c>
      <c r="AE55" s="309">
        <f t="shared" si="262"/>
        <v>11984</v>
      </c>
      <c r="AF55" s="309">
        <f t="shared" si="262"/>
        <v>11892</v>
      </c>
      <c r="AG55" s="309">
        <f t="shared" si="262"/>
        <v>11553</v>
      </c>
      <c r="AH55" s="309">
        <f t="shared" si="262"/>
        <v>12752</v>
      </c>
      <c r="AI55" s="309">
        <f t="shared" si="262"/>
        <v>12832</v>
      </c>
      <c r="AJ55" s="309">
        <f t="shared" si="262"/>
        <v>12762</v>
      </c>
      <c r="AK55" s="309">
        <f t="shared" si="262"/>
        <v>12310</v>
      </c>
      <c r="AL55" s="379">
        <f t="shared" si="262"/>
        <v>12610</v>
      </c>
      <c r="AM55" s="379">
        <f t="shared" si="262"/>
        <v>12992</v>
      </c>
      <c r="AN55" s="380">
        <f t="shared" si="262"/>
        <v>13363</v>
      </c>
      <c r="AO55" s="380">
        <f t="shared" si="262"/>
        <v>13287</v>
      </c>
      <c r="AP55" s="380">
        <f t="shared" si="262"/>
        <v>13682</v>
      </c>
      <c r="AQ55" s="380">
        <f t="shared" si="262"/>
        <v>15087</v>
      </c>
      <c r="AR55" s="380">
        <f t="shared" si="262"/>
        <v>15142</v>
      </c>
      <c r="AS55" s="380">
        <f t="shared" si="262"/>
        <v>15007</v>
      </c>
      <c r="AT55" s="380">
        <f t="shared" si="262"/>
        <v>15957</v>
      </c>
      <c r="AU55" s="380">
        <f t="shared" si="262"/>
        <v>16194</v>
      </c>
      <c r="AV55" s="380">
        <f t="shared" si="262"/>
        <v>16450</v>
      </c>
      <c r="AW55" s="380">
        <f t="shared" si="262"/>
        <v>15921</v>
      </c>
      <c r="AX55" s="380">
        <f t="shared" si="262"/>
        <v>15182</v>
      </c>
      <c r="AY55" s="380">
        <f t="shared" si="262"/>
        <v>15026</v>
      </c>
      <c r="AZ55" s="380">
        <f t="shared" si="262"/>
        <v>15239</v>
      </c>
      <c r="BA55" s="380">
        <f t="shared" si="262"/>
        <v>15081</v>
      </c>
      <c r="BB55" s="380">
        <f t="shared" si="262"/>
        <v>16551</v>
      </c>
      <c r="BC55" s="380">
        <f t="shared" si="262"/>
        <v>15631</v>
      </c>
      <c r="BD55" s="380">
        <f t="shared" si="262"/>
        <v>15389</v>
      </c>
      <c r="BE55" s="380">
        <f t="shared" si="262"/>
        <v>14982</v>
      </c>
      <c r="BF55" s="380">
        <f t="shared" si="262"/>
        <v>15644</v>
      </c>
      <c r="BG55" s="380">
        <f t="shared" si="262"/>
        <v>16966</v>
      </c>
      <c r="BH55" s="380">
        <f t="shared" si="262"/>
        <v>16597</v>
      </c>
      <c r="BI55" s="380">
        <f>SUM(BI3:BI45,BI48:BI54)</f>
        <v>16005</v>
      </c>
      <c r="BJ55" s="380">
        <f t="shared" ref="BJ55:BZ55" si="263">SUM(BJ3:BJ54)</f>
        <v>18821</v>
      </c>
      <c r="BK55" s="380">
        <f t="shared" si="263"/>
        <v>16139</v>
      </c>
      <c r="BL55" s="380">
        <f t="shared" si="263"/>
        <v>16626</v>
      </c>
      <c r="BM55" s="380">
        <f t="shared" si="263"/>
        <v>17191</v>
      </c>
      <c r="BN55" s="380">
        <f t="shared" si="263"/>
        <v>17791</v>
      </c>
      <c r="BO55" s="380">
        <f t="shared" si="263"/>
        <v>17548</v>
      </c>
      <c r="BP55" s="380">
        <f t="shared" si="263"/>
        <v>17933</v>
      </c>
      <c r="BQ55" s="380">
        <f t="shared" si="263"/>
        <v>17639</v>
      </c>
      <c r="BR55" s="380">
        <f t="shared" si="263"/>
        <v>18451</v>
      </c>
      <c r="BS55" s="380">
        <f t="shared" si="263"/>
        <v>18115</v>
      </c>
      <c r="BT55" s="380">
        <f t="shared" si="263"/>
        <v>19495</v>
      </c>
      <c r="BU55" s="380">
        <f t="shared" si="263"/>
        <v>18553.86</v>
      </c>
      <c r="BV55" s="380">
        <f t="shared" si="263"/>
        <v>19499.770000000004</v>
      </c>
      <c r="BW55" s="380">
        <f t="shared" si="263"/>
        <v>19043.41</v>
      </c>
      <c r="BX55" s="380">
        <f t="shared" si="263"/>
        <v>19977.39</v>
      </c>
      <c r="BY55" s="380">
        <f t="shared" si="263"/>
        <v>19487.184600000001</v>
      </c>
      <c r="BZ55" s="380">
        <f t="shared" si="263"/>
        <v>20445.237500000003</v>
      </c>
      <c r="CA55" s="380"/>
      <c r="CB55" s="380"/>
      <c r="CC55" s="380"/>
      <c r="CD55" s="380"/>
      <c r="CE55" s="380"/>
      <c r="CF55" s="380"/>
      <c r="CG55" s="380"/>
      <c r="CH55" s="380"/>
      <c r="CI55" s="380"/>
      <c r="CJ55" s="380"/>
      <c r="CK55" s="380"/>
      <c r="CL55" s="380"/>
      <c r="CM55" s="380"/>
      <c r="CN55" s="380"/>
      <c r="CO55" s="380"/>
      <c r="CP55" s="380"/>
      <c r="CQ55" s="380">
        <f t="shared" ref="CQ55" si="264">SUM(CQ3:CQ54)</f>
        <v>20690</v>
      </c>
      <c r="CR55" s="380">
        <f t="shared" ref="CR55:CX55" si="265">SUM(CR3:CR54)</f>
        <v>18338</v>
      </c>
      <c r="CS55" s="380">
        <f t="shared" si="265"/>
        <v>21082</v>
      </c>
      <c r="CT55" s="380">
        <f t="shared" si="265"/>
        <v>22476</v>
      </c>
      <c r="CU55" s="380">
        <f t="shared" si="265"/>
        <v>22321</v>
      </c>
      <c r="CV55" s="380">
        <f t="shared" si="265"/>
        <v>23314</v>
      </c>
      <c r="CW55" s="380">
        <f t="shared" si="265"/>
        <v>23335</v>
      </c>
      <c r="CX55" s="380">
        <f t="shared" si="265"/>
        <v>24807</v>
      </c>
      <c r="CY55" s="380">
        <f>SUM(CY3:CY54)</f>
        <v>23426</v>
      </c>
      <c r="CZ55" s="380">
        <f t="shared" ref="CZ55:DF55" si="266">SUM(CZ3:CZ54)</f>
        <v>23269.02</v>
      </c>
      <c r="DA55" s="380">
        <f t="shared" si="266"/>
        <v>23016.110000000004</v>
      </c>
      <c r="DB55" s="380">
        <f t="shared" si="266"/>
        <v>23467.879999999997</v>
      </c>
      <c r="DC55" s="380">
        <f t="shared" si="266"/>
        <v>23408.85</v>
      </c>
      <c r="DD55" s="380">
        <f t="shared" si="266"/>
        <v>23835.243600000002</v>
      </c>
      <c r="DE55" s="380">
        <f t="shared" si="266"/>
        <v>23678.690500000001</v>
      </c>
      <c r="DF55" s="380">
        <f t="shared" si="266"/>
        <v>24239.832600000005</v>
      </c>
      <c r="DH55" s="309">
        <v>9757</v>
      </c>
      <c r="DI55" s="309">
        <v>11232</v>
      </c>
      <c r="DJ55" s="309">
        <v>12447</v>
      </c>
      <c r="DK55" s="309">
        <v>13753</v>
      </c>
      <c r="DL55" s="309">
        <v>14138</v>
      </c>
      <c r="DM55" s="309">
        <v>15734</v>
      </c>
      <c r="DN55" s="309">
        <v>18842</v>
      </c>
      <c r="DO55" s="309">
        <v>21620</v>
      </c>
      <c r="DP55" s="309">
        <v>22629</v>
      </c>
      <c r="DQ55" s="309">
        <v>23657</v>
      </c>
      <c r="DR55" s="309">
        <v>27471</v>
      </c>
      <c r="DS55" s="309">
        <v>29139</v>
      </c>
      <c r="DT55" s="309">
        <v>33004</v>
      </c>
      <c r="DU55" s="309">
        <f>SUM(DU3:DU54)</f>
        <v>36911.9</v>
      </c>
      <c r="DV55" s="309">
        <f>SUM(DV3:DV54)</f>
        <v>42365.4</v>
      </c>
      <c r="DW55" s="309">
        <f>SUM(DW9:DW54)+DW3</f>
        <v>48117</v>
      </c>
      <c r="DX55" s="309">
        <f>SUM(DX9:DX54)+DX3</f>
        <v>49498</v>
      </c>
      <c r="DY55" s="309">
        <f>SUM(DY3:DY54)</f>
        <v>53324</v>
      </c>
      <c r="DZ55" s="309">
        <f>SUM(DZ9:DZ54)+DZ3</f>
        <v>61095</v>
      </c>
      <c r="EA55" s="309">
        <f t="shared" ref="EA55:EQ55" si="267">SUM(EA3:EA54)</f>
        <v>63747</v>
      </c>
      <c r="EB55" s="309">
        <f t="shared" si="267"/>
        <v>61897</v>
      </c>
      <c r="EC55" s="309">
        <f t="shared" si="267"/>
        <v>61455</v>
      </c>
      <c r="ED55" s="309">
        <f t="shared" si="267"/>
        <v>65030</v>
      </c>
      <c r="EE55" s="309">
        <f t="shared" si="267"/>
        <v>67747</v>
      </c>
      <c r="EF55" s="309">
        <f t="shared" si="267"/>
        <v>71312</v>
      </c>
      <c r="EG55" s="309">
        <f t="shared" si="267"/>
        <v>76248.634999999995</v>
      </c>
      <c r="EH55" s="309">
        <f t="shared" si="267"/>
        <v>77004.854775</v>
      </c>
      <c r="EI55" s="309">
        <f t="shared" si="267"/>
        <v>73372.201641624997</v>
      </c>
      <c r="EJ55" s="309">
        <f t="shared" si="267"/>
        <v>70488.183447316886</v>
      </c>
      <c r="EK55" s="309">
        <f t="shared" si="267"/>
        <v>70494.054104134892</v>
      </c>
      <c r="EL55" s="309">
        <f t="shared" si="267"/>
        <v>70934.358885224967</v>
      </c>
      <c r="EM55" s="309">
        <f t="shared" si="267"/>
        <v>82586</v>
      </c>
      <c r="EN55" s="309">
        <f t="shared" si="267"/>
        <v>93777</v>
      </c>
      <c r="EO55" s="309">
        <f t="shared" si="267"/>
        <v>93179.01</v>
      </c>
      <c r="EP55" s="309">
        <f t="shared" si="267"/>
        <v>93417.648599999986</v>
      </c>
      <c r="EQ55" s="309">
        <f t="shared" si="267"/>
        <v>93756.635038500011</v>
      </c>
      <c r="ER55" s="309">
        <f t="shared" ref="ER55:EW55" si="268">SUM(ER3:ER54)</f>
        <v>93078.140368432505</v>
      </c>
      <c r="ES55" s="309">
        <f t="shared" si="268"/>
        <v>92693.740036042975</v>
      </c>
      <c r="ET55" s="309">
        <f t="shared" si="268"/>
        <v>92760.101893435873</v>
      </c>
      <c r="EU55" s="309">
        <f t="shared" si="268"/>
        <v>93044.718392798022</v>
      </c>
      <c r="EV55" s="309">
        <f t="shared" si="268"/>
        <v>91907.707582950039</v>
      </c>
      <c r="EW55" s="309">
        <f t="shared" si="268"/>
        <v>91724.901067383369</v>
      </c>
      <c r="FB55" s="382"/>
    </row>
    <row r="56" spans="1:159" s="376" customFormat="1" ht="12.75" customHeight="1" x14ac:dyDescent="0.2">
      <c r="A56" s="58"/>
      <c r="B56" s="353" t="s">
        <v>357</v>
      </c>
      <c r="C56" s="305">
        <v>1772</v>
      </c>
      <c r="D56" s="305">
        <v>1749</v>
      </c>
      <c r="E56" s="305">
        <v>1750</v>
      </c>
      <c r="F56" s="305">
        <v>1881</v>
      </c>
      <c r="G56" s="305">
        <v>1777</v>
      </c>
      <c r="H56" s="305">
        <v>1803</v>
      </c>
      <c r="I56" s="305">
        <v>1758</v>
      </c>
      <c r="J56" s="305">
        <v>2098</v>
      </c>
      <c r="K56" s="305">
        <v>2038</v>
      </c>
      <c r="L56" s="305">
        <v>2086</v>
      </c>
      <c r="M56" s="305">
        <v>2030</v>
      </c>
      <c r="N56" s="305">
        <v>2181</v>
      </c>
      <c r="O56" s="305">
        <v>2241</v>
      </c>
      <c r="P56" s="305">
        <v>2256</v>
      </c>
      <c r="Q56" s="305">
        <v>2179</v>
      </c>
      <c r="R56" s="305">
        <v>2185</v>
      </c>
      <c r="S56" s="305">
        <v>2279</v>
      </c>
      <c r="T56" s="305">
        <v>2362</v>
      </c>
      <c r="U56" s="305">
        <v>2385</v>
      </c>
      <c r="V56" s="305">
        <v>2489</v>
      </c>
      <c r="W56" s="305">
        <v>2457</v>
      </c>
      <c r="X56" s="305">
        <v>2582</v>
      </c>
      <c r="Y56" s="305">
        <v>2611</v>
      </c>
      <c r="Z56" s="305">
        <v>2797</v>
      </c>
      <c r="AA56" s="305">
        <v>2722</v>
      </c>
      <c r="AB56" s="305">
        <v>2966</v>
      </c>
      <c r="AC56" s="305">
        <v>2980</v>
      </c>
      <c r="AD56" s="305">
        <v>3508</v>
      </c>
      <c r="AE56" s="305">
        <v>3367</v>
      </c>
      <c r="AF56" s="351">
        <v>3162</v>
      </c>
      <c r="AG56" s="351">
        <v>3187</v>
      </c>
      <c r="AH56" s="351">
        <v>3706</v>
      </c>
      <c r="AI56" s="351">
        <v>3496</v>
      </c>
      <c r="AJ56" s="351">
        <v>3522</v>
      </c>
      <c r="AK56" s="351">
        <v>3354</v>
      </c>
      <c r="AL56" s="351">
        <v>3638</v>
      </c>
      <c r="AM56" s="351">
        <v>3612</v>
      </c>
      <c r="AN56" s="313">
        <v>3788</v>
      </c>
      <c r="AO56" s="313">
        <v>3650</v>
      </c>
      <c r="AP56" s="313">
        <v>4007</v>
      </c>
      <c r="AQ56" s="313">
        <v>4385</v>
      </c>
      <c r="AR56" s="313">
        <v>4358</v>
      </c>
      <c r="AS56" s="313">
        <v>4274</v>
      </c>
      <c r="AT56" s="313">
        <v>4734</v>
      </c>
      <c r="AU56" s="313">
        <v>4614</v>
      </c>
      <c r="AV56" s="313">
        <v>4751</v>
      </c>
      <c r="AW56" s="313">
        <v>4774</v>
      </c>
      <c r="AX56" s="313">
        <v>4372</v>
      </c>
      <c r="AY56" s="313">
        <v>4251</v>
      </c>
      <c r="AZ56" s="313">
        <v>4450</v>
      </c>
      <c r="BA56" s="313">
        <v>4434</v>
      </c>
      <c r="BB56" s="313">
        <f>5312-113</f>
        <v>5199</v>
      </c>
      <c r="BC56" s="313">
        <v>4528</v>
      </c>
      <c r="BD56" s="313">
        <v>4630</v>
      </c>
      <c r="BE56" s="313">
        <v>4594</v>
      </c>
      <c r="BF56" s="313">
        <v>5040</v>
      </c>
      <c r="BG56" s="313">
        <v>4778</v>
      </c>
      <c r="BH56" s="313">
        <v>5172</v>
      </c>
      <c r="BI56" s="313">
        <v>5072</v>
      </c>
      <c r="BJ56" s="313">
        <v>5338</v>
      </c>
      <c r="BK56" s="313">
        <v>4915</v>
      </c>
      <c r="BL56" s="313">
        <v>5143</v>
      </c>
      <c r="BM56" s="313">
        <v>5597</v>
      </c>
      <c r="BN56" s="313">
        <v>6003</v>
      </c>
      <c r="BO56" s="313">
        <v>5554</v>
      </c>
      <c r="BP56" s="313">
        <v>5489</v>
      </c>
      <c r="BQ56" s="313">
        <v>5344</v>
      </c>
      <c r="BR56" s="313">
        <v>5955</v>
      </c>
      <c r="BS56" s="313">
        <v>5455</v>
      </c>
      <c r="BT56" s="313">
        <v>6039</v>
      </c>
      <c r="BU56" s="313">
        <f t="shared" ref="BU56:BZ56" si="269">+BU55-BU57</f>
        <v>5566.1580000000013</v>
      </c>
      <c r="BV56" s="313">
        <f t="shared" si="269"/>
        <v>5849.9310000000023</v>
      </c>
      <c r="BW56" s="313">
        <f t="shared" si="269"/>
        <v>5713.023000000001</v>
      </c>
      <c r="BX56" s="313">
        <f t="shared" si="269"/>
        <v>5993.2170000000006</v>
      </c>
      <c r="BY56" s="313">
        <f t="shared" si="269"/>
        <v>5846.1553800000002</v>
      </c>
      <c r="BZ56" s="313">
        <f t="shared" si="269"/>
        <v>6133.5712500000009</v>
      </c>
      <c r="CA56" s="313"/>
      <c r="CB56" s="313"/>
      <c r="CC56" s="313"/>
      <c r="CD56" s="313"/>
      <c r="CE56" s="313"/>
      <c r="CF56" s="313"/>
      <c r="CG56" s="313"/>
      <c r="CH56" s="313"/>
      <c r="CI56" s="313"/>
      <c r="CJ56" s="313"/>
      <c r="CK56" s="313"/>
      <c r="CL56" s="313"/>
      <c r="CM56" s="313"/>
      <c r="CN56" s="313"/>
      <c r="CO56" s="313"/>
      <c r="CP56" s="313"/>
      <c r="CQ56" s="313">
        <v>7062</v>
      </c>
      <c r="CR56" s="313">
        <v>6579</v>
      </c>
      <c r="CS56" s="313">
        <v>6972</v>
      </c>
      <c r="CT56" s="313">
        <v>7814</v>
      </c>
      <c r="CU56" s="313">
        <v>7063</v>
      </c>
      <c r="CV56" s="313">
        <v>7587</v>
      </c>
      <c r="CW56" s="313">
        <v>7250</v>
      </c>
      <c r="CX56" s="313">
        <v>7955</v>
      </c>
      <c r="CY56" s="313">
        <v>7598</v>
      </c>
      <c r="CZ56" s="313">
        <f>+CZ55-CZ57</f>
        <v>7562.4314999999988</v>
      </c>
      <c r="DA56" s="313">
        <f t="shared" ref="DA56:DF56" si="270">+DA55-DA57</f>
        <v>7480.2357499999998</v>
      </c>
      <c r="DB56" s="313">
        <f t="shared" si="270"/>
        <v>7627.0609999999979</v>
      </c>
      <c r="DC56" s="313">
        <f t="shared" si="270"/>
        <v>7607.8762499999993</v>
      </c>
      <c r="DD56" s="313">
        <f t="shared" si="270"/>
        <v>7746.4541699999991</v>
      </c>
      <c r="DE56" s="313">
        <f t="shared" si="270"/>
        <v>7695.5744124999983</v>
      </c>
      <c r="DF56" s="313">
        <f t="shared" si="270"/>
        <v>7877.945595000001</v>
      </c>
      <c r="DH56" s="305">
        <v>3480</v>
      </c>
      <c r="DI56" s="305">
        <v>3937</v>
      </c>
      <c r="DJ56" s="305">
        <v>4204</v>
      </c>
      <c r="DK56" s="305">
        <v>4678</v>
      </c>
      <c r="DL56" s="305">
        <v>4791</v>
      </c>
      <c r="DM56" s="305">
        <v>5299</v>
      </c>
      <c r="DN56" s="305">
        <v>6235</v>
      </c>
      <c r="DO56" s="305">
        <v>7018</v>
      </c>
      <c r="DP56" s="305">
        <v>7152</v>
      </c>
      <c r="DQ56" s="305">
        <f>7496-60</f>
        <v>7436</v>
      </c>
      <c r="DR56" s="305">
        <v>8442</v>
      </c>
      <c r="DS56" s="305">
        <v>8861</v>
      </c>
      <c r="DT56" s="305">
        <v>9536</v>
      </c>
      <c r="DU56" s="305">
        <v>10447</v>
      </c>
      <c r="DV56" s="305">
        <v>12176</v>
      </c>
      <c r="DW56" s="305">
        <v>13422</v>
      </c>
      <c r="DX56" s="305">
        <v>13954</v>
      </c>
      <c r="DY56" s="305">
        <f>SUM(AM56:AP56)</f>
        <v>15057</v>
      </c>
      <c r="DZ56" s="305">
        <f>SUM(AQ56:AT56)</f>
        <v>17751</v>
      </c>
      <c r="EA56" s="305">
        <f>SUM(AU56:AX56)</f>
        <v>18511</v>
      </c>
      <c r="EB56" s="305">
        <f>EB55-EB57</f>
        <v>18334</v>
      </c>
      <c r="EC56" s="305">
        <f>SUM(BC56:BF56)</f>
        <v>18792</v>
      </c>
      <c r="ED56" s="305">
        <f>ED55-ED57</f>
        <v>17001</v>
      </c>
      <c r="EE56" s="305">
        <f>SUM(BK56:BN56)</f>
        <v>21658</v>
      </c>
      <c r="EF56" s="305">
        <f>SUM(BO56:BR56)</f>
        <v>22342</v>
      </c>
      <c r="EG56" s="305">
        <f t="shared" ref="EG56:EI56" si="271">EG55-EG57</f>
        <v>23637.076850000005</v>
      </c>
      <c r="EH56" s="305">
        <f t="shared" si="271"/>
        <v>23871.504980250007</v>
      </c>
      <c r="EI56" s="305">
        <f t="shared" si="271"/>
        <v>22745.382508903756</v>
      </c>
      <c r="EJ56" s="305">
        <f>+EJ55-EJ57</f>
        <v>21851.336868668237</v>
      </c>
      <c r="EK56" s="305">
        <f t="shared" ref="EK56:EM56" si="272">+EK55-EK57</f>
        <v>21853.156772281822</v>
      </c>
      <c r="EL56" s="305">
        <f t="shared" si="272"/>
        <v>21989.651254419747</v>
      </c>
      <c r="EM56" s="305">
        <f t="shared" si="272"/>
        <v>25601.660000000003</v>
      </c>
      <c r="EN56" s="305">
        <f t="shared" ref="EN56:EN59" si="273">SUM(CU56:CX56)</f>
        <v>29855</v>
      </c>
      <c r="EO56" s="305">
        <f t="shared" ref="EO56:EQ56" si="274">+EO55-EO57</f>
        <v>28885.493100000007</v>
      </c>
      <c r="EP56" s="305">
        <f t="shared" si="274"/>
        <v>28959.471065999998</v>
      </c>
      <c r="EQ56" s="305">
        <f t="shared" si="274"/>
        <v>29064.556861935009</v>
      </c>
      <c r="ER56" s="305">
        <f>+ER55-ER57</f>
        <v>28854.223514214078</v>
      </c>
      <c r="ES56" s="305">
        <f t="shared" ref="ES56:EW56" si="275">+ES55-ES57</f>
        <v>28735.05941117333</v>
      </c>
      <c r="ET56" s="305">
        <f t="shared" si="275"/>
        <v>28755.631586965123</v>
      </c>
      <c r="EU56" s="305">
        <f t="shared" si="275"/>
        <v>28843.862701767393</v>
      </c>
      <c r="EV56" s="305">
        <f t="shared" si="275"/>
        <v>28491.389350714519</v>
      </c>
      <c r="EW56" s="305">
        <f t="shared" si="275"/>
        <v>28434.719330888853</v>
      </c>
    </row>
    <row r="57" spans="1:159" s="376" customFormat="1" ht="12.75" customHeight="1" x14ac:dyDescent="0.2">
      <c r="A57" s="58"/>
      <c r="B57" s="353" t="s">
        <v>358</v>
      </c>
      <c r="C57" s="305">
        <f t="shared" ref="C57:AW57" si="276">C55-C56</f>
        <v>3943</v>
      </c>
      <c r="D57" s="305">
        <f t="shared" si="276"/>
        <v>3949</v>
      </c>
      <c r="E57" s="305">
        <f t="shared" si="276"/>
        <v>3836</v>
      </c>
      <c r="F57" s="305">
        <f t="shared" si="276"/>
        <v>3749</v>
      </c>
      <c r="G57" s="305">
        <f t="shared" si="276"/>
        <v>4006</v>
      </c>
      <c r="H57" s="305">
        <f t="shared" si="276"/>
        <v>3980</v>
      </c>
      <c r="I57" s="305">
        <f t="shared" si="276"/>
        <v>3966</v>
      </c>
      <c r="J57" s="305">
        <f t="shared" si="276"/>
        <v>4269</v>
      </c>
      <c r="K57" s="305">
        <f t="shared" si="276"/>
        <v>4600</v>
      </c>
      <c r="L57" s="305">
        <f t="shared" si="276"/>
        <v>4768</v>
      </c>
      <c r="M57" s="305">
        <f t="shared" si="276"/>
        <v>4719</v>
      </c>
      <c r="N57" s="305">
        <f t="shared" si="276"/>
        <v>4696</v>
      </c>
      <c r="O57" s="305">
        <f t="shared" si="276"/>
        <v>5078</v>
      </c>
      <c r="P57" s="305">
        <f t="shared" si="276"/>
        <v>5252</v>
      </c>
      <c r="Q57" s="305">
        <f t="shared" si="276"/>
        <v>5025</v>
      </c>
      <c r="R57" s="305">
        <f t="shared" si="276"/>
        <v>4923</v>
      </c>
      <c r="S57" s="305">
        <f t="shared" si="276"/>
        <v>5512</v>
      </c>
      <c r="T57" s="305">
        <f t="shared" si="276"/>
        <v>5980</v>
      </c>
      <c r="U57" s="305">
        <f t="shared" si="276"/>
        <v>5853</v>
      </c>
      <c r="V57" s="305">
        <f t="shared" si="276"/>
        <v>5914</v>
      </c>
      <c r="W57" s="305">
        <f t="shared" si="276"/>
        <v>6286</v>
      </c>
      <c r="X57" s="305">
        <f t="shared" si="276"/>
        <v>6491</v>
      </c>
      <c r="Y57" s="305">
        <f t="shared" si="276"/>
        <v>6468</v>
      </c>
      <c r="Z57" s="305">
        <f t="shared" si="276"/>
        <v>6606</v>
      </c>
      <c r="AA57" s="305">
        <f t="shared" si="276"/>
        <v>7100</v>
      </c>
      <c r="AB57" s="305">
        <f t="shared" si="276"/>
        <v>7366</v>
      </c>
      <c r="AC57" s="305">
        <f t="shared" si="276"/>
        <v>7474</v>
      </c>
      <c r="AD57" s="305">
        <f t="shared" si="276"/>
        <v>7881</v>
      </c>
      <c r="AE57" s="351">
        <f t="shared" si="276"/>
        <v>8617</v>
      </c>
      <c r="AF57" s="351">
        <f t="shared" si="276"/>
        <v>8730</v>
      </c>
      <c r="AG57" s="351">
        <f t="shared" si="276"/>
        <v>8366</v>
      </c>
      <c r="AH57" s="351">
        <f t="shared" si="276"/>
        <v>9046</v>
      </c>
      <c r="AI57" s="351">
        <f t="shared" si="276"/>
        <v>9336</v>
      </c>
      <c r="AJ57" s="351">
        <f t="shared" si="276"/>
        <v>9240</v>
      </c>
      <c r="AK57" s="351">
        <f t="shared" si="276"/>
        <v>8956</v>
      </c>
      <c r="AL57" s="351">
        <f t="shared" si="276"/>
        <v>8972</v>
      </c>
      <c r="AM57" s="351">
        <f t="shared" si="276"/>
        <v>9380</v>
      </c>
      <c r="AN57" s="313">
        <f t="shared" si="276"/>
        <v>9575</v>
      </c>
      <c r="AO57" s="313">
        <f t="shared" si="276"/>
        <v>9637</v>
      </c>
      <c r="AP57" s="313">
        <f t="shared" si="276"/>
        <v>9675</v>
      </c>
      <c r="AQ57" s="313">
        <f>AQ55-AQ56</f>
        <v>10702</v>
      </c>
      <c r="AR57" s="313">
        <f>AR55-AR56</f>
        <v>10784</v>
      </c>
      <c r="AS57" s="313">
        <f>AS55-AS56</f>
        <v>10733</v>
      </c>
      <c r="AT57" s="313">
        <f>AT55-AT56</f>
        <v>11223</v>
      </c>
      <c r="AU57" s="313">
        <f t="shared" si="276"/>
        <v>11580</v>
      </c>
      <c r="AV57" s="313">
        <f t="shared" si="276"/>
        <v>11699</v>
      </c>
      <c r="AW57" s="313">
        <f t="shared" si="276"/>
        <v>11147</v>
      </c>
      <c r="AX57" s="313">
        <f t="shared" ref="AX57:BC57" si="277">AX55-AX56</f>
        <v>10810</v>
      </c>
      <c r="AY57" s="313">
        <f t="shared" si="277"/>
        <v>10775</v>
      </c>
      <c r="AZ57" s="313">
        <f t="shared" si="277"/>
        <v>10789</v>
      </c>
      <c r="BA57" s="313">
        <f t="shared" si="277"/>
        <v>10647</v>
      </c>
      <c r="BB57" s="313">
        <f t="shared" si="277"/>
        <v>11352</v>
      </c>
      <c r="BC57" s="313">
        <f t="shared" si="277"/>
        <v>11103</v>
      </c>
      <c r="BD57" s="313">
        <f>+BD55-BD56</f>
        <v>10759</v>
      </c>
      <c r="BE57" s="313">
        <f>+BE55-BE56</f>
        <v>10388</v>
      </c>
      <c r="BF57" s="313">
        <f>+BF55-BF56</f>
        <v>10604</v>
      </c>
      <c r="BG57" s="313">
        <f>+BG55-BG56</f>
        <v>12188</v>
      </c>
      <c r="BH57" s="313">
        <f>+BH55-BH56</f>
        <v>11425</v>
      </c>
      <c r="BI57" s="313">
        <f>BI55-BI56</f>
        <v>10933</v>
      </c>
      <c r="BJ57" s="313">
        <f>BJ55-BJ56</f>
        <v>13483</v>
      </c>
      <c r="BK57" s="313">
        <f>BK55-BK56</f>
        <v>11224</v>
      </c>
      <c r="BL57" s="313">
        <f>BL55-BL56</f>
        <v>11483</v>
      </c>
      <c r="BM57" s="313">
        <f>BM55-BM56</f>
        <v>11594</v>
      </c>
      <c r="BN57" s="313">
        <f t="shared" ref="BN57:BT57" si="278">+BN55-BN56</f>
        <v>11788</v>
      </c>
      <c r="BO57" s="313">
        <f t="shared" si="278"/>
        <v>11994</v>
      </c>
      <c r="BP57" s="313">
        <f t="shared" si="278"/>
        <v>12444</v>
      </c>
      <c r="BQ57" s="313">
        <f t="shared" si="278"/>
        <v>12295</v>
      </c>
      <c r="BR57" s="313">
        <f t="shared" si="278"/>
        <v>12496</v>
      </c>
      <c r="BS57" s="313">
        <f t="shared" si="278"/>
        <v>12660</v>
      </c>
      <c r="BT57" s="313">
        <f t="shared" si="278"/>
        <v>13456</v>
      </c>
      <c r="BU57" s="313">
        <f>+BU55*0.7</f>
        <v>12987.701999999999</v>
      </c>
      <c r="BV57" s="313">
        <f>+BV55*0.7</f>
        <v>13649.839000000002</v>
      </c>
      <c r="BW57" s="313">
        <f t="shared" ref="BW57:BZ57" si="279">+BW55*0.7</f>
        <v>13330.386999999999</v>
      </c>
      <c r="BX57" s="313">
        <f t="shared" si="279"/>
        <v>13984.172999999999</v>
      </c>
      <c r="BY57" s="313">
        <f t="shared" si="279"/>
        <v>13641.02922</v>
      </c>
      <c r="BZ57" s="313">
        <f t="shared" si="279"/>
        <v>14311.666250000002</v>
      </c>
      <c r="CA57" s="313"/>
      <c r="CB57" s="313"/>
      <c r="CC57" s="313"/>
      <c r="CD57" s="313"/>
      <c r="CE57" s="313"/>
      <c r="CF57" s="313"/>
      <c r="CG57" s="313"/>
      <c r="CH57" s="313"/>
      <c r="CI57" s="313"/>
      <c r="CJ57" s="313"/>
      <c r="CK57" s="313"/>
      <c r="CL57" s="313"/>
      <c r="CM57" s="313"/>
      <c r="CN57" s="313"/>
      <c r="CO57" s="313"/>
      <c r="CP57" s="313"/>
      <c r="CQ57" s="313">
        <f t="shared" ref="CQ57" si="280">+CQ55-CQ56</f>
        <v>13628</v>
      </c>
      <c r="CR57" s="313">
        <f t="shared" ref="CR57:CV57" si="281">+CR55-CR56</f>
        <v>11759</v>
      </c>
      <c r="CS57" s="313">
        <f t="shared" si="281"/>
        <v>14110</v>
      </c>
      <c r="CT57" s="313">
        <f t="shared" si="281"/>
        <v>14662</v>
      </c>
      <c r="CU57" s="313">
        <f t="shared" si="281"/>
        <v>15258</v>
      </c>
      <c r="CV57" s="313">
        <f t="shared" si="281"/>
        <v>15727</v>
      </c>
      <c r="CW57" s="313">
        <f>+CW55-CW56</f>
        <v>16085</v>
      </c>
      <c r="CX57" s="313">
        <f>+CX55-CX56</f>
        <v>16852</v>
      </c>
      <c r="CY57" s="313">
        <f>+CY55-CY56</f>
        <v>15828</v>
      </c>
      <c r="CZ57" s="313">
        <f>+CZ55*0.675</f>
        <v>15706.588500000002</v>
      </c>
      <c r="DA57" s="313">
        <f t="shared" ref="DA57:DF57" si="282">+DA55*0.675</f>
        <v>15535.874250000004</v>
      </c>
      <c r="DB57" s="313">
        <f t="shared" si="282"/>
        <v>15840.819</v>
      </c>
      <c r="DC57" s="313">
        <f t="shared" si="282"/>
        <v>15800.973749999999</v>
      </c>
      <c r="DD57" s="313">
        <f t="shared" si="282"/>
        <v>16088.789430000003</v>
      </c>
      <c r="DE57" s="313">
        <f t="shared" si="282"/>
        <v>15983.116087500002</v>
      </c>
      <c r="DF57" s="313">
        <f t="shared" si="282"/>
        <v>16361.887005000004</v>
      </c>
      <c r="DH57" s="305">
        <f t="shared" ref="DH57:DY57" si="283">DH55-DH56</f>
        <v>6277</v>
      </c>
      <c r="DI57" s="305">
        <f t="shared" si="283"/>
        <v>7295</v>
      </c>
      <c r="DJ57" s="305">
        <f t="shared" si="283"/>
        <v>8243</v>
      </c>
      <c r="DK57" s="305">
        <f t="shared" si="283"/>
        <v>9075</v>
      </c>
      <c r="DL57" s="305">
        <f t="shared" si="283"/>
        <v>9347</v>
      </c>
      <c r="DM57" s="305">
        <f t="shared" si="283"/>
        <v>10435</v>
      </c>
      <c r="DN57" s="305">
        <f t="shared" si="283"/>
        <v>12607</v>
      </c>
      <c r="DO57" s="305">
        <f t="shared" si="283"/>
        <v>14602</v>
      </c>
      <c r="DP57" s="305">
        <f t="shared" si="283"/>
        <v>15477</v>
      </c>
      <c r="DQ57" s="305">
        <f t="shared" si="283"/>
        <v>16221</v>
      </c>
      <c r="DR57" s="305">
        <f t="shared" si="283"/>
        <v>19029</v>
      </c>
      <c r="DS57" s="305">
        <f t="shared" si="283"/>
        <v>20278</v>
      </c>
      <c r="DT57" s="305">
        <f t="shared" si="283"/>
        <v>23468</v>
      </c>
      <c r="DU57" s="305">
        <f t="shared" si="283"/>
        <v>26464.9</v>
      </c>
      <c r="DV57" s="305">
        <f t="shared" si="283"/>
        <v>30189.4</v>
      </c>
      <c r="DW57" s="305">
        <f t="shared" si="283"/>
        <v>34695</v>
      </c>
      <c r="DX57" s="305">
        <f t="shared" si="283"/>
        <v>35544</v>
      </c>
      <c r="DY57" s="305">
        <f t="shared" si="283"/>
        <v>38267</v>
      </c>
      <c r="DZ57" s="305">
        <f>DZ55-DZ56</f>
        <v>43344</v>
      </c>
      <c r="EA57" s="305">
        <f>EA55-EA56</f>
        <v>45236</v>
      </c>
      <c r="EB57" s="305">
        <f>SUM(AY57:BB57)</f>
        <v>43563</v>
      </c>
      <c r="EC57" s="305">
        <f>EC55-EC56</f>
        <v>42663</v>
      </c>
      <c r="ED57" s="305">
        <f>SUM(BG57:BJ57)</f>
        <v>48029</v>
      </c>
      <c r="EE57" s="305">
        <f>EE55-EE56</f>
        <v>46089</v>
      </c>
      <c r="EF57" s="305">
        <f>EF55-EF56</f>
        <v>48970</v>
      </c>
      <c r="EG57" s="305">
        <f>+EG55*0.69</f>
        <v>52611.55814999999</v>
      </c>
      <c r="EH57" s="305">
        <f t="shared" ref="EH57:EW57" si="284">+EH55*0.69</f>
        <v>53133.349794749993</v>
      </c>
      <c r="EI57" s="305">
        <f t="shared" si="284"/>
        <v>50626.819132721241</v>
      </c>
      <c r="EJ57" s="305">
        <f t="shared" si="284"/>
        <v>48636.846578648649</v>
      </c>
      <c r="EK57" s="305">
        <f t="shared" si="284"/>
        <v>48640.89733185307</v>
      </c>
      <c r="EL57" s="305">
        <f t="shared" si="284"/>
        <v>48944.70763080522</v>
      </c>
      <c r="EM57" s="305">
        <f t="shared" si="284"/>
        <v>56984.34</v>
      </c>
      <c r="EN57" s="305">
        <f>+EN55-EN56</f>
        <v>63922</v>
      </c>
      <c r="EO57" s="305">
        <f t="shared" si="284"/>
        <v>64293.516899999988</v>
      </c>
      <c r="EP57" s="305">
        <f t="shared" si="284"/>
        <v>64458.177533999988</v>
      </c>
      <c r="EQ57" s="305">
        <f t="shared" si="284"/>
        <v>64692.078176565003</v>
      </c>
      <c r="ER57" s="305">
        <f t="shared" si="284"/>
        <v>64223.916854218427</v>
      </c>
      <c r="ES57" s="305">
        <f t="shared" si="284"/>
        <v>63958.680624869645</v>
      </c>
      <c r="ET57" s="305">
        <f t="shared" si="284"/>
        <v>64004.47030647075</v>
      </c>
      <c r="EU57" s="305">
        <f t="shared" si="284"/>
        <v>64200.855691030629</v>
      </c>
      <c r="EV57" s="305">
        <f t="shared" si="284"/>
        <v>63416.318232235521</v>
      </c>
      <c r="EW57" s="305">
        <f t="shared" si="284"/>
        <v>63290.181736494516</v>
      </c>
    </row>
    <row r="58" spans="1:159" s="376" customFormat="1" ht="12.75" customHeight="1" x14ac:dyDescent="0.2">
      <c r="A58" s="58"/>
      <c r="B58" s="353" t="s">
        <v>359</v>
      </c>
      <c r="C58" s="305">
        <v>2138</v>
      </c>
      <c r="D58" s="305">
        <v>2142</v>
      </c>
      <c r="E58" s="305">
        <v>2149</v>
      </c>
      <c r="F58" s="305">
        <v>2286</v>
      </c>
      <c r="G58" s="305">
        <v>2100</v>
      </c>
      <c r="H58" s="305">
        <v>2114</v>
      </c>
      <c r="I58" s="305">
        <v>2151</v>
      </c>
      <c r="J58" s="305">
        <v>2542</v>
      </c>
      <c r="K58" s="305">
        <v>2403</v>
      </c>
      <c r="L58" s="305">
        <v>2549</v>
      </c>
      <c r="M58" s="305">
        <v>2564</v>
      </c>
      <c r="N58" s="305">
        <v>2861</v>
      </c>
      <c r="O58" s="305">
        <v>2609</v>
      </c>
      <c r="P58" s="305">
        <v>2745</v>
      </c>
      <c r="Q58" s="305">
        <v>2675</v>
      </c>
      <c r="R58" s="305">
        <v>2846</v>
      </c>
      <c r="S58" s="305">
        <v>2721</v>
      </c>
      <c r="T58" s="305">
        <v>2975</v>
      </c>
      <c r="U58" s="305">
        <v>2894</v>
      </c>
      <c r="V58" s="305">
        <v>3280</v>
      </c>
      <c r="W58" s="305">
        <v>2843</v>
      </c>
      <c r="X58" s="305">
        <v>3017</v>
      </c>
      <c r="Y58" s="305">
        <v>3006</v>
      </c>
      <c r="Z58" s="305">
        <v>3350</v>
      </c>
      <c r="AA58" s="305">
        <v>3253</v>
      </c>
      <c r="AB58" s="305">
        <v>3396</v>
      </c>
      <c r="AC58" s="305">
        <v>3428</v>
      </c>
      <c r="AD58" s="305">
        <v>4054</v>
      </c>
      <c r="AE58" s="305">
        <v>3640</v>
      </c>
      <c r="AF58" s="351">
        <v>3711</v>
      </c>
      <c r="AG58" s="351">
        <v>3854</v>
      </c>
      <c r="AH58" s="351">
        <v>4655</v>
      </c>
      <c r="AI58" s="351">
        <v>4127</v>
      </c>
      <c r="AJ58" s="351">
        <v>4194</v>
      </c>
      <c r="AK58" s="351">
        <v>4161</v>
      </c>
      <c r="AL58" s="351">
        <v>4645</v>
      </c>
      <c r="AM58" s="351">
        <v>4095</v>
      </c>
      <c r="AN58" s="313">
        <v>4351</v>
      </c>
      <c r="AO58" s="313">
        <v>4291</v>
      </c>
      <c r="AP58" s="313">
        <v>4696</v>
      </c>
      <c r="AQ58" s="313">
        <v>4802</v>
      </c>
      <c r="AR58" s="313">
        <v>5029</v>
      </c>
      <c r="AS58" s="313">
        <v>4899</v>
      </c>
      <c r="AT58" s="313">
        <v>5721</v>
      </c>
      <c r="AU58" s="313">
        <v>5123</v>
      </c>
      <c r="AV58" s="313">
        <v>5507</v>
      </c>
      <c r="AW58" s="313">
        <v>5195</v>
      </c>
      <c r="AX58" s="313">
        <v>5665</v>
      </c>
      <c r="AY58" s="313">
        <v>4608</v>
      </c>
      <c r="AZ58" s="313">
        <v>4797</v>
      </c>
      <c r="BA58" s="313">
        <v>4767</v>
      </c>
      <c r="BB58" s="313">
        <v>5629</v>
      </c>
      <c r="BC58" s="313">
        <v>4779</v>
      </c>
      <c r="BD58" s="313">
        <v>4756</v>
      </c>
      <c r="BE58" s="313">
        <v>4709</v>
      </c>
      <c r="BF58" s="313">
        <v>5180</v>
      </c>
      <c r="BG58" s="313">
        <v>5056</v>
      </c>
      <c r="BH58" s="313">
        <v>5215</v>
      </c>
      <c r="BI58" s="313">
        <v>5240</v>
      </c>
      <c r="BJ58" s="313">
        <v>5458</v>
      </c>
      <c r="BK58" s="313">
        <v>5015</v>
      </c>
      <c r="BL58" s="313">
        <v>4965</v>
      </c>
      <c r="BM58" s="313">
        <v>5228</v>
      </c>
      <c r="BN58" s="313">
        <v>5661</v>
      </c>
      <c r="BO58" s="313">
        <v>5223</v>
      </c>
      <c r="BP58" s="313">
        <f>5376-375</f>
        <v>5001</v>
      </c>
      <c r="BQ58" s="313">
        <v>5314</v>
      </c>
      <c r="BR58" s="313">
        <v>5917</v>
      </c>
      <c r="BS58" s="313">
        <v>5183</v>
      </c>
      <c r="BT58" s="313">
        <v>5481</v>
      </c>
      <c r="BU58" s="313">
        <f>+BQ58*1.02</f>
        <v>5420.28</v>
      </c>
      <c r="BV58" s="313">
        <f t="shared" ref="BV58:BZ58" si="285">+BR58*1.02</f>
        <v>6035.34</v>
      </c>
      <c r="BW58" s="313">
        <f t="shared" si="285"/>
        <v>5286.66</v>
      </c>
      <c r="BX58" s="313">
        <f t="shared" si="285"/>
        <v>5590.62</v>
      </c>
      <c r="BY58" s="313">
        <f t="shared" si="285"/>
        <v>5528.6855999999998</v>
      </c>
      <c r="BZ58" s="313">
        <f t="shared" si="285"/>
        <v>6156.0468000000001</v>
      </c>
      <c r="CA58" s="313"/>
      <c r="CB58" s="313"/>
      <c r="CC58" s="313"/>
      <c r="CD58" s="313"/>
      <c r="CE58" s="313"/>
      <c r="CF58" s="313"/>
      <c r="CG58" s="313"/>
      <c r="CH58" s="313"/>
      <c r="CI58" s="313"/>
      <c r="CJ58" s="313"/>
      <c r="CK58" s="313"/>
      <c r="CL58" s="313"/>
      <c r="CM58" s="313"/>
      <c r="CN58" s="313"/>
      <c r="CO58" s="313"/>
      <c r="CP58" s="313"/>
      <c r="CQ58" s="313">
        <v>5203</v>
      </c>
      <c r="CR58" s="313">
        <v>4993</v>
      </c>
      <c r="CS58" s="313">
        <v>5431</v>
      </c>
      <c r="CT58" s="313">
        <v>6457</v>
      </c>
      <c r="CU58" s="313">
        <v>5432</v>
      </c>
      <c r="CV58" s="313">
        <v>6073</v>
      </c>
      <c r="CW58" s="313">
        <v>6000</v>
      </c>
      <c r="CX58" s="313">
        <v>7154</v>
      </c>
      <c r="CY58" s="313">
        <v>5938</v>
      </c>
      <c r="CZ58" s="313">
        <f>+CZ55*0.25</f>
        <v>5817.2550000000001</v>
      </c>
      <c r="DA58" s="313">
        <f t="shared" ref="DA58:DF58" si="286">+DA55*0.25</f>
        <v>5754.0275000000011</v>
      </c>
      <c r="DB58" s="313">
        <f t="shared" si="286"/>
        <v>5866.9699999999993</v>
      </c>
      <c r="DC58" s="313">
        <f t="shared" si="286"/>
        <v>5852.2124999999996</v>
      </c>
      <c r="DD58" s="313">
        <f t="shared" si="286"/>
        <v>5958.8109000000004</v>
      </c>
      <c r="DE58" s="313">
        <f t="shared" si="286"/>
        <v>5919.6726250000002</v>
      </c>
      <c r="DF58" s="313">
        <f t="shared" si="286"/>
        <v>6059.9581500000013</v>
      </c>
      <c r="DH58" s="305">
        <v>3897</v>
      </c>
      <c r="DI58" s="305">
        <v>4469</v>
      </c>
      <c r="DJ58" s="305">
        <v>5099</v>
      </c>
      <c r="DK58" s="305">
        <v>5671</v>
      </c>
      <c r="DL58" s="305">
        <v>5771</v>
      </c>
      <c r="DM58" s="305">
        <v>6350</v>
      </c>
      <c r="DN58" s="305">
        <v>7462</v>
      </c>
      <c r="DO58" s="305">
        <v>8394</v>
      </c>
      <c r="DP58" s="305">
        <v>8715</v>
      </c>
      <c r="DQ58" s="305">
        <v>8907</v>
      </c>
      <c r="DR58" s="305">
        <v>10503</v>
      </c>
      <c r="DS58" s="305">
        <v>10875</v>
      </c>
      <c r="DT58" s="305">
        <v>11992</v>
      </c>
      <c r="DU58" s="305">
        <v>12216</v>
      </c>
      <c r="DV58" s="305">
        <v>14131</v>
      </c>
      <c r="DW58" s="305">
        <v>15860</v>
      </c>
      <c r="DX58" s="305">
        <v>16877</v>
      </c>
      <c r="DY58" s="305">
        <f>SUM(AM58:AP58)</f>
        <v>17433</v>
      </c>
      <c r="DZ58" s="305">
        <f>SUM(AQ58:AT58)</f>
        <v>20451</v>
      </c>
      <c r="EA58" s="305">
        <f>SUM(AU58:AX58)</f>
        <v>21490</v>
      </c>
      <c r="EB58" s="305">
        <f>SUM(AY58:BB58)</f>
        <v>19801</v>
      </c>
      <c r="EC58" s="305">
        <f>SUM(BC58:BF58)</f>
        <v>19424</v>
      </c>
      <c r="ED58" s="305">
        <f>SUM(BG58:BJ58)</f>
        <v>20969</v>
      </c>
      <c r="EE58" s="305">
        <f>SUM(BK58:BN58)</f>
        <v>20869</v>
      </c>
      <c r="EF58" s="305">
        <f>SUM(BO58:BR58)</f>
        <v>21455</v>
      </c>
      <c r="EG58" s="305">
        <f t="shared" ref="EG58" si="287">EG55*EG92</f>
        <v>25162.04955</v>
      </c>
      <c r="EH58" s="305"/>
      <c r="EI58" s="305"/>
      <c r="EJ58" s="305">
        <f>+EI58</f>
        <v>0</v>
      </c>
      <c r="EK58" s="305">
        <f t="shared" ref="EK58:EM58" si="288">+EJ58</f>
        <v>0</v>
      </c>
      <c r="EL58" s="305">
        <f t="shared" si="288"/>
        <v>0</v>
      </c>
      <c r="EM58" s="305">
        <f t="shared" si="288"/>
        <v>0</v>
      </c>
      <c r="EN58" s="305">
        <f>SUM(CU58:CX58)</f>
        <v>24659</v>
      </c>
      <c r="EO58" s="305">
        <f>+EO55*0.26</f>
        <v>24226.542600000001</v>
      </c>
      <c r="EP58" s="305">
        <f t="shared" ref="EP58:EW58" si="289">+EP55*0.26</f>
        <v>24288.588635999997</v>
      </c>
      <c r="EQ58" s="305">
        <f t="shared" si="289"/>
        <v>24376.725110010004</v>
      </c>
      <c r="ER58" s="305">
        <f t="shared" si="289"/>
        <v>24200.316495792453</v>
      </c>
      <c r="ES58" s="305">
        <f t="shared" si="289"/>
        <v>24100.372409371175</v>
      </c>
      <c r="ET58" s="305">
        <f t="shared" si="289"/>
        <v>24117.626492293326</v>
      </c>
      <c r="EU58" s="305">
        <f t="shared" si="289"/>
        <v>24191.626782127485</v>
      </c>
      <c r="EV58" s="305">
        <f t="shared" si="289"/>
        <v>23896.00397156701</v>
      </c>
      <c r="EW58" s="305">
        <f t="shared" si="289"/>
        <v>23848.474277519676</v>
      </c>
    </row>
    <row r="59" spans="1:159" s="376" customFormat="1" ht="12.75" customHeight="1" x14ac:dyDescent="0.2">
      <c r="A59" s="58"/>
      <c r="B59" s="353" t="s">
        <v>360</v>
      </c>
      <c r="C59" s="305">
        <v>478</v>
      </c>
      <c r="D59" s="305">
        <v>520</v>
      </c>
      <c r="E59" s="305">
        <v>516</v>
      </c>
      <c r="F59" s="305">
        <v>626</v>
      </c>
      <c r="G59" s="305">
        <v>494</v>
      </c>
      <c r="H59" s="305">
        <v>532</v>
      </c>
      <c r="I59" s="305">
        <v>511</v>
      </c>
      <c r="J59" s="305">
        <v>732</v>
      </c>
      <c r="K59" s="305">
        <v>536</v>
      </c>
      <c r="L59" s="305">
        <v>574</v>
      </c>
      <c r="M59" s="305">
        <v>613</v>
      </c>
      <c r="N59" s="305">
        <v>812</v>
      </c>
      <c r="O59" s="305">
        <v>637</v>
      </c>
      <c r="P59" s="305">
        <v>667</v>
      </c>
      <c r="Q59" s="305">
        <v>692</v>
      </c>
      <c r="R59" s="305">
        <v>930</v>
      </c>
      <c r="S59" s="305">
        <v>701</v>
      </c>
      <c r="T59" s="305">
        <v>829</v>
      </c>
      <c r="U59" s="305">
        <v>899</v>
      </c>
      <c r="V59" s="305">
        <v>1104</v>
      </c>
      <c r="W59" s="305">
        <v>831</v>
      </c>
      <c r="X59" s="305">
        <v>932</v>
      </c>
      <c r="Y59" s="305">
        <v>952</v>
      </c>
      <c r="Z59" s="305">
        <v>1242</v>
      </c>
      <c r="AA59" s="305">
        <v>936</v>
      </c>
      <c r="AB59" s="305">
        <v>1082</v>
      </c>
      <c r="AC59" s="305">
        <v>1177</v>
      </c>
      <c r="AD59" s="305">
        <v>1489</v>
      </c>
      <c r="AE59" s="305">
        <v>1095</v>
      </c>
      <c r="AF59" s="351">
        <v>1182</v>
      </c>
      <c r="AG59" s="351">
        <v>1198</v>
      </c>
      <c r="AH59" s="351">
        <v>1727</v>
      </c>
      <c r="AI59" s="351">
        <v>1384</v>
      </c>
      <c r="AJ59" s="351">
        <v>1487</v>
      </c>
      <c r="AK59" s="351">
        <v>1539</v>
      </c>
      <c r="AL59" s="351">
        <v>2014</v>
      </c>
      <c r="AM59" s="351">
        <v>1532</v>
      </c>
      <c r="AN59" s="313">
        <f>1828-165</f>
        <v>1663</v>
      </c>
      <c r="AO59" s="313">
        <v>1719</v>
      </c>
      <c r="AP59" s="313">
        <v>2046</v>
      </c>
      <c r="AQ59" s="313">
        <v>1652</v>
      </c>
      <c r="AR59" s="313">
        <v>1866</v>
      </c>
      <c r="AS59" s="313">
        <v>1834</v>
      </c>
      <c r="AT59" s="313">
        <f>2328</f>
        <v>2328</v>
      </c>
      <c r="AU59" s="313">
        <v>1712</v>
      </c>
      <c r="AV59" s="313">
        <v>1896</v>
      </c>
      <c r="AW59" s="313">
        <v>1861</v>
      </c>
      <c r="AX59" s="313">
        <v>2108</v>
      </c>
      <c r="AY59" s="313">
        <v>1518</v>
      </c>
      <c r="AZ59" s="313">
        <v>1638</v>
      </c>
      <c r="BA59" s="313">
        <v>1617</v>
      </c>
      <c r="BB59" s="313">
        <v>2213</v>
      </c>
      <c r="BC59" s="313">
        <v>1557</v>
      </c>
      <c r="BD59" s="313">
        <v>1648</v>
      </c>
      <c r="BE59" s="313">
        <v>1657</v>
      </c>
      <c r="BF59" s="313">
        <v>1982</v>
      </c>
      <c r="BG59" s="313">
        <v>1738</v>
      </c>
      <c r="BH59" s="313">
        <v>1882</v>
      </c>
      <c r="BI59" s="313">
        <v>1773</v>
      </c>
      <c r="BJ59" s="313">
        <v>2155</v>
      </c>
      <c r="BK59" s="313">
        <v>1645</v>
      </c>
      <c r="BL59" s="313">
        <v>1766</v>
      </c>
      <c r="BM59" s="313">
        <v>1923</v>
      </c>
      <c r="BN59" s="313">
        <v>2331</v>
      </c>
      <c r="BO59" s="313">
        <v>1784</v>
      </c>
      <c r="BP59" s="313">
        <v>1946</v>
      </c>
      <c r="BQ59" s="313">
        <v>2042</v>
      </c>
      <c r="BR59" s="313">
        <v>2411</v>
      </c>
      <c r="BS59" s="313">
        <v>1831</v>
      </c>
      <c r="BT59" s="313">
        <v>2005</v>
      </c>
      <c r="BU59" s="313">
        <f>+BQ59*1.01</f>
        <v>2062.42</v>
      </c>
      <c r="BV59" s="313">
        <f>+BR59*1.01</f>
        <v>2435.11</v>
      </c>
      <c r="BW59" s="313">
        <f t="shared" ref="BW59:BZ59" si="290">+BS59*1.01</f>
        <v>1849.31</v>
      </c>
      <c r="BX59" s="313">
        <f t="shared" si="290"/>
        <v>2025.05</v>
      </c>
      <c r="BY59" s="313">
        <f t="shared" si="290"/>
        <v>2083.0442000000003</v>
      </c>
      <c r="BZ59" s="313">
        <f t="shared" si="290"/>
        <v>2459.4611</v>
      </c>
      <c r="CA59" s="313"/>
      <c r="CB59" s="313"/>
      <c r="CC59" s="313"/>
      <c r="CD59" s="313"/>
      <c r="CE59" s="313"/>
      <c r="CF59" s="313"/>
      <c r="CG59" s="313"/>
      <c r="CH59" s="313"/>
      <c r="CI59" s="313"/>
      <c r="CJ59" s="313"/>
      <c r="CK59" s="313"/>
      <c r="CL59" s="313"/>
      <c r="CM59" s="313"/>
      <c r="CN59" s="313"/>
      <c r="CO59" s="313"/>
      <c r="CP59" s="313"/>
      <c r="CQ59" s="313">
        <v>2580</v>
      </c>
      <c r="CR59" s="313">
        <v>2707</v>
      </c>
      <c r="CS59" s="313">
        <v>2840</v>
      </c>
      <c r="CT59" s="313">
        <v>4032</v>
      </c>
      <c r="CU59" s="313">
        <v>3178</v>
      </c>
      <c r="CV59" s="313">
        <v>3394</v>
      </c>
      <c r="CW59" s="313">
        <v>3422</v>
      </c>
      <c r="CX59" s="313">
        <v>4720</v>
      </c>
      <c r="CY59" s="313">
        <v>3462</v>
      </c>
      <c r="CZ59" s="313"/>
      <c r="DA59" s="313"/>
      <c r="DB59" s="313"/>
      <c r="DC59" s="313"/>
      <c r="DD59" s="313"/>
      <c r="DE59" s="313"/>
      <c r="DF59" s="313"/>
      <c r="DH59" s="305">
        <v>719</v>
      </c>
      <c r="DI59" s="305">
        <v>834</v>
      </c>
      <c r="DJ59" s="305">
        <v>980</v>
      </c>
      <c r="DK59" s="305">
        <v>1127</v>
      </c>
      <c r="DL59" s="305">
        <v>1182</v>
      </c>
      <c r="DM59" s="305">
        <v>1278</v>
      </c>
      <c r="DN59" s="305">
        <v>1634</v>
      </c>
      <c r="DO59" s="305">
        <v>1905</v>
      </c>
      <c r="DP59" s="305">
        <v>2140</v>
      </c>
      <c r="DQ59" s="305">
        <v>2269</v>
      </c>
      <c r="DR59" s="305">
        <v>2600</v>
      </c>
      <c r="DS59" s="305">
        <v>2926</v>
      </c>
      <c r="DT59" s="305">
        <v>3591</v>
      </c>
      <c r="DU59" s="305">
        <v>3957</v>
      </c>
      <c r="DV59" s="305">
        <v>4684</v>
      </c>
      <c r="DW59" s="305">
        <v>5203</v>
      </c>
      <c r="DX59" s="305">
        <v>6312</v>
      </c>
      <c r="DY59" s="305">
        <f>SUM(AM59:AP59)</f>
        <v>6960</v>
      </c>
      <c r="DZ59" s="305">
        <f>SUM(AQ59:AT59)</f>
        <v>7680</v>
      </c>
      <c r="EA59" s="305">
        <f>SUM(AU59:AX59)</f>
        <v>7577</v>
      </c>
      <c r="EB59" s="305">
        <f>SUM(AY59:BB59)</f>
        <v>6986</v>
      </c>
      <c r="EC59" s="305">
        <f>SUM(BC59:BF59)</f>
        <v>6844</v>
      </c>
      <c r="ED59" s="305">
        <f>SUM(BG59:BJ59)</f>
        <v>7548</v>
      </c>
      <c r="EE59" s="305">
        <f>SUM(BK59:BN59)</f>
        <v>7665</v>
      </c>
      <c r="EF59" s="305">
        <f>SUM(BO59:BR59)</f>
        <v>8183</v>
      </c>
      <c r="EG59" s="305">
        <v>3000</v>
      </c>
      <c r="EH59" s="305">
        <v>3000</v>
      </c>
      <c r="EI59" s="305">
        <v>3000</v>
      </c>
      <c r="EJ59" s="305">
        <v>3000</v>
      </c>
      <c r="EK59" s="305">
        <v>3000</v>
      </c>
      <c r="EL59" s="305">
        <v>3000</v>
      </c>
      <c r="EM59" s="305">
        <v>3000</v>
      </c>
      <c r="EN59" s="305">
        <f t="shared" si="273"/>
        <v>14714</v>
      </c>
      <c r="EO59" s="305">
        <v>3000</v>
      </c>
      <c r="EP59" s="305">
        <v>3000</v>
      </c>
      <c r="EQ59" s="305">
        <v>3000</v>
      </c>
      <c r="ER59" s="305">
        <v>3000</v>
      </c>
      <c r="ES59" s="305">
        <v>3000</v>
      </c>
      <c r="ET59" s="305">
        <v>3000</v>
      </c>
      <c r="EU59" s="305">
        <v>3000</v>
      </c>
      <c r="EV59" s="305">
        <v>3000</v>
      </c>
      <c r="EW59" s="305">
        <v>3000</v>
      </c>
    </row>
    <row r="60" spans="1:159" s="376" customFormat="1" ht="12.75" customHeight="1" x14ac:dyDescent="0.2">
      <c r="A60" s="58"/>
      <c r="B60" s="353" t="s">
        <v>544</v>
      </c>
      <c r="C60" s="305"/>
      <c r="D60" s="305"/>
      <c r="E60" s="305"/>
      <c r="F60" s="305"/>
      <c r="G60" s="305"/>
      <c r="H60" s="305"/>
      <c r="I60" s="305"/>
      <c r="J60" s="305"/>
      <c r="K60" s="305"/>
      <c r="L60" s="305"/>
      <c r="M60" s="305"/>
      <c r="N60" s="305"/>
      <c r="O60" s="305"/>
      <c r="P60" s="305"/>
      <c r="Q60" s="305"/>
      <c r="R60" s="305"/>
      <c r="S60" s="305"/>
      <c r="T60" s="305"/>
      <c r="U60" s="305"/>
      <c r="V60" s="305"/>
      <c r="W60" s="305"/>
      <c r="X60" s="305"/>
      <c r="Y60" s="305"/>
      <c r="Z60" s="305"/>
      <c r="AA60" s="305"/>
      <c r="AB60" s="305"/>
      <c r="AC60" s="305"/>
      <c r="AD60" s="305"/>
      <c r="AE60" s="305"/>
      <c r="AF60" s="351"/>
      <c r="AG60" s="351"/>
      <c r="AH60" s="351"/>
      <c r="AI60" s="351"/>
      <c r="AJ60" s="351"/>
      <c r="AK60" s="351"/>
      <c r="AL60" s="351"/>
      <c r="AM60" s="351"/>
      <c r="AN60" s="313"/>
      <c r="AO60" s="313"/>
      <c r="AP60" s="313"/>
      <c r="AQ60" s="313"/>
      <c r="AR60" s="313"/>
      <c r="AS60" s="313"/>
      <c r="AT60" s="313"/>
      <c r="AU60" s="313"/>
      <c r="AV60" s="313"/>
      <c r="AW60" s="313"/>
      <c r="AX60" s="313"/>
      <c r="AY60" s="313"/>
      <c r="AZ60" s="313"/>
      <c r="BA60" s="313"/>
      <c r="BB60" s="313"/>
      <c r="BC60" s="313"/>
      <c r="BD60" s="313"/>
      <c r="BE60" s="313"/>
      <c r="BF60" s="313"/>
      <c r="BG60" s="313"/>
      <c r="BH60" s="313"/>
      <c r="BI60" s="313"/>
      <c r="BJ60" s="313"/>
      <c r="BK60" s="313"/>
      <c r="BL60" s="313"/>
      <c r="BM60" s="313"/>
      <c r="BN60" s="313"/>
      <c r="BO60" s="313"/>
      <c r="BP60" s="313"/>
      <c r="BQ60" s="313"/>
      <c r="BR60" s="313"/>
      <c r="BS60" s="313"/>
      <c r="BT60" s="313"/>
      <c r="BU60" s="313"/>
      <c r="BV60" s="313"/>
      <c r="BW60" s="313"/>
      <c r="BX60" s="313"/>
      <c r="BY60" s="313"/>
      <c r="BZ60" s="313"/>
      <c r="CA60" s="313"/>
      <c r="CB60" s="313"/>
      <c r="CC60" s="313"/>
      <c r="CD60" s="313"/>
      <c r="CE60" s="313"/>
      <c r="CF60" s="313"/>
      <c r="CG60" s="313"/>
      <c r="CH60" s="313"/>
      <c r="CI60" s="313"/>
      <c r="CJ60" s="313"/>
      <c r="CK60" s="313"/>
      <c r="CL60" s="313"/>
      <c r="CM60" s="313"/>
      <c r="CN60" s="313"/>
      <c r="CO60" s="313"/>
      <c r="CP60" s="313"/>
      <c r="CQ60" s="313">
        <f t="shared" ref="CQ60" si="291">+CQ59+CQ58</f>
        <v>7783</v>
      </c>
      <c r="CR60" s="313">
        <f t="shared" ref="CR60" si="292">+CR59+CR58</f>
        <v>7700</v>
      </c>
      <c r="CS60" s="313">
        <f t="shared" ref="CS60" si="293">+CS59+CS58</f>
        <v>8271</v>
      </c>
      <c r="CT60" s="313">
        <f t="shared" ref="CT60" si="294">+CT59+CT58</f>
        <v>10489</v>
      </c>
      <c r="CU60" s="313">
        <f t="shared" ref="CU60" si="295">+CU59+CU58</f>
        <v>8610</v>
      </c>
      <c r="CV60" s="313">
        <f t="shared" ref="CV60" si="296">+CV59+CV58</f>
        <v>9467</v>
      </c>
      <c r="CW60" s="313">
        <f t="shared" ref="CW60" si="297">+CW59+CW58</f>
        <v>9422</v>
      </c>
      <c r="CX60" s="313">
        <f t="shared" ref="CX60" si="298">+CX59+CX58</f>
        <v>11874</v>
      </c>
      <c r="CY60" s="313">
        <f>+CY59+CY58</f>
        <v>9400</v>
      </c>
      <c r="CZ60" s="313">
        <f t="shared" ref="CZ60:DF60" si="299">+CZ59+CZ58</f>
        <v>5817.2550000000001</v>
      </c>
      <c r="DA60" s="313">
        <f t="shared" si="299"/>
        <v>5754.0275000000011</v>
      </c>
      <c r="DB60" s="313">
        <f t="shared" si="299"/>
        <v>5866.9699999999993</v>
      </c>
      <c r="DC60" s="313">
        <f t="shared" si="299"/>
        <v>5852.2124999999996</v>
      </c>
      <c r="DD60" s="313">
        <f t="shared" si="299"/>
        <v>5958.8109000000004</v>
      </c>
      <c r="DE60" s="313">
        <f t="shared" si="299"/>
        <v>5919.6726250000002</v>
      </c>
      <c r="DF60" s="313">
        <f t="shared" si="299"/>
        <v>6059.9581500000013</v>
      </c>
      <c r="DH60" s="305"/>
      <c r="DI60" s="305"/>
      <c r="DJ60" s="305"/>
      <c r="DK60" s="305"/>
      <c r="DL60" s="305"/>
      <c r="DM60" s="305"/>
      <c r="DN60" s="305"/>
      <c r="DO60" s="305"/>
      <c r="DP60" s="305"/>
      <c r="DQ60" s="305"/>
      <c r="DR60" s="305"/>
      <c r="DS60" s="305"/>
      <c r="DT60" s="305"/>
      <c r="DU60" s="305"/>
      <c r="DV60" s="305"/>
      <c r="DW60" s="305"/>
      <c r="DX60" s="305"/>
      <c r="DY60" s="305"/>
      <c r="DZ60" s="305"/>
      <c r="EA60" s="305"/>
      <c r="EB60" s="305"/>
      <c r="EC60" s="305"/>
      <c r="ED60" s="305"/>
      <c r="EE60" s="305"/>
      <c r="EF60" s="305"/>
      <c r="EG60" s="305"/>
      <c r="EH60" s="305"/>
      <c r="EI60" s="305"/>
      <c r="EJ60" s="305"/>
      <c r="EK60" s="305">
        <f t="shared" ref="EK60:EO60" si="300">+EK59+EK58</f>
        <v>3000</v>
      </c>
      <c r="EL60" s="305">
        <f t="shared" si="300"/>
        <v>3000</v>
      </c>
      <c r="EM60" s="305">
        <f t="shared" si="300"/>
        <v>3000</v>
      </c>
      <c r="EN60" s="305">
        <f t="shared" si="300"/>
        <v>39373</v>
      </c>
      <c r="EO60" s="305">
        <f t="shared" si="300"/>
        <v>27226.542600000001</v>
      </c>
      <c r="EP60" s="305">
        <f t="shared" ref="EP60" si="301">+EP59+EP58</f>
        <v>27288.588635999997</v>
      </c>
      <c r="EQ60" s="305">
        <f t="shared" ref="EQ60" si="302">+EQ59+EQ58</f>
        <v>27376.725110010004</v>
      </c>
      <c r="ER60" s="305">
        <f t="shared" ref="ER60" si="303">+ER59+ER58</f>
        <v>27200.316495792453</v>
      </c>
      <c r="ES60" s="305">
        <f t="shared" ref="ES60" si="304">+ES59+ES58</f>
        <v>27100.372409371175</v>
      </c>
      <c r="ET60" s="305">
        <f t="shared" ref="ET60" si="305">+ET59+ET58</f>
        <v>27117.626492293326</v>
      </c>
      <c r="EU60" s="305">
        <f t="shared" ref="EU60" si="306">+EU59+EU58</f>
        <v>27191.626782127485</v>
      </c>
      <c r="EV60" s="305">
        <f t="shared" ref="EV60" si="307">+EV59+EV58</f>
        <v>26896.00397156701</v>
      </c>
      <c r="EW60" s="305">
        <f t="shared" ref="EW60" si="308">+EW59+EW58</f>
        <v>26848.474277519676</v>
      </c>
    </row>
    <row r="61" spans="1:159" s="376" customFormat="1" ht="12.75" customHeight="1" x14ac:dyDescent="0.2">
      <c r="A61" s="58"/>
      <c r="B61" s="353" t="s">
        <v>361</v>
      </c>
      <c r="C61" s="305">
        <f t="shared" ref="C61:AH61" si="309">C57-C58-C59</f>
        <v>1327</v>
      </c>
      <c r="D61" s="305">
        <f t="shared" si="309"/>
        <v>1287</v>
      </c>
      <c r="E61" s="305">
        <f t="shared" si="309"/>
        <v>1171</v>
      </c>
      <c r="F61" s="305">
        <f t="shared" si="309"/>
        <v>837</v>
      </c>
      <c r="G61" s="305">
        <f t="shared" si="309"/>
        <v>1412</v>
      </c>
      <c r="H61" s="305">
        <f t="shared" si="309"/>
        <v>1334</v>
      </c>
      <c r="I61" s="305">
        <f t="shared" si="309"/>
        <v>1304</v>
      </c>
      <c r="J61" s="305">
        <f t="shared" si="309"/>
        <v>995</v>
      </c>
      <c r="K61" s="305">
        <f t="shared" si="309"/>
        <v>1661</v>
      </c>
      <c r="L61" s="305">
        <f t="shared" si="309"/>
        <v>1645</v>
      </c>
      <c r="M61" s="305">
        <f t="shared" si="309"/>
        <v>1542</v>
      </c>
      <c r="N61" s="305">
        <f t="shared" si="309"/>
        <v>1023</v>
      </c>
      <c r="O61" s="305">
        <f t="shared" si="309"/>
        <v>1832</v>
      </c>
      <c r="P61" s="305">
        <f t="shared" si="309"/>
        <v>1840</v>
      </c>
      <c r="Q61" s="305">
        <f t="shared" si="309"/>
        <v>1658</v>
      </c>
      <c r="R61" s="305">
        <f t="shared" si="309"/>
        <v>1147</v>
      </c>
      <c r="S61" s="305">
        <f t="shared" si="309"/>
        <v>2090</v>
      </c>
      <c r="T61" s="305">
        <f t="shared" si="309"/>
        <v>2176</v>
      </c>
      <c r="U61" s="305">
        <f t="shared" si="309"/>
        <v>2060</v>
      </c>
      <c r="V61" s="305">
        <f t="shared" si="309"/>
        <v>1530</v>
      </c>
      <c r="W61" s="305">
        <f t="shared" si="309"/>
        <v>2612</v>
      </c>
      <c r="X61" s="305">
        <f t="shared" si="309"/>
        <v>2542</v>
      </c>
      <c r="Y61" s="305">
        <f t="shared" si="309"/>
        <v>2510</v>
      </c>
      <c r="Z61" s="305">
        <f t="shared" si="309"/>
        <v>2014</v>
      </c>
      <c r="AA61" s="305">
        <f t="shared" si="309"/>
        <v>2911</v>
      </c>
      <c r="AB61" s="305">
        <f t="shared" si="309"/>
        <v>2888</v>
      </c>
      <c r="AC61" s="305">
        <f t="shared" si="309"/>
        <v>2869</v>
      </c>
      <c r="AD61" s="305">
        <f t="shared" si="309"/>
        <v>2338</v>
      </c>
      <c r="AE61" s="305">
        <f t="shared" si="309"/>
        <v>3882</v>
      </c>
      <c r="AF61" s="351">
        <f t="shared" si="309"/>
        <v>3837</v>
      </c>
      <c r="AG61" s="351">
        <f t="shared" si="309"/>
        <v>3314</v>
      </c>
      <c r="AH61" s="351">
        <f t="shared" si="309"/>
        <v>2664</v>
      </c>
      <c r="AI61" s="351">
        <f t="shared" ref="AI61:BA61" si="310">AI57-AI58-AI59</f>
        <v>3825</v>
      </c>
      <c r="AJ61" s="351">
        <f t="shared" si="310"/>
        <v>3559</v>
      </c>
      <c r="AK61" s="351">
        <f t="shared" si="310"/>
        <v>3256</v>
      </c>
      <c r="AL61" s="351">
        <f t="shared" si="310"/>
        <v>2313</v>
      </c>
      <c r="AM61" s="351">
        <f t="shared" si="310"/>
        <v>3753</v>
      </c>
      <c r="AN61" s="313">
        <f t="shared" si="310"/>
        <v>3561</v>
      </c>
      <c r="AO61" s="313">
        <f t="shared" si="310"/>
        <v>3627</v>
      </c>
      <c r="AP61" s="313">
        <f t="shared" si="310"/>
        <v>2933</v>
      </c>
      <c r="AQ61" s="313">
        <f>AQ57-AQ58-AQ59</f>
        <v>4248</v>
      </c>
      <c r="AR61" s="313">
        <f t="shared" si="310"/>
        <v>3889</v>
      </c>
      <c r="AS61" s="313">
        <f t="shared" si="310"/>
        <v>4000</v>
      </c>
      <c r="AT61" s="313">
        <f t="shared" si="310"/>
        <v>3174</v>
      </c>
      <c r="AU61" s="313">
        <f t="shared" si="310"/>
        <v>4745</v>
      </c>
      <c r="AV61" s="313">
        <f t="shared" si="310"/>
        <v>4296</v>
      </c>
      <c r="AW61" s="313">
        <f t="shared" si="310"/>
        <v>4091</v>
      </c>
      <c r="AX61" s="313">
        <f t="shared" si="310"/>
        <v>3037</v>
      </c>
      <c r="AY61" s="313">
        <f t="shared" si="310"/>
        <v>4649</v>
      </c>
      <c r="AZ61" s="313">
        <f t="shared" si="310"/>
        <v>4354</v>
      </c>
      <c r="BA61" s="313">
        <f t="shared" si="310"/>
        <v>4263</v>
      </c>
      <c r="BB61" s="313">
        <f t="shared" ref="BB61:BH61" si="311">BB57-BB58-BB59</f>
        <v>3510</v>
      </c>
      <c r="BC61" s="313">
        <f t="shared" si="311"/>
        <v>4767</v>
      </c>
      <c r="BD61" s="313">
        <f t="shared" si="311"/>
        <v>4355</v>
      </c>
      <c r="BE61" s="313">
        <f t="shared" si="311"/>
        <v>4022</v>
      </c>
      <c r="BF61" s="313">
        <f t="shared" si="311"/>
        <v>3442</v>
      </c>
      <c r="BG61" s="313">
        <f t="shared" si="311"/>
        <v>5394</v>
      </c>
      <c r="BH61" s="313">
        <f t="shared" si="311"/>
        <v>4328</v>
      </c>
      <c r="BI61" s="313">
        <f>BI57-BI58-BI59</f>
        <v>3920</v>
      </c>
      <c r="BJ61" s="313">
        <f t="shared" ref="BJ61:BN61" si="312">BJ57-BJ58-BJ59</f>
        <v>5870</v>
      </c>
      <c r="BK61" s="313">
        <f>BK57-BK58-BK59</f>
        <v>4564</v>
      </c>
      <c r="BL61" s="313">
        <f t="shared" si="312"/>
        <v>4752</v>
      </c>
      <c r="BM61" s="313">
        <f>BM57-BM58-BM59</f>
        <v>4443</v>
      </c>
      <c r="BN61" s="313">
        <f t="shared" si="312"/>
        <v>3796</v>
      </c>
      <c r="BO61" s="313">
        <f t="shared" ref="BO61:BQ61" si="313">BO57-BO58-BO59</f>
        <v>4987</v>
      </c>
      <c r="BP61" s="313">
        <f t="shared" si="313"/>
        <v>5497</v>
      </c>
      <c r="BQ61" s="313">
        <f t="shared" si="313"/>
        <v>4939</v>
      </c>
      <c r="BR61" s="313">
        <f>BR57-BR58-BR59</f>
        <v>4168</v>
      </c>
      <c r="BS61" s="313">
        <f>BS57-BS58-BS59</f>
        <v>5646</v>
      </c>
      <c r="BT61" s="313">
        <f t="shared" ref="BT61:BZ61" si="314">BT57-BT58-BT59</f>
        <v>5970</v>
      </c>
      <c r="BU61" s="313">
        <f t="shared" si="314"/>
        <v>5505.0019999999995</v>
      </c>
      <c r="BV61" s="313">
        <f t="shared" si="314"/>
        <v>5179.389000000001</v>
      </c>
      <c r="BW61" s="313">
        <f t="shared" si="314"/>
        <v>6194.4169999999995</v>
      </c>
      <c r="BX61" s="313">
        <f t="shared" si="314"/>
        <v>6368.5029999999997</v>
      </c>
      <c r="BY61" s="313">
        <f t="shared" si="314"/>
        <v>6029.2994200000003</v>
      </c>
      <c r="BZ61" s="313">
        <f t="shared" si="314"/>
        <v>5696.1583500000015</v>
      </c>
      <c r="CA61" s="313"/>
      <c r="CB61" s="313"/>
      <c r="CC61" s="313"/>
      <c r="CD61" s="313"/>
      <c r="CE61" s="313"/>
      <c r="CF61" s="313"/>
      <c r="CG61" s="313"/>
      <c r="CH61" s="313"/>
      <c r="CI61" s="313"/>
      <c r="CJ61" s="313"/>
      <c r="CK61" s="313"/>
      <c r="CL61" s="313"/>
      <c r="CM61" s="313"/>
      <c r="CN61" s="313"/>
      <c r="CO61" s="313"/>
      <c r="CP61" s="313"/>
      <c r="CQ61" s="313">
        <f t="shared" ref="CQ61" si="315">+CQ57-CQ60</f>
        <v>5845</v>
      </c>
      <c r="CR61" s="313">
        <f t="shared" ref="CR61" si="316">+CR57-CR60</f>
        <v>4059</v>
      </c>
      <c r="CS61" s="313">
        <f t="shared" ref="CS61" si="317">+CS57-CS60</f>
        <v>5839</v>
      </c>
      <c r="CT61" s="313">
        <f t="shared" ref="CT61" si="318">+CT57-CT60</f>
        <v>4173</v>
      </c>
      <c r="CU61" s="313">
        <f t="shared" ref="CU61" si="319">+CU57-CU60</f>
        <v>6648</v>
      </c>
      <c r="CV61" s="313">
        <f t="shared" ref="CV61" si="320">+CV57-CV60</f>
        <v>6260</v>
      </c>
      <c r="CW61" s="313">
        <f t="shared" ref="CW61" si="321">+CW57-CW60</f>
        <v>6663</v>
      </c>
      <c r="CX61" s="313">
        <f t="shared" ref="CX61" si="322">+CX57-CX60</f>
        <v>4978</v>
      </c>
      <c r="CY61" s="313">
        <f>+CY57-CY60</f>
        <v>6428</v>
      </c>
      <c r="CZ61" s="313">
        <f t="shared" ref="CZ61:DF61" si="323">+CZ57-CZ60</f>
        <v>9889.3335000000006</v>
      </c>
      <c r="DA61" s="313">
        <f t="shared" si="323"/>
        <v>9781.8467500000042</v>
      </c>
      <c r="DB61" s="313">
        <f t="shared" si="323"/>
        <v>9973.8490000000002</v>
      </c>
      <c r="DC61" s="313">
        <f t="shared" si="323"/>
        <v>9948.7612499999996</v>
      </c>
      <c r="DD61" s="313">
        <f t="shared" si="323"/>
        <v>10129.978530000002</v>
      </c>
      <c r="DE61" s="313">
        <f t="shared" si="323"/>
        <v>10063.443462500003</v>
      </c>
      <c r="DF61" s="313">
        <f t="shared" si="323"/>
        <v>10301.928855000002</v>
      </c>
      <c r="DH61" s="305">
        <f t="shared" ref="DH61:EI61" si="324">DH57-DH58-DH59</f>
        <v>1661</v>
      </c>
      <c r="DI61" s="305">
        <f t="shared" si="324"/>
        <v>1992</v>
      </c>
      <c r="DJ61" s="305">
        <f t="shared" si="324"/>
        <v>2164</v>
      </c>
      <c r="DK61" s="305">
        <f t="shared" si="324"/>
        <v>2277</v>
      </c>
      <c r="DL61" s="305">
        <f t="shared" si="324"/>
        <v>2394</v>
      </c>
      <c r="DM61" s="305">
        <f t="shared" si="324"/>
        <v>2807</v>
      </c>
      <c r="DN61" s="305">
        <f t="shared" si="324"/>
        <v>3511</v>
      </c>
      <c r="DO61" s="305">
        <f t="shared" si="324"/>
        <v>4303</v>
      </c>
      <c r="DP61" s="305">
        <f t="shared" si="324"/>
        <v>4622</v>
      </c>
      <c r="DQ61" s="305">
        <f t="shared" si="324"/>
        <v>5045</v>
      </c>
      <c r="DR61" s="305">
        <f t="shared" si="324"/>
        <v>5926</v>
      </c>
      <c r="DS61" s="305">
        <f t="shared" si="324"/>
        <v>6477</v>
      </c>
      <c r="DT61" s="305">
        <f t="shared" si="324"/>
        <v>7885</v>
      </c>
      <c r="DU61" s="305">
        <f t="shared" si="324"/>
        <v>10291.900000000001</v>
      </c>
      <c r="DV61" s="305">
        <f t="shared" si="324"/>
        <v>11374.400000000001</v>
      </c>
      <c r="DW61" s="305">
        <f t="shared" si="324"/>
        <v>13632</v>
      </c>
      <c r="DX61" s="305">
        <f t="shared" si="324"/>
        <v>12355</v>
      </c>
      <c r="DY61" s="305">
        <f t="shared" si="324"/>
        <v>13874</v>
      </c>
      <c r="DZ61" s="305">
        <f>DZ57-DZ58-DZ59</f>
        <v>15213</v>
      </c>
      <c r="EA61" s="305">
        <f>EA57-EA58-EA59</f>
        <v>16169</v>
      </c>
      <c r="EB61" s="305">
        <f>EB57-EB58-EB59</f>
        <v>16776</v>
      </c>
      <c r="EC61" s="305">
        <f>EC57-EC58-EC59</f>
        <v>16395</v>
      </c>
      <c r="ED61" s="305">
        <f t="shared" si="324"/>
        <v>19512</v>
      </c>
      <c r="EE61" s="305">
        <f t="shared" si="324"/>
        <v>17555</v>
      </c>
      <c r="EF61" s="305">
        <f t="shared" si="324"/>
        <v>19332</v>
      </c>
      <c r="EG61" s="305">
        <f t="shared" si="324"/>
        <v>24449.50859999999</v>
      </c>
      <c r="EH61" s="305">
        <f t="shared" si="324"/>
        <v>50133.349794749993</v>
      </c>
      <c r="EI61" s="305">
        <f t="shared" si="324"/>
        <v>47626.819132721241</v>
      </c>
      <c r="EJ61" s="305">
        <f t="shared" ref="EJ61:EM61" si="325">EJ57-EJ58-EJ59</f>
        <v>45636.846578648649</v>
      </c>
      <c r="EK61" s="305">
        <f t="shared" si="325"/>
        <v>45640.89733185307</v>
      </c>
      <c r="EL61" s="305">
        <f t="shared" si="325"/>
        <v>45944.70763080522</v>
      </c>
      <c r="EM61" s="305">
        <f t="shared" si="325"/>
        <v>53984.34</v>
      </c>
      <c r="EN61" s="305">
        <f>+EN57-EN60</f>
        <v>24549</v>
      </c>
      <c r="EO61" s="305">
        <f t="shared" ref="EO61:EW61" si="326">+EO57-EO60</f>
        <v>37066.974299999987</v>
      </c>
      <c r="EP61" s="305">
        <f t="shared" si="326"/>
        <v>37169.588897999987</v>
      </c>
      <c r="EQ61" s="305">
        <f t="shared" si="326"/>
        <v>37315.353066554999</v>
      </c>
      <c r="ER61" s="305">
        <f t="shared" si="326"/>
        <v>37023.600358425974</v>
      </c>
      <c r="ES61" s="305">
        <f t="shared" si="326"/>
        <v>36858.308215498473</v>
      </c>
      <c r="ET61" s="305">
        <f t="shared" si="326"/>
        <v>36886.843814177424</v>
      </c>
      <c r="EU61" s="305">
        <f t="shared" si="326"/>
        <v>37009.22890890314</v>
      </c>
      <c r="EV61" s="305">
        <f t="shared" si="326"/>
        <v>36520.314260668514</v>
      </c>
      <c r="EW61" s="305">
        <f t="shared" si="326"/>
        <v>36441.707458974837</v>
      </c>
    </row>
    <row r="62" spans="1:159" s="376" customFormat="1" ht="12.75" customHeight="1" x14ac:dyDescent="0.2">
      <c r="A62" s="58"/>
      <c r="B62" s="353" t="s">
        <v>362</v>
      </c>
      <c r="C62" s="305">
        <v>36</v>
      </c>
      <c r="D62" s="305">
        <v>57</v>
      </c>
      <c r="E62" s="305">
        <v>58</v>
      </c>
      <c r="F62" s="305">
        <v>36</v>
      </c>
      <c r="G62" s="305">
        <v>61</v>
      </c>
      <c r="H62" s="305">
        <v>64</v>
      </c>
      <c r="I62" s="305">
        <v>67</v>
      </c>
      <c r="J62" s="305">
        <v>40</v>
      </c>
      <c r="K62" s="305">
        <v>52</v>
      </c>
      <c r="L62" s="305">
        <v>51</v>
      </c>
      <c r="M62" s="305">
        <v>61</v>
      </c>
      <c r="N62" s="305">
        <v>32</v>
      </c>
      <c r="O62" s="305">
        <v>77</v>
      </c>
      <c r="P62" s="305">
        <v>81</v>
      </c>
      <c r="Q62" s="305">
        <v>106</v>
      </c>
      <c r="R62" s="305">
        <v>84</v>
      </c>
      <c r="S62" s="305">
        <v>105</v>
      </c>
      <c r="T62" s="305">
        <v>120</v>
      </c>
      <c r="U62" s="305">
        <v>106</v>
      </c>
      <c r="V62" s="305">
        <v>74</v>
      </c>
      <c r="W62" s="305">
        <v>76</v>
      </c>
      <c r="X62" s="305">
        <v>189</v>
      </c>
      <c r="Y62" s="305">
        <v>51</v>
      </c>
      <c r="Z62" s="305">
        <v>12</v>
      </c>
      <c r="AA62" s="305">
        <v>38</v>
      </c>
      <c r="AB62" s="305">
        <v>43</v>
      </c>
      <c r="AC62" s="305">
        <v>63</v>
      </c>
      <c r="AD62" s="305">
        <v>-11</v>
      </c>
      <c r="AE62" s="305">
        <v>-6</v>
      </c>
      <c r="AF62" s="351">
        <v>-17</v>
      </c>
      <c r="AG62" s="351">
        <v>19</v>
      </c>
      <c r="AH62" s="351">
        <v>12</v>
      </c>
      <c r="AI62" s="351">
        <v>69</v>
      </c>
      <c r="AJ62" s="351">
        <v>94</v>
      </c>
      <c r="AK62" s="351">
        <v>101</v>
      </c>
      <c r="AL62" s="351">
        <v>169</v>
      </c>
      <c r="AM62" s="351">
        <v>181</v>
      </c>
      <c r="AN62" s="313">
        <v>196</v>
      </c>
      <c r="AO62" s="313">
        <v>194</v>
      </c>
      <c r="AP62" s="313">
        <v>195</v>
      </c>
      <c r="AQ62" s="313">
        <v>33</v>
      </c>
      <c r="AR62" s="313">
        <f>36+117</f>
        <v>153</v>
      </c>
      <c r="AS62" s="313">
        <v>54</v>
      </c>
      <c r="AT62" s="313">
        <v>35</v>
      </c>
      <c r="AU62" s="313">
        <v>-16</v>
      </c>
      <c r="AV62" s="313">
        <v>135</v>
      </c>
      <c r="AW62" s="313">
        <v>224</v>
      </c>
      <c r="AX62" s="313">
        <v>-17</v>
      </c>
      <c r="AY62" s="313">
        <v>-81</v>
      </c>
      <c r="AZ62" s="313">
        <v>-85</v>
      </c>
      <c r="BA62" s="313">
        <v>-114</v>
      </c>
      <c r="BB62" s="313">
        <v>-81</v>
      </c>
      <c r="BC62" s="313">
        <v>-81</v>
      </c>
      <c r="BD62" s="313">
        <v>-58</v>
      </c>
      <c r="BE62" s="313">
        <v>-95</v>
      </c>
      <c r="BF62" s="313">
        <v>-114</v>
      </c>
      <c r="BG62" s="313">
        <f>13-104</f>
        <v>-91</v>
      </c>
      <c r="BH62" s="313">
        <f>-111-206</f>
        <v>-317</v>
      </c>
      <c r="BI62" s="313">
        <f>308-117</f>
        <v>191</v>
      </c>
      <c r="BJ62" s="313">
        <f>-148-2858+1134+1522+412+277+14</f>
        <v>353</v>
      </c>
      <c r="BK62" s="313">
        <f>-130+611</f>
        <v>481</v>
      </c>
      <c r="BL62" s="313">
        <v>-129</v>
      </c>
      <c r="BM62" s="313">
        <f>-120+90</f>
        <v>-30</v>
      </c>
      <c r="BN62" s="313"/>
      <c r="BO62" s="313"/>
      <c r="BP62" s="313"/>
      <c r="BQ62" s="313"/>
      <c r="BR62" s="313"/>
      <c r="BS62" s="313"/>
      <c r="BT62" s="313"/>
      <c r="BU62" s="313"/>
      <c r="BV62" s="313"/>
      <c r="BW62" s="313"/>
      <c r="BX62" s="313"/>
      <c r="BY62" s="313"/>
      <c r="BZ62" s="313"/>
      <c r="CA62" s="313"/>
      <c r="CB62" s="313"/>
      <c r="CC62" s="313"/>
      <c r="CD62" s="313"/>
      <c r="CE62" s="313"/>
      <c r="CF62" s="313"/>
      <c r="CG62" s="313"/>
      <c r="CH62" s="313"/>
      <c r="CI62" s="313"/>
      <c r="CJ62" s="313"/>
      <c r="CK62" s="313"/>
      <c r="CL62" s="313"/>
      <c r="CM62" s="313"/>
      <c r="CN62" s="313"/>
      <c r="CO62" s="313"/>
      <c r="CP62" s="313"/>
      <c r="CQ62" s="313">
        <v>-42</v>
      </c>
      <c r="CR62" s="313">
        <f>-26-24</f>
        <v>-50</v>
      </c>
      <c r="CS62" s="313">
        <v>-32</v>
      </c>
      <c r="CT62" s="313">
        <v>-74</v>
      </c>
      <c r="CU62" s="313">
        <f>-48+882</f>
        <v>834</v>
      </c>
      <c r="CV62" s="313">
        <f>-28+488</f>
        <v>460</v>
      </c>
      <c r="CW62" s="313">
        <v>-7</v>
      </c>
      <c r="CX62" s="313">
        <f>-47-9</f>
        <v>-56</v>
      </c>
      <c r="CY62" s="313">
        <f>12+102</f>
        <v>114</v>
      </c>
      <c r="CZ62" s="313">
        <v>0</v>
      </c>
      <c r="DA62" s="313">
        <v>0</v>
      </c>
      <c r="DB62" s="313">
        <v>0</v>
      </c>
      <c r="DC62" s="313">
        <v>0</v>
      </c>
      <c r="DD62" s="313">
        <v>0</v>
      </c>
      <c r="DE62" s="313">
        <v>0</v>
      </c>
      <c r="DF62" s="313">
        <v>0</v>
      </c>
      <c r="DH62" s="305">
        <f>-87+141+93</f>
        <v>147</v>
      </c>
      <c r="DI62" s="305">
        <f>-98+201+162</f>
        <v>265</v>
      </c>
      <c r="DJ62" s="305">
        <f>-88+129+85</f>
        <v>126</v>
      </c>
      <c r="DK62" s="305">
        <f>-93+124+39</f>
        <v>70</v>
      </c>
      <c r="DL62" s="305">
        <f>-80+126+16</f>
        <v>62</v>
      </c>
      <c r="DM62" s="305">
        <f>-60+142+44</f>
        <v>126</v>
      </c>
      <c r="DN62" s="305">
        <v>115</v>
      </c>
      <c r="DO62" s="305">
        <v>139</v>
      </c>
      <c r="DP62" s="305">
        <v>203</v>
      </c>
      <c r="DQ62" s="305">
        <v>262</v>
      </c>
      <c r="DR62" s="305">
        <v>246</v>
      </c>
      <c r="DS62" s="305">
        <v>379</v>
      </c>
      <c r="DT62" s="305">
        <v>456</v>
      </c>
      <c r="DU62" s="305">
        <v>256</v>
      </c>
      <c r="DV62" s="305">
        <v>177</v>
      </c>
      <c r="DW62" s="305">
        <v>195</v>
      </c>
      <c r="DX62" s="305">
        <v>487</v>
      </c>
      <c r="DY62" s="305">
        <v>766</v>
      </c>
      <c r="DZ62" s="305">
        <f>SUM(AQ62:AT62)</f>
        <v>275</v>
      </c>
      <c r="EA62" s="305">
        <f>SUM(AU62:AX62)</f>
        <v>326</v>
      </c>
      <c r="EB62" s="305">
        <f>EA141*0.05</f>
        <v>2.5</v>
      </c>
      <c r="EC62" s="305">
        <f>SUM(BC62:BF62)</f>
        <v>-348</v>
      </c>
      <c r="ED62" s="305">
        <f>SUM(BG62:BJ62)</f>
        <v>136</v>
      </c>
      <c r="EE62" s="305"/>
      <c r="EF62" s="305"/>
      <c r="EG62" s="305">
        <f>EF141*$FA$68</f>
        <v>389.677775</v>
      </c>
      <c r="EH62" s="305">
        <f>EG141*$FA$68</f>
        <v>490.44512535327885</v>
      </c>
      <c r="EI62" s="305">
        <f>EH141*$FA$68</f>
        <v>743.56409995379522</v>
      </c>
      <c r="EJ62" s="305">
        <f t="shared" ref="EJ62" si="327">EI141*$FA$68</f>
        <v>985.41601611717044</v>
      </c>
      <c r="EK62" s="305">
        <f t="shared" ref="EK62" si="328">EJ141*$FA$68</f>
        <v>1160.2495008475423</v>
      </c>
      <c r="EL62" s="305">
        <f t="shared" ref="EL62" si="329">EK141*$FA$68</f>
        <v>1335.7538014701695</v>
      </c>
      <c r="EM62" s="305">
        <f t="shared" ref="EM62" si="330">EL141*$FA$68</f>
        <v>1513.0555318412023</v>
      </c>
      <c r="EN62" s="305">
        <f t="shared" ref="EN62" si="331">SUM(CU62:CX62)</f>
        <v>1231</v>
      </c>
      <c r="EO62" s="305">
        <f t="shared" ref="EO62" si="332">EN141*$FA$68</f>
        <v>1840.5807650856066</v>
      </c>
      <c r="EP62" s="305">
        <f t="shared" ref="EP62" si="333">EO141*$FA$68</f>
        <v>1986.4840965796775</v>
      </c>
      <c r="EQ62" s="305">
        <f t="shared" ref="EQ62" si="334">EP141*$FA$68</f>
        <v>2133.3193703093511</v>
      </c>
      <c r="ER62" s="305">
        <f>EQ141*$FA$68</f>
        <v>2281.2518919475924</v>
      </c>
      <c r="ES62" s="305">
        <f t="shared" ref="ES62" si="335">ER141*$FA$68</f>
        <v>0</v>
      </c>
      <c r="ET62" s="305">
        <f t="shared" ref="ET62" si="336">ES141*$FA$68</f>
        <v>0</v>
      </c>
      <c r="EU62" s="305">
        <f t="shared" ref="EU62" si="337">ET141*$FA$68</f>
        <v>0</v>
      </c>
      <c r="EV62" s="305">
        <f t="shared" ref="EV62" si="338">EU141*$FA$68</f>
        <v>0</v>
      </c>
      <c r="EW62" s="305">
        <f t="shared" ref="EW62" si="339">EV141*$FA$68</f>
        <v>0</v>
      </c>
    </row>
    <row r="63" spans="1:159" s="376" customFormat="1" ht="12.75" customHeight="1" x14ac:dyDescent="0.2">
      <c r="A63" s="58"/>
      <c r="B63" s="353" t="s">
        <v>363</v>
      </c>
      <c r="C63" s="305">
        <f>33+28</f>
        <v>61</v>
      </c>
      <c r="D63" s="305">
        <f>35+15</f>
        <v>50</v>
      </c>
      <c r="E63" s="305">
        <f>36-4</f>
        <v>32</v>
      </c>
      <c r="F63" s="305">
        <v>90</v>
      </c>
      <c r="G63" s="305">
        <f>28+11</f>
        <v>39</v>
      </c>
      <c r="H63" s="305">
        <f>26+1</f>
        <v>27</v>
      </c>
      <c r="I63" s="305">
        <f>26+28</f>
        <v>54</v>
      </c>
      <c r="J63" s="305">
        <v>111</v>
      </c>
      <c r="K63" s="305">
        <f>49+59</f>
        <v>108</v>
      </c>
      <c r="L63" s="305">
        <f>48+34</f>
        <v>82</v>
      </c>
      <c r="M63" s="305">
        <f>42+50</f>
        <v>92</v>
      </c>
      <c r="N63" s="305">
        <v>84</v>
      </c>
      <c r="O63" s="305">
        <f>46-29</f>
        <v>17</v>
      </c>
      <c r="P63" s="305">
        <f>38+17</f>
        <v>55</v>
      </c>
      <c r="Q63" s="305">
        <f>31-13</f>
        <v>18</v>
      </c>
      <c r="R63" s="305">
        <v>59</v>
      </c>
      <c r="S63" s="305">
        <f>19+36</f>
        <v>55</v>
      </c>
      <c r="T63" s="305">
        <f>50+117</f>
        <v>167</v>
      </c>
      <c r="U63" s="305">
        <f>39+19</f>
        <v>58</v>
      </c>
      <c r="V63" s="305">
        <v>55</v>
      </c>
      <c r="W63" s="305">
        <f>34+33</f>
        <v>67</v>
      </c>
      <c r="X63" s="305">
        <f>44-45</f>
        <v>-1</v>
      </c>
      <c r="Y63" s="305">
        <f>39+129</f>
        <v>168</v>
      </c>
      <c r="Z63" s="305">
        <v>177</v>
      </c>
      <c r="AA63" s="305">
        <f>38-37</f>
        <v>1</v>
      </c>
      <c r="AB63" s="305">
        <f>50-75</f>
        <v>-25</v>
      </c>
      <c r="AC63" s="305">
        <f>75-91</f>
        <v>-16</v>
      </c>
      <c r="AD63" s="305">
        <v>-182</v>
      </c>
      <c r="AE63" s="305">
        <v>-53</v>
      </c>
      <c r="AF63" s="351">
        <v>-23</v>
      </c>
      <c r="AG63" s="351">
        <f>41</f>
        <v>41</v>
      </c>
      <c r="AH63" s="351">
        <v>51</v>
      </c>
      <c r="AI63" s="351">
        <v>-33</v>
      </c>
      <c r="AJ63" s="351">
        <v>-88</v>
      </c>
      <c r="AK63" s="351">
        <v>-63</v>
      </c>
      <c r="AL63" s="351">
        <v>-30</v>
      </c>
      <c r="AM63" s="351">
        <v>-718</v>
      </c>
      <c r="AN63" s="313">
        <v>-98</v>
      </c>
      <c r="AO63" s="313">
        <v>45</v>
      </c>
      <c r="AP63" s="313">
        <v>100</v>
      </c>
      <c r="AQ63" s="313">
        <v>-228</v>
      </c>
      <c r="AR63" s="313">
        <v>0</v>
      </c>
      <c r="AS63" s="313">
        <f>AR63</f>
        <v>0</v>
      </c>
      <c r="AT63" s="313">
        <f>AS63</f>
        <v>0</v>
      </c>
      <c r="AU63" s="313">
        <v>-18</v>
      </c>
      <c r="AV63" s="313">
        <v>16</v>
      </c>
      <c r="AW63" s="313">
        <v>25</v>
      </c>
      <c r="AX63" s="313">
        <f>-638+379</f>
        <v>-259</v>
      </c>
      <c r="AY63" s="313">
        <v>-75</v>
      </c>
      <c r="AZ63" s="313">
        <v>6</v>
      </c>
      <c r="BA63" s="313">
        <v>-96</v>
      </c>
      <c r="BB63" s="313">
        <f>-361</f>
        <v>-361</v>
      </c>
      <c r="BC63" s="313">
        <f>-1594+1497</f>
        <v>-97</v>
      </c>
      <c r="BD63" s="313">
        <v>18</v>
      </c>
      <c r="BE63" s="313">
        <v>-292</v>
      </c>
      <c r="BF63" s="313">
        <f>1100-569-374-280</f>
        <v>-123</v>
      </c>
      <c r="BG63" s="313">
        <v>0</v>
      </c>
      <c r="BH63" s="313">
        <v>0</v>
      </c>
      <c r="BI63" s="313">
        <v>0</v>
      </c>
      <c r="BJ63" s="313">
        <v>0</v>
      </c>
      <c r="BK63" s="313">
        <v>0</v>
      </c>
      <c r="BL63" s="313">
        <v>0</v>
      </c>
      <c r="BM63" s="313">
        <v>0</v>
      </c>
      <c r="BN63" s="313">
        <f>89+319</f>
        <v>408</v>
      </c>
      <c r="BO63" s="313">
        <f>104+515</f>
        <v>619</v>
      </c>
      <c r="BP63" s="313">
        <v>69</v>
      </c>
      <c r="BQ63" s="313">
        <v>44</v>
      </c>
      <c r="BR63" s="313">
        <v>163</v>
      </c>
      <c r="BS63" s="313">
        <v>86</v>
      </c>
      <c r="BT63" s="313">
        <f>114+226-276-144</f>
        <v>-80</v>
      </c>
      <c r="BU63" s="313"/>
      <c r="BV63" s="313"/>
      <c r="BW63" s="313"/>
      <c r="BX63" s="313"/>
      <c r="BY63" s="313"/>
      <c r="BZ63" s="313"/>
      <c r="CA63" s="313"/>
      <c r="CB63" s="313"/>
      <c r="CC63" s="313"/>
      <c r="CD63" s="313"/>
      <c r="CE63" s="313"/>
      <c r="CF63" s="313"/>
      <c r="CG63" s="313"/>
      <c r="CH63" s="313"/>
      <c r="CI63" s="313"/>
      <c r="CJ63" s="313"/>
      <c r="CK63" s="313"/>
      <c r="CL63" s="313"/>
      <c r="CM63" s="313"/>
      <c r="CN63" s="313"/>
      <c r="CO63" s="313"/>
      <c r="CP63" s="313"/>
      <c r="CQ63" s="313">
        <v>0</v>
      </c>
      <c r="CR63" s="313">
        <v>0</v>
      </c>
      <c r="CS63" s="313">
        <v>0</v>
      </c>
      <c r="CT63" s="313">
        <v>0</v>
      </c>
      <c r="CU63" s="313">
        <v>0</v>
      </c>
      <c r="CV63" s="313">
        <v>0</v>
      </c>
      <c r="CW63" s="313">
        <v>0</v>
      </c>
      <c r="CX63" s="313">
        <v>0</v>
      </c>
      <c r="CY63" s="313">
        <v>0</v>
      </c>
      <c r="CZ63" s="313">
        <v>0</v>
      </c>
      <c r="DA63" s="313">
        <v>0</v>
      </c>
      <c r="DB63" s="313">
        <v>0</v>
      </c>
      <c r="DC63" s="313">
        <v>0</v>
      </c>
      <c r="DD63" s="313">
        <v>0</v>
      </c>
      <c r="DE63" s="313">
        <v>0</v>
      </c>
      <c r="DF63" s="313">
        <v>0</v>
      </c>
      <c r="DH63" s="305"/>
      <c r="DI63" s="305"/>
      <c r="DJ63" s="305"/>
      <c r="DK63" s="305"/>
      <c r="DL63" s="305"/>
      <c r="DM63" s="305"/>
      <c r="DN63" s="305">
        <f>143+166</f>
        <v>309</v>
      </c>
      <c r="DO63" s="305">
        <f>125+284</f>
        <v>409</v>
      </c>
      <c r="DP63" s="305">
        <f>120+129</f>
        <v>249</v>
      </c>
      <c r="DQ63" s="305">
        <f>110+151</f>
        <v>261</v>
      </c>
      <c r="DR63" s="305">
        <f>197+222</f>
        <v>419</v>
      </c>
      <c r="DS63" s="305">
        <f>146+67</f>
        <v>213</v>
      </c>
      <c r="DT63" s="305">
        <f>153+185</f>
        <v>338</v>
      </c>
      <c r="DU63" s="305">
        <f>160+294</f>
        <v>454</v>
      </c>
      <c r="DV63" s="305">
        <f>207-385</f>
        <v>-178</v>
      </c>
      <c r="DW63" s="305">
        <f>187+15</f>
        <v>202</v>
      </c>
      <c r="DX63" s="305">
        <f>54-214</f>
        <v>-160</v>
      </c>
      <c r="DY63" s="305">
        <v>-671</v>
      </c>
      <c r="DZ63" s="305">
        <f>SUM(AQ63:AT63)</f>
        <v>-228</v>
      </c>
      <c r="EA63" s="305">
        <f>SUM(AU63:AX63)</f>
        <v>-236</v>
      </c>
      <c r="EB63" s="305"/>
      <c r="EC63" s="305">
        <f>SUM(BC63:BF63)</f>
        <v>-494</v>
      </c>
      <c r="ED63" s="305"/>
      <c r="EE63" s="305">
        <f>SUM(BK63:BN63)</f>
        <v>408</v>
      </c>
      <c r="EF63" s="305">
        <f>SUM(BO63:BR63)</f>
        <v>895</v>
      </c>
      <c r="EG63" s="305"/>
      <c r="EH63" s="305"/>
      <c r="EI63" s="305"/>
      <c r="EJ63" s="305"/>
      <c r="EK63" s="305"/>
      <c r="EL63" s="305"/>
      <c r="EM63" s="305"/>
      <c r="EN63" s="305"/>
    </row>
    <row r="64" spans="1:159" s="376" customFormat="1" ht="12.75" customHeight="1" x14ac:dyDescent="0.2">
      <c r="A64" s="58"/>
      <c r="B64" s="353" t="s">
        <v>756</v>
      </c>
      <c r="C64" s="305">
        <f t="shared" ref="C64:AY64" si="340">C61+C62-C63</f>
        <v>1302</v>
      </c>
      <c r="D64" s="305">
        <f t="shared" si="340"/>
        <v>1294</v>
      </c>
      <c r="E64" s="305">
        <f t="shared" si="340"/>
        <v>1197</v>
      </c>
      <c r="F64" s="305">
        <f t="shared" si="340"/>
        <v>783</v>
      </c>
      <c r="G64" s="305">
        <f t="shared" si="340"/>
        <v>1434</v>
      </c>
      <c r="H64" s="305">
        <f t="shared" si="340"/>
        <v>1371</v>
      </c>
      <c r="I64" s="305">
        <f t="shared" si="340"/>
        <v>1317</v>
      </c>
      <c r="J64" s="305">
        <f t="shared" si="340"/>
        <v>924</v>
      </c>
      <c r="K64" s="305">
        <f t="shared" si="340"/>
        <v>1605</v>
      </c>
      <c r="L64" s="305">
        <f t="shared" si="340"/>
        <v>1614</v>
      </c>
      <c r="M64" s="305">
        <f t="shared" si="340"/>
        <v>1511</v>
      </c>
      <c r="N64" s="305">
        <f t="shared" si="340"/>
        <v>971</v>
      </c>
      <c r="O64" s="305">
        <f t="shared" si="340"/>
        <v>1892</v>
      </c>
      <c r="P64" s="305">
        <f t="shared" si="340"/>
        <v>1866</v>
      </c>
      <c r="Q64" s="305">
        <f t="shared" si="340"/>
        <v>1746</v>
      </c>
      <c r="R64" s="305">
        <f t="shared" si="340"/>
        <v>1172</v>
      </c>
      <c r="S64" s="305">
        <f>S61+S62-S63</f>
        <v>2140</v>
      </c>
      <c r="T64" s="305">
        <f t="shared" si="340"/>
        <v>2129</v>
      </c>
      <c r="U64" s="305">
        <f t="shared" si="340"/>
        <v>2108</v>
      </c>
      <c r="V64" s="305">
        <f t="shared" si="340"/>
        <v>1549</v>
      </c>
      <c r="W64" s="305">
        <f t="shared" si="340"/>
        <v>2621</v>
      </c>
      <c r="X64" s="305">
        <f t="shared" si="340"/>
        <v>2732</v>
      </c>
      <c r="Y64" s="305">
        <f t="shared" si="340"/>
        <v>2393</v>
      </c>
      <c r="Z64" s="305">
        <f t="shared" si="340"/>
        <v>1849</v>
      </c>
      <c r="AA64" s="305">
        <f t="shared" si="340"/>
        <v>2948</v>
      </c>
      <c r="AB64" s="305">
        <f t="shared" si="340"/>
        <v>2956</v>
      </c>
      <c r="AC64" s="305">
        <f t="shared" si="340"/>
        <v>2948</v>
      </c>
      <c r="AD64" s="305">
        <f t="shared" si="340"/>
        <v>2509</v>
      </c>
      <c r="AE64" s="305">
        <f t="shared" si="340"/>
        <v>3929</v>
      </c>
      <c r="AF64" s="313">
        <f t="shared" si="340"/>
        <v>3843</v>
      </c>
      <c r="AG64" s="313">
        <f t="shared" si="340"/>
        <v>3292</v>
      </c>
      <c r="AH64" s="313">
        <f t="shared" si="340"/>
        <v>2625</v>
      </c>
      <c r="AI64" s="313">
        <f t="shared" si="340"/>
        <v>3927</v>
      </c>
      <c r="AJ64" s="313">
        <f t="shared" si="340"/>
        <v>3741</v>
      </c>
      <c r="AK64" s="313">
        <f t="shared" si="340"/>
        <v>3420</v>
      </c>
      <c r="AL64" s="313">
        <f t="shared" si="340"/>
        <v>2512</v>
      </c>
      <c r="AM64" s="313">
        <f t="shared" si="340"/>
        <v>4652</v>
      </c>
      <c r="AN64" s="313">
        <f t="shared" si="340"/>
        <v>3855</v>
      </c>
      <c r="AO64" s="313">
        <f t="shared" si="340"/>
        <v>3776</v>
      </c>
      <c r="AP64" s="313">
        <f t="shared" si="340"/>
        <v>3028</v>
      </c>
      <c r="AQ64" s="313">
        <f>AQ61+AQ62-AQ63</f>
        <v>4509</v>
      </c>
      <c r="AR64" s="313">
        <f t="shared" si="340"/>
        <v>4042</v>
      </c>
      <c r="AS64" s="313">
        <f t="shared" si="340"/>
        <v>4054</v>
      </c>
      <c r="AT64" s="313">
        <f t="shared" si="340"/>
        <v>3209</v>
      </c>
      <c r="AU64" s="313">
        <f t="shared" si="340"/>
        <v>4747</v>
      </c>
      <c r="AV64" s="313">
        <f t="shared" si="340"/>
        <v>4415</v>
      </c>
      <c r="AW64" s="313">
        <f t="shared" si="340"/>
        <v>4290</v>
      </c>
      <c r="AX64" s="313">
        <f t="shared" si="340"/>
        <v>3279</v>
      </c>
      <c r="AY64" s="313">
        <f t="shared" si="340"/>
        <v>4643</v>
      </c>
      <c r="AZ64" s="313">
        <f t="shared" ref="AZ64:BG64" si="341">AZ61+AZ62-AZ63</f>
        <v>4263</v>
      </c>
      <c r="BA64" s="313">
        <f t="shared" si="341"/>
        <v>4245</v>
      </c>
      <c r="BB64" s="313">
        <f t="shared" si="341"/>
        <v>3790</v>
      </c>
      <c r="BC64" s="313">
        <f t="shared" si="341"/>
        <v>4783</v>
      </c>
      <c r="BD64" s="313">
        <f t="shared" si="341"/>
        <v>4279</v>
      </c>
      <c r="BE64" s="313">
        <f t="shared" si="341"/>
        <v>4219</v>
      </c>
      <c r="BF64" s="313">
        <f t="shared" si="341"/>
        <v>3451</v>
      </c>
      <c r="BG64" s="313">
        <f t="shared" si="341"/>
        <v>5303</v>
      </c>
      <c r="BH64" s="313">
        <f>BH61+BH62-BH63</f>
        <v>4011</v>
      </c>
      <c r="BI64" s="313">
        <f>BI61+BI62-BI63</f>
        <v>4111</v>
      </c>
      <c r="BJ64" s="313">
        <f t="shared" ref="BJ64" si="342">BJ61+BJ62-BJ63</f>
        <v>6223</v>
      </c>
      <c r="BK64" s="313">
        <f t="shared" ref="BK64" si="343">BK61+BK62-BK63</f>
        <v>5045</v>
      </c>
      <c r="BL64" s="313">
        <f t="shared" ref="BL64" si="344">BL61+BL62-BL63</f>
        <v>4623</v>
      </c>
      <c r="BM64" s="313">
        <f t="shared" ref="BM64" si="345">BM61+BM62-BM63</f>
        <v>4413</v>
      </c>
      <c r="BN64" s="313">
        <f t="shared" ref="BN64:BZ64" si="346">BN61+BN62-BN63</f>
        <v>3388</v>
      </c>
      <c r="BO64" s="313">
        <f t="shared" si="346"/>
        <v>4368</v>
      </c>
      <c r="BP64" s="313">
        <f t="shared" si="346"/>
        <v>5428</v>
      </c>
      <c r="BQ64" s="313">
        <f t="shared" si="346"/>
        <v>4895</v>
      </c>
      <c r="BR64" s="313">
        <f t="shared" si="346"/>
        <v>4005</v>
      </c>
      <c r="BS64" s="313">
        <f t="shared" si="346"/>
        <v>5560</v>
      </c>
      <c r="BT64" s="313">
        <f t="shared" si="346"/>
        <v>6050</v>
      </c>
      <c r="BU64" s="313">
        <f t="shared" si="346"/>
        <v>5505.0019999999995</v>
      </c>
      <c r="BV64" s="313">
        <f t="shared" si="346"/>
        <v>5179.389000000001</v>
      </c>
      <c r="BW64" s="313">
        <f t="shared" si="346"/>
        <v>6194.4169999999995</v>
      </c>
      <c r="BX64" s="313">
        <f t="shared" si="346"/>
        <v>6368.5029999999997</v>
      </c>
      <c r="BY64" s="313">
        <f t="shared" si="346"/>
        <v>6029.2994200000003</v>
      </c>
      <c r="BZ64" s="313">
        <f t="shared" si="346"/>
        <v>5696.1583500000015</v>
      </c>
      <c r="CA64" s="313"/>
      <c r="CB64" s="313"/>
      <c r="CC64" s="313"/>
      <c r="CD64" s="313"/>
      <c r="CE64" s="313"/>
      <c r="CF64" s="313"/>
      <c r="CG64" s="313"/>
      <c r="CH64" s="313"/>
      <c r="CI64" s="313"/>
      <c r="CJ64" s="313"/>
      <c r="CK64" s="313"/>
      <c r="CL64" s="313"/>
      <c r="CM64" s="313"/>
      <c r="CN64" s="313"/>
      <c r="CO64" s="313"/>
      <c r="CP64" s="313"/>
      <c r="CQ64" s="313">
        <f t="shared" ref="CQ64" si="347">+CQ61+CQ62+CQ63</f>
        <v>5803</v>
      </c>
      <c r="CR64" s="313">
        <f t="shared" ref="CR64" si="348">+CR61+CR62+CR63</f>
        <v>4009</v>
      </c>
      <c r="CS64" s="313">
        <f t="shared" ref="CS64:CY64" si="349">+CS61+CS62+CS63</f>
        <v>5807</v>
      </c>
      <c r="CT64" s="313">
        <f t="shared" si="349"/>
        <v>4099</v>
      </c>
      <c r="CU64" s="313">
        <f t="shared" si="349"/>
        <v>7482</v>
      </c>
      <c r="CV64" s="313">
        <f t="shared" si="349"/>
        <v>6720</v>
      </c>
      <c r="CW64" s="313">
        <f t="shared" si="349"/>
        <v>6656</v>
      </c>
      <c r="CX64" s="313">
        <f t="shared" si="349"/>
        <v>4922</v>
      </c>
      <c r="CY64" s="313">
        <f t="shared" si="349"/>
        <v>6542</v>
      </c>
      <c r="CZ64" s="313">
        <f t="shared" ref="CZ64:DF64" si="350">+CZ61+CZ62+CZ63</f>
        <v>9889.3335000000006</v>
      </c>
      <c r="DA64" s="313">
        <f t="shared" si="350"/>
        <v>9781.8467500000042</v>
      </c>
      <c r="DB64" s="313">
        <f t="shared" si="350"/>
        <v>9973.8490000000002</v>
      </c>
      <c r="DC64" s="313">
        <f t="shared" si="350"/>
        <v>9948.7612499999996</v>
      </c>
      <c r="DD64" s="313">
        <f t="shared" si="350"/>
        <v>10129.978530000002</v>
      </c>
      <c r="DE64" s="313">
        <f t="shared" si="350"/>
        <v>10063.443462500003</v>
      </c>
      <c r="DF64" s="313">
        <f t="shared" si="350"/>
        <v>10301.928855000002</v>
      </c>
      <c r="DH64" s="305">
        <f t="shared" ref="DH64:DM64" si="351">DH61-DH62</f>
        <v>1514</v>
      </c>
      <c r="DI64" s="305">
        <f t="shared" si="351"/>
        <v>1727</v>
      </c>
      <c r="DJ64" s="305">
        <f t="shared" si="351"/>
        <v>2038</v>
      </c>
      <c r="DK64" s="305">
        <f t="shared" si="351"/>
        <v>2207</v>
      </c>
      <c r="DL64" s="305">
        <f t="shared" si="351"/>
        <v>2332</v>
      </c>
      <c r="DM64" s="305">
        <f t="shared" si="351"/>
        <v>2681</v>
      </c>
      <c r="DN64" s="305">
        <f t="shared" ref="DN64:EI64" si="352">DN61+DN62-DN63</f>
        <v>3317</v>
      </c>
      <c r="DO64" s="305">
        <f t="shared" si="352"/>
        <v>4033</v>
      </c>
      <c r="DP64" s="305">
        <f t="shared" si="352"/>
        <v>4576</v>
      </c>
      <c r="DQ64" s="305">
        <f t="shared" si="352"/>
        <v>5046</v>
      </c>
      <c r="DR64" s="305">
        <f t="shared" si="352"/>
        <v>5753</v>
      </c>
      <c r="DS64" s="305">
        <f t="shared" si="352"/>
        <v>6643</v>
      </c>
      <c r="DT64" s="305">
        <f t="shared" si="352"/>
        <v>8003</v>
      </c>
      <c r="DU64" s="305">
        <f t="shared" si="352"/>
        <v>10093.900000000001</v>
      </c>
      <c r="DV64" s="305">
        <f t="shared" si="352"/>
        <v>11729.400000000001</v>
      </c>
      <c r="DW64" s="305">
        <f t="shared" si="352"/>
        <v>13625</v>
      </c>
      <c r="DX64" s="305">
        <f t="shared" si="352"/>
        <v>13002</v>
      </c>
      <c r="DY64" s="305">
        <f t="shared" si="352"/>
        <v>15311</v>
      </c>
      <c r="DZ64" s="305">
        <f>DZ61+DZ62-DZ63</f>
        <v>15716</v>
      </c>
      <c r="EA64" s="305">
        <f>EA61+EA62-EA63</f>
        <v>16731</v>
      </c>
      <c r="EB64" s="305">
        <f>EB61+EB62-EB63</f>
        <v>16778.5</v>
      </c>
      <c r="EC64" s="305">
        <f>EC61+EC62-EC63</f>
        <v>16541</v>
      </c>
      <c r="ED64" s="305">
        <f>ED61+ED62-ED63</f>
        <v>19648</v>
      </c>
      <c r="EE64" s="305">
        <f t="shared" si="352"/>
        <v>17147</v>
      </c>
      <c r="EF64" s="305">
        <f t="shared" si="352"/>
        <v>18437</v>
      </c>
      <c r="EG64" s="305">
        <f t="shared" si="352"/>
        <v>24839.18637499999</v>
      </c>
      <c r="EH64" s="305">
        <f t="shared" si="352"/>
        <v>50623.794920103275</v>
      </c>
      <c r="EI64" s="305">
        <f t="shared" si="352"/>
        <v>48370.383232675034</v>
      </c>
      <c r="EJ64" s="305">
        <f t="shared" ref="EJ64:EW64" si="353">EJ61+EJ62-EJ63</f>
        <v>46622.262594765816</v>
      </c>
      <c r="EK64" s="305">
        <f t="shared" si="353"/>
        <v>46801.146832700615</v>
      </c>
      <c r="EL64" s="305">
        <f t="shared" si="353"/>
        <v>47280.461432275391</v>
      </c>
      <c r="EM64" s="305">
        <f t="shared" si="353"/>
        <v>55497.395531841197</v>
      </c>
      <c r="EN64" s="305">
        <f t="shared" si="353"/>
        <v>25780</v>
      </c>
      <c r="EO64" s="305">
        <f t="shared" si="353"/>
        <v>38907.555065085595</v>
      </c>
      <c r="EP64" s="305">
        <f t="shared" si="353"/>
        <v>39156.072994579663</v>
      </c>
      <c r="EQ64" s="305">
        <f t="shared" si="353"/>
        <v>39448.672436864348</v>
      </c>
      <c r="ER64" s="305">
        <f t="shared" si="353"/>
        <v>39304.852250373566</v>
      </c>
      <c r="ES64" s="305">
        <f t="shared" si="353"/>
        <v>36858.308215498473</v>
      </c>
      <c r="ET64" s="305">
        <f t="shared" si="353"/>
        <v>36886.843814177424</v>
      </c>
      <c r="EU64" s="305">
        <f t="shared" si="353"/>
        <v>37009.22890890314</v>
      </c>
      <c r="EV64" s="305">
        <f t="shared" si="353"/>
        <v>36520.314260668514</v>
      </c>
      <c r="EW64" s="305">
        <f t="shared" si="353"/>
        <v>36441.707458974837</v>
      </c>
    </row>
    <row r="65" spans="1:257" s="376" customFormat="1" ht="12.75" customHeight="1" x14ac:dyDescent="0.2">
      <c r="A65" s="58"/>
      <c r="B65" s="353" t="s">
        <v>757</v>
      </c>
      <c r="C65" s="305">
        <v>393</v>
      </c>
      <c r="D65" s="305">
        <v>385</v>
      </c>
      <c r="E65" s="305">
        <v>342</v>
      </c>
      <c r="F65" s="305">
        <v>153</v>
      </c>
      <c r="G65" s="305">
        <v>424</v>
      </c>
      <c r="H65" s="305">
        <v>366</v>
      </c>
      <c r="I65" s="305">
        <v>356</v>
      </c>
      <c r="J65" s="305">
        <v>231</v>
      </c>
      <c r="K65" s="305">
        <v>477</v>
      </c>
      <c r="L65" s="305">
        <v>459</v>
      </c>
      <c r="M65" s="305">
        <v>412</v>
      </c>
      <c r="N65" s="305">
        <v>217</v>
      </c>
      <c r="O65" s="305">
        <v>578</v>
      </c>
      <c r="P65" s="305">
        <v>535</v>
      </c>
      <c r="Q65" s="305">
        <v>482</v>
      </c>
      <c r="R65" s="305">
        <v>227</v>
      </c>
      <c r="S65" s="305">
        <v>640</v>
      </c>
      <c r="T65" s="305">
        <v>647</v>
      </c>
      <c r="U65" s="305">
        <v>579</v>
      </c>
      <c r="V65" s="305">
        <v>339</v>
      </c>
      <c r="W65" s="305">
        <v>787</v>
      </c>
      <c r="X65" s="305">
        <v>774</v>
      </c>
      <c r="Y65" s="305">
        <v>668</v>
      </c>
      <c r="Z65" s="305">
        <v>465</v>
      </c>
      <c r="AA65" s="305">
        <v>859</v>
      </c>
      <c r="AB65" s="305">
        <v>846</v>
      </c>
      <c r="AC65" s="305">
        <v>877</v>
      </c>
      <c r="AD65" s="305">
        <v>529</v>
      </c>
      <c r="AE65" s="305">
        <v>1011</v>
      </c>
      <c r="AF65" s="351">
        <v>977</v>
      </c>
      <c r="AG65" s="351">
        <v>933</v>
      </c>
      <c r="AH65" s="351">
        <f>1408-789</f>
        <v>619</v>
      </c>
      <c r="AI65" s="351">
        <v>1088</v>
      </c>
      <c r="AJ65" s="351">
        <v>726</v>
      </c>
      <c r="AK65" s="351">
        <v>882</v>
      </c>
      <c r="AL65" s="351">
        <v>411</v>
      </c>
      <c r="AM65" s="351">
        <v>1310</v>
      </c>
      <c r="AN65" s="313">
        <v>783</v>
      </c>
      <c r="AO65" s="313">
        <v>901</v>
      </c>
      <c r="AP65" s="313">
        <f>AP64-2385</f>
        <v>643</v>
      </c>
      <c r="AQ65" s="313">
        <v>1079</v>
      </c>
      <c r="AR65" s="313">
        <v>950</v>
      </c>
      <c r="AS65" s="313">
        <f>AS64*0.233</f>
        <v>944.58200000000011</v>
      </c>
      <c r="AT65" s="313">
        <f>AT64*0.153</f>
        <v>490.97699999999998</v>
      </c>
      <c r="AU65" s="313">
        <v>1149</v>
      </c>
      <c r="AV65" s="313">
        <v>1048</v>
      </c>
      <c r="AW65" s="313">
        <v>980</v>
      </c>
      <c r="AX65" s="313">
        <f>803-379+229</f>
        <v>653</v>
      </c>
      <c r="AY65" s="313">
        <v>1136</v>
      </c>
      <c r="AZ65" s="313">
        <v>1055</v>
      </c>
      <c r="BA65" s="313">
        <v>900</v>
      </c>
      <c r="BB65" s="313">
        <f>398+334+174</f>
        <v>906</v>
      </c>
      <c r="BC65" s="313">
        <f>1754-1497+910</f>
        <v>1167</v>
      </c>
      <c r="BD65" s="313">
        <f>771+67</f>
        <v>838</v>
      </c>
      <c r="BE65" s="313">
        <v>802</v>
      </c>
      <c r="BF65" s="313">
        <f>286+569-404+374-279+280-239</f>
        <v>587</v>
      </c>
      <c r="BG65" s="313">
        <v>1034</v>
      </c>
      <c r="BH65" s="313">
        <v>646</v>
      </c>
      <c r="BI65" s="313">
        <v>909</v>
      </c>
      <c r="BJ65" s="313">
        <f>3657-3129</f>
        <v>528</v>
      </c>
      <c r="BK65" s="313">
        <v>1135</v>
      </c>
      <c r="BL65" s="313">
        <f>4646-3644</f>
        <v>1002</v>
      </c>
      <c r="BM65" s="313">
        <v>966</v>
      </c>
      <c r="BN65" s="313">
        <v>533</v>
      </c>
      <c r="BO65" s="313">
        <v>764</v>
      </c>
      <c r="BP65" s="313">
        <v>1083</v>
      </c>
      <c r="BQ65" s="313">
        <v>912</v>
      </c>
      <c r="BR65" s="313">
        <f>+BR64*0.089</f>
        <v>356.44499999999999</v>
      </c>
      <c r="BS65" s="313">
        <v>697</v>
      </c>
      <c r="BT65" s="313">
        <v>1300</v>
      </c>
      <c r="BU65" s="313">
        <f>+BU64*0.2</f>
        <v>1101.0003999999999</v>
      </c>
      <c r="BV65" s="313">
        <f t="shared" ref="BV65:BZ65" si="354">+BV64*0.2</f>
        <v>1035.8778000000002</v>
      </c>
      <c r="BW65" s="313">
        <f t="shared" si="354"/>
        <v>1238.8833999999999</v>
      </c>
      <c r="BX65" s="313">
        <f t="shared" si="354"/>
        <v>1273.7006000000001</v>
      </c>
      <c r="BY65" s="313">
        <f t="shared" si="354"/>
        <v>1205.8598840000002</v>
      </c>
      <c r="BZ65" s="313">
        <f t="shared" si="354"/>
        <v>1139.2316700000003</v>
      </c>
      <c r="CA65" s="313"/>
      <c r="CB65" s="313"/>
      <c r="CC65" s="313"/>
      <c r="CD65" s="313"/>
      <c r="CE65" s="313"/>
      <c r="CF65" s="313"/>
      <c r="CG65" s="313"/>
      <c r="CH65" s="313"/>
      <c r="CI65" s="313"/>
      <c r="CJ65" s="313"/>
      <c r="CK65" s="313"/>
      <c r="CL65" s="313"/>
      <c r="CM65" s="313"/>
      <c r="CN65" s="313"/>
      <c r="CO65" s="313"/>
      <c r="CP65" s="313"/>
      <c r="CQ65" s="313">
        <v>713</v>
      </c>
      <c r="CR65" s="313">
        <v>314</v>
      </c>
      <c r="CS65" s="313">
        <v>847</v>
      </c>
      <c r="CT65" s="313">
        <v>0</v>
      </c>
      <c r="CU65" s="313">
        <v>1232</v>
      </c>
      <c r="CV65" s="313">
        <v>384</v>
      </c>
      <c r="CW65" s="313">
        <v>182</v>
      </c>
      <c r="CX65" s="313">
        <v>100</v>
      </c>
      <c r="CY65" s="313">
        <v>713</v>
      </c>
      <c r="CZ65" s="313">
        <f>+CZ64*0.2</f>
        <v>1977.8667000000003</v>
      </c>
      <c r="DA65" s="313">
        <f t="shared" ref="DA65:DF65" si="355">+DA64*0.2</f>
        <v>1956.3693500000008</v>
      </c>
      <c r="DB65" s="313">
        <f t="shared" si="355"/>
        <v>1994.7698</v>
      </c>
      <c r="DC65" s="313">
        <f t="shared" si="355"/>
        <v>1989.75225</v>
      </c>
      <c r="DD65" s="313">
        <f t="shared" si="355"/>
        <v>2025.9957060000006</v>
      </c>
      <c r="DE65" s="313">
        <f t="shared" si="355"/>
        <v>2012.6886925000008</v>
      </c>
      <c r="DF65" s="313">
        <f t="shared" si="355"/>
        <v>2060.3857710000007</v>
      </c>
      <c r="DH65" s="305">
        <v>432</v>
      </c>
      <c r="DI65" s="305">
        <v>480</v>
      </c>
      <c r="DJ65" s="305">
        <v>577</v>
      </c>
      <c r="DK65" s="305">
        <v>582</v>
      </c>
      <c r="DL65" s="305">
        <v>545</v>
      </c>
      <c r="DM65" s="305">
        <v>675</v>
      </c>
      <c r="DN65" s="305">
        <v>914</v>
      </c>
      <c r="DO65" s="305">
        <v>1146</v>
      </c>
      <c r="DP65" s="305">
        <v>1273</v>
      </c>
      <c r="DQ65" s="305">
        <v>1210</v>
      </c>
      <c r="DR65" s="305">
        <v>1586</v>
      </c>
      <c r="DS65" s="305">
        <v>1822</v>
      </c>
      <c r="DT65" s="305">
        <v>2230</v>
      </c>
      <c r="DU65" s="305">
        <f>+DU64*0.25</f>
        <v>2523.4750000000004</v>
      </c>
      <c r="DV65" s="305">
        <v>3111</v>
      </c>
      <c r="DW65" s="305">
        <v>4329</v>
      </c>
      <c r="DX65" s="305">
        <v>3245</v>
      </c>
      <c r="DY65" s="305">
        <f>DY64-11133</f>
        <v>4178</v>
      </c>
      <c r="DZ65" s="305">
        <f>SUM(AQ65:AT65)</f>
        <v>3464.5590000000002</v>
      </c>
      <c r="EA65" s="305">
        <f>SUM(AU65:AX65)</f>
        <v>3830</v>
      </c>
      <c r="EB65" s="305"/>
      <c r="EC65" s="305">
        <f>SUM(BC65:BF65)</f>
        <v>3394</v>
      </c>
      <c r="ED65" s="305">
        <f>SUM(BG65:BJ65)</f>
        <v>3117</v>
      </c>
      <c r="EE65" s="305">
        <f>SUM(BK65:BN65)</f>
        <v>3636</v>
      </c>
      <c r="EF65" s="305">
        <f>SUM(BO65:BR65)</f>
        <v>3115.4450000000002</v>
      </c>
      <c r="EG65" s="305">
        <f t="shared" ref="EG65" si="356">EG64*EG96</f>
        <v>4685.7163043442069</v>
      </c>
      <c r="EH65" s="305"/>
      <c r="EI65" s="305"/>
      <c r="EJ65" s="305">
        <f>+EJ64*0.25</f>
        <v>11655.565648691454</v>
      </c>
      <c r="EK65" s="305">
        <f t="shared" ref="EK65:EW65" si="357">+EK64*0.25</f>
        <v>11700.286708175154</v>
      </c>
      <c r="EL65" s="305">
        <f t="shared" si="357"/>
        <v>11820.115358068848</v>
      </c>
      <c r="EM65" s="305">
        <f t="shared" si="357"/>
        <v>13874.348882960299</v>
      </c>
      <c r="EN65" s="305">
        <f t="shared" ref="EN65" si="358">SUM(CU65:CX65)</f>
        <v>1898</v>
      </c>
      <c r="EO65" s="305">
        <f t="shared" si="357"/>
        <v>9726.8887662713987</v>
      </c>
      <c r="EP65" s="305">
        <f t="shared" si="357"/>
        <v>9789.0182486449157</v>
      </c>
      <c r="EQ65" s="305">
        <f t="shared" si="357"/>
        <v>9862.168109216087</v>
      </c>
      <c r="ER65" s="305">
        <f t="shared" si="357"/>
        <v>9826.2130625933914</v>
      </c>
      <c r="ES65" s="305">
        <f t="shared" si="357"/>
        <v>9214.5770538746183</v>
      </c>
      <c r="ET65" s="305">
        <f t="shared" si="357"/>
        <v>9221.710953544356</v>
      </c>
      <c r="EU65" s="305">
        <f t="shared" si="357"/>
        <v>9252.307227225785</v>
      </c>
      <c r="EV65" s="305">
        <f t="shared" si="357"/>
        <v>9130.0785651671285</v>
      </c>
      <c r="EW65" s="305">
        <f t="shared" si="357"/>
        <v>9110.4268647437093</v>
      </c>
    </row>
    <row r="66" spans="1:257" s="376" customFormat="1" ht="12.75" customHeight="1" x14ac:dyDescent="0.2">
      <c r="A66" s="58"/>
      <c r="B66" s="353" t="s">
        <v>364</v>
      </c>
      <c r="C66" s="305">
        <f t="shared" ref="C66:AS66" si="359">C64-C65</f>
        <v>909</v>
      </c>
      <c r="D66" s="305">
        <f t="shared" si="359"/>
        <v>909</v>
      </c>
      <c r="E66" s="305">
        <f t="shared" si="359"/>
        <v>855</v>
      </c>
      <c r="F66" s="305">
        <f t="shared" si="359"/>
        <v>630</v>
      </c>
      <c r="G66" s="305">
        <f t="shared" si="359"/>
        <v>1010</v>
      </c>
      <c r="H66" s="305">
        <f t="shared" si="359"/>
        <v>1005</v>
      </c>
      <c r="I66" s="305">
        <f t="shared" si="359"/>
        <v>961</v>
      </c>
      <c r="J66" s="305">
        <f t="shared" si="359"/>
        <v>693</v>
      </c>
      <c r="K66" s="305">
        <f t="shared" si="359"/>
        <v>1128</v>
      </c>
      <c r="L66" s="305">
        <f t="shared" si="359"/>
        <v>1155</v>
      </c>
      <c r="M66" s="305">
        <f t="shared" si="359"/>
        <v>1099</v>
      </c>
      <c r="N66" s="305">
        <f t="shared" si="359"/>
        <v>754</v>
      </c>
      <c r="O66" s="305">
        <f t="shared" si="359"/>
        <v>1314</v>
      </c>
      <c r="P66" s="305">
        <f t="shared" si="359"/>
        <v>1331</v>
      </c>
      <c r="Q66" s="305">
        <f t="shared" si="359"/>
        <v>1264</v>
      </c>
      <c r="R66" s="305">
        <f t="shared" si="359"/>
        <v>945</v>
      </c>
      <c r="S66" s="305">
        <f t="shared" si="359"/>
        <v>1500</v>
      </c>
      <c r="T66" s="305">
        <f t="shared" si="359"/>
        <v>1482</v>
      </c>
      <c r="U66" s="305">
        <f t="shared" si="359"/>
        <v>1529</v>
      </c>
      <c r="V66" s="305">
        <f t="shared" si="359"/>
        <v>1210</v>
      </c>
      <c r="W66" s="305">
        <f t="shared" si="359"/>
        <v>1834</v>
      </c>
      <c r="X66" s="305">
        <f t="shared" si="359"/>
        <v>1958</v>
      </c>
      <c r="Y66" s="305">
        <f t="shared" si="359"/>
        <v>1725</v>
      </c>
      <c r="Z66" s="305">
        <f t="shared" si="359"/>
        <v>1384</v>
      </c>
      <c r="AA66" s="305">
        <f t="shared" si="359"/>
        <v>2089</v>
      </c>
      <c r="AB66" s="305">
        <f t="shared" si="359"/>
        <v>2110</v>
      </c>
      <c r="AC66" s="305">
        <f t="shared" si="359"/>
        <v>2071</v>
      </c>
      <c r="AD66" s="305">
        <f t="shared" si="359"/>
        <v>1980</v>
      </c>
      <c r="AE66" s="305">
        <f t="shared" si="359"/>
        <v>2918</v>
      </c>
      <c r="AF66" s="351">
        <f t="shared" si="359"/>
        <v>2866</v>
      </c>
      <c r="AG66" s="351">
        <f t="shared" si="359"/>
        <v>2359</v>
      </c>
      <c r="AH66" s="351">
        <f t="shared" si="359"/>
        <v>2006</v>
      </c>
      <c r="AI66" s="351">
        <f t="shared" si="359"/>
        <v>2839</v>
      </c>
      <c r="AJ66" s="351">
        <f t="shared" si="359"/>
        <v>3015</v>
      </c>
      <c r="AK66" s="351">
        <f t="shared" si="359"/>
        <v>2538</v>
      </c>
      <c r="AL66" s="351">
        <f t="shared" si="359"/>
        <v>2101</v>
      </c>
      <c r="AM66" s="351">
        <f t="shared" si="359"/>
        <v>3342</v>
      </c>
      <c r="AN66" s="313">
        <f t="shared" si="359"/>
        <v>3072</v>
      </c>
      <c r="AO66" s="313">
        <f t="shared" si="359"/>
        <v>2875</v>
      </c>
      <c r="AP66" s="313">
        <f t="shared" si="359"/>
        <v>2385</v>
      </c>
      <c r="AQ66" s="313">
        <f>AQ64-AQ65</f>
        <v>3430</v>
      </c>
      <c r="AR66" s="313">
        <f t="shared" si="359"/>
        <v>3092</v>
      </c>
      <c r="AS66" s="313">
        <f t="shared" si="359"/>
        <v>3109.4179999999997</v>
      </c>
      <c r="AT66" s="313">
        <f>AT64-AT65+441-267</f>
        <v>2892.0230000000001</v>
      </c>
      <c r="AU66" s="313">
        <f t="shared" ref="AU66:BC66" si="360">AU64-AU65</f>
        <v>3598</v>
      </c>
      <c r="AV66" s="313">
        <f t="shared" si="360"/>
        <v>3367</v>
      </c>
      <c r="AW66" s="313">
        <f t="shared" si="360"/>
        <v>3310</v>
      </c>
      <c r="AX66" s="313">
        <f t="shared" si="360"/>
        <v>2626</v>
      </c>
      <c r="AY66" s="313">
        <f t="shared" si="360"/>
        <v>3507</v>
      </c>
      <c r="AZ66" s="313">
        <f t="shared" si="360"/>
        <v>3208</v>
      </c>
      <c r="BA66" s="313">
        <f t="shared" si="360"/>
        <v>3345</v>
      </c>
      <c r="BB66" s="313">
        <f t="shared" si="360"/>
        <v>2884</v>
      </c>
      <c r="BC66" s="313">
        <f t="shared" si="360"/>
        <v>3616</v>
      </c>
      <c r="BD66" s="313">
        <f t="shared" ref="BD66:BG66" si="361">BD64-BD65</f>
        <v>3441</v>
      </c>
      <c r="BE66" s="313">
        <f t="shared" si="361"/>
        <v>3417</v>
      </c>
      <c r="BF66" s="313">
        <f t="shared" si="361"/>
        <v>2864</v>
      </c>
      <c r="BG66" s="313">
        <f t="shared" si="361"/>
        <v>4269</v>
      </c>
      <c r="BH66" s="313">
        <f>BH64-BH65</f>
        <v>3365</v>
      </c>
      <c r="BI66" s="313">
        <f>BI64-BI65</f>
        <v>3202</v>
      </c>
      <c r="BJ66" s="313">
        <f t="shared" ref="BJ66" si="362">BJ64-BJ65</f>
        <v>5695</v>
      </c>
      <c r="BK66" s="313">
        <f t="shared" ref="BK66" si="363">BK64-BK65</f>
        <v>3910</v>
      </c>
      <c r="BL66" s="313">
        <f t="shared" ref="BL66" si="364">BL64-BL65</f>
        <v>3621</v>
      </c>
      <c r="BM66" s="313">
        <f t="shared" ref="BM66" si="365">BM64-BM65</f>
        <v>3447</v>
      </c>
      <c r="BN66" s="313">
        <f t="shared" ref="BN66:BR66" si="366">BN64-BN65</f>
        <v>2855</v>
      </c>
      <c r="BO66" s="313">
        <f t="shared" si="366"/>
        <v>3604</v>
      </c>
      <c r="BP66" s="313">
        <f t="shared" si="366"/>
        <v>4345</v>
      </c>
      <c r="BQ66" s="313">
        <f t="shared" si="366"/>
        <v>3983</v>
      </c>
      <c r="BR66" s="313">
        <f t="shared" si="366"/>
        <v>3648.5549999999998</v>
      </c>
      <c r="BS66" s="313">
        <f t="shared" ref="BS66:BV66" si="367">BS64-BS65</f>
        <v>4863</v>
      </c>
      <c r="BT66" s="313">
        <f t="shared" si="367"/>
        <v>4750</v>
      </c>
      <c r="BU66" s="313">
        <f t="shared" si="367"/>
        <v>4404.0015999999996</v>
      </c>
      <c r="BV66" s="313">
        <f t="shared" si="367"/>
        <v>4143.5112000000008</v>
      </c>
      <c r="BW66" s="313">
        <f t="shared" ref="BW66:BZ66" si="368">BW64-BW65</f>
        <v>4955.5335999999998</v>
      </c>
      <c r="BX66" s="313">
        <f t="shared" si="368"/>
        <v>5094.8023999999996</v>
      </c>
      <c r="BY66" s="313">
        <f t="shared" si="368"/>
        <v>4823.4395359999999</v>
      </c>
      <c r="BZ66" s="313">
        <f t="shared" si="368"/>
        <v>4556.9266800000014</v>
      </c>
      <c r="CA66" s="313"/>
      <c r="CB66" s="313"/>
      <c r="CC66" s="313"/>
      <c r="CD66" s="313"/>
      <c r="CE66" s="313"/>
      <c r="CF66" s="313"/>
      <c r="CG66" s="313"/>
      <c r="CH66" s="313"/>
      <c r="CI66" s="313"/>
      <c r="CJ66" s="313"/>
      <c r="CK66" s="313"/>
      <c r="CL66" s="313"/>
      <c r="CM66" s="313"/>
      <c r="CN66" s="313"/>
      <c r="CO66" s="313"/>
      <c r="CP66" s="313"/>
      <c r="CQ66" s="313">
        <f t="shared" ref="CQ66" si="369">+CQ64-CQ65</f>
        <v>5090</v>
      </c>
      <c r="CR66" s="313">
        <f t="shared" ref="CR66" si="370">+CR64-CR65</f>
        <v>3695</v>
      </c>
      <c r="CS66" s="313">
        <f>+CS64-CS65</f>
        <v>4960</v>
      </c>
      <c r="CT66" s="313">
        <f>+CT64-CT65</f>
        <v>4099</v>
      </c>
      <c r="CU66" s="313">
        <f>+CU64-CU65</f>
        <v>6250</v>
      </c>
      <c r="CV66" s="313">
        <f t="shared" ref="CV66" si="371">+CV64-CV65</f>
        <v>6336</v>
      </c>
      <c r="CW66" s="313">
        <f>+CW64-CW65</f>
        <v>6474</v>
      </c>
      <c r="CX66" s="313">
        <f>+CX64-CX65</f>
        <v>4822</v>
      </c>
      <c r="CY66" s="313">
        <f>+CY64-CY65</f>
        <v>5829</v>
      </c>
      <c r="CZ66" s="313">
        <f t="shared" ref="CZ66:DF66" si="372">+CZ64-CZ65</f>
        <v>7911.4668000000001</v>
      </c>
      <c r="DA66" s="313">
        <f t="shared" si="372"/>
        <v>7825.4774000000034</v>
      </c>
      <c r="DB66" s="313">
        <f t="shared" si="372"/>
        <v>7979.0792000000001</v>
      </c>
      <c r="DC66" s="313">
        <f t="shared" si="372"/>
        <v>7959.009</v>
      </c>
      <c r="DD66" s="313">
        <f t="shared" si="372"/>
        <v>8103.9828240000015</v>
      </c>
      <c r="DE66" s="313">
        <f t="shared" si="372"/>
        <v>8050.7547700000023</v>
      </c>
      <c r="DF66" s="313">
        <f t="shared" si="372"/>
        <v>8241.5430840000008</v>
      </c>
      <c r="DH66" s="305">
        <f t="shared" ref="DH66:EI66" si="373">DH64-DH65</f>
        <v>1082</v>
      </c>
      <c r="DI66" s="305">
        <f t="shared" si="373"/>
        <v>1247</v>
      </c>
      <c r="DJ66" s="305">
        <f t="shared" si="373"/>
        <v>1461</v>
      </c>
      <c r="DK66" s="305">
        <f t="shared" si="373"/>
        <v>1625</v>
      </c>
      <c r="DL66" s="305">
        <f t="shared" si="373"/>
        <v>1787</v>
      </c>
      <c r="DM66" s="305">
        <f t="shared" si="373"/>
        <v>2006</v>
      </c>
      <c r="DN66" s="305">
        <f t="shared" si="373"/>
        <v>2403</v>
      </c>
      <c r="DO66" s="305">
        <f t="shared" si="373"/>
        <v>2887</v>
      </c>
      <c r="DP66" s="305">
        <f t="shared" si="373"/>
        <v>3303</v>
      </c>
      <c r="DQ66" s="305">
        <f t="shared" si="373"/>
        <v>3836</v>
      </c>
      <c r="DR66" s="305">
        <f t="shared" si="373"/>
        <v>4167</v>
      </c>
      <c r="DS66" s="305">
        <f t="shared" si="373"/>
        <v>4821</v>
      </c>
      <c r="DT66" s="305">
        <f t="shared" si="373"/>
        <v>5773</v>
      </c>
      <c r="DU66" s="305">
        <f t="shared" si="373"/>
        <v>7570.4250000000011</v>
      </c>
      <c r="DV66" s="305">
        <f t="shared" si="373"/>
        <v>8618.4000000000015</v>
      </c>
      <c r="DW66" s="305">
        <f t="shared" si="373"/>
        <v>9296</v>
      </c>
      <c r="DX66" s="305">
        <f t="shared" si="373"/>
        <v>9757</v>
      </c>
      <c r="DY66" s="305">
        <f t="shared" si="373"/>
        <v>11133</v>
      </c>
      <c r="DZ66" s="305">
        <f>DZ64-DZ65</f>
        <v>12251.440999999999</v>
      </c>
      <c r="EA66" s="305">
        <f>EA64-EA65</f>
        <v>12901</v>
      </c>
      <c r="EB66" s="305">
        <f>EB64-EB65</f>
        <v>16778.5</v>
      </c>
      <c r="EC66" s="305">
        <f t="shared" si="373"/>
        <v>13147</v>
      </c>
      <c r="ED66" s="305">
        <f>ED64-ED65</f>
        <v>16531</v>
      </c>
      <c r="EE66" s="305">
        <f>EE64-EE65</f>
        <v>13511</v>
      </c>
      <c r="EF66" s="305">
        <f>EF64-EF65</f>
        <v>15321.555</v>
      </c>
      <c r="EG66" s="305">
        <f t="shared" si="373"/>
        <v>20153.470070655785</v>
      </c>
      <c r="EH66" s="305">
        <f t="shared" si="373"/>
        <v>50623.794920103275</v>
      </c>
      <c r="EI66" s="305">
        <f t="shared" si="373"/>
        <v>48370.383232675034</v>
      </c>
      <c r="EJ66" s="305">
        <f t="shared" ref="EJ66:EW66" si="374">EJ64-EJ65</f>
        <v>34966.696946074364</v>
      </c>
      <c r="EK66" s="305">
        <f t="shared" si="374"/>
        <v>35100.860124525461</v>
      </c>
      <c r="EL66" s="305">
        <f t="shared" si="374"/>
        <v>35460.346074206544</v>
      </c>
      <c r="EM66" s="305">
        <f t="shared" si="374"/>
        <v>41623.046648880896</v>
      </c>
      <c r="EN66" s="305">
        <f t="shared" si="374"/>
        <v>23882</v>
      </c>
      <c r="EO66" s="305">
        <f t="shared" si="374"/>
        <v>29180.666298814198</v>
      </c>
      <c r="EP66" s="305">
        <f t="shared" si="374"/>
        <v>29367.054745934747</v>
      </c>
      <c r="EQ66" s="305">
        <f t="shared" si="374"/>
        <v>29586.504327648261</v>
      </c>
      <c r="ER66" s="305">
        <f t="shared" si="374"/>
        <v>29478.639187780173</v>
      </c>
      <c r="ES66" s="305">
        <f t="shared" si="374"/>
        <v>27643.731161623855</v>
      </c>
      <c r="ET66" s="305">
        <f t="shared" si="374"/>
        <v>27665.132860633068</v>
      </c>
      <c r="EU66" s="305">
        <f t="shared" si="374"/>
        <v>27756.921681677355</v>
      </c>
      <c r="EV66" s="305">
        <f t="shared" si="374"/>
        <v>27390.235695501386</v>
      </c>
      <c r="EW66" s="305">
        <f t="shared" si="374"/>
        <v>27331.280594231128</v>
      </c>
      <c r="EX66" s="305">
        <f>+EW66*(1+$FA$69)</f>
        <v>27467.93699720228</v>
      </c>
      <c r="EY66" s="305">
        <f t="shared" ref="EY66:HJ66" si="375">+EX66*(1+$FA$69)</f>
        <v>27605.276682188287</v>
      </c>
      <c r="EZ66" s="305">
        <f t="shared" si="375"/>
        <v>27743.303065599226</v>
      </c>
      <c r="FA66" s="305">
        <f t="shared" si="375"/>
        <v>27882.019580927219</v>
      </c>
      <c r="FB66" s="305">
        <f t="shared" si="375"/>
        <v>28021.429678831853</v>
      </c>
      <c r="FC66" s="305">
        <f t="shared" si="375"/>
        <v>28161.536827226009</v>
      </c>
      <c r="FD66" s="305">
        <f t="shared" si="375"/>
        <v>28302.344511362135</v>
      </c>
      <c r="FE66" s="305">
        <f t="shared" si="375"/>
        <v>28443.856233918941</v>
      </c>
      <c r="FF66" s="305">
        <f t="shared" si="375"/>
        <v>28586.075515088534</v>
      </c>
      <c r="FG66" s="305">
        <f t="shared" si="375"/>
        <v>28729.005892663972</v>
      </c>
      <c r="FH66" s="305">
        <f t="shared" si="375"/>
        <v>28872.65092212729</v>
      </c>
      <c r="FI66" s="305">
        <f t="shared" si="375"/>
        <v>29017.014176737925</v>
      </c>
      <c r="FJ66" s="305">
        <f t="shared" si="375"/>
        <v>29162.099247621612</v>
      </c>
      <c r="FK66" s="305">
        <f t="shared" si="375"/>
        <v>29307.909743859716</v>
      </c>
      <c r="FL66" s="305">
        <f t="shared" si="375"/>
        <v>29454.449292579011</v>
      </c>
      <c r="FM66" s="305">
        <f t="shared" si="375"/>
        <v>29601.721539041904</v>
      </c>
      <c r="FN66" s="305">
        <f t="shared" si="375"/>
        <v>29749.730146737111</v>
      </c>
      <c r="FO66" s="305">
        <f t="shared" si="375"/>
        <v>29898.478797470794</v>
      </c>
      <c r="FP66" s="305">
        <f t="shared" si="375"/>
        <v>30047.971191458146</v>
      </c>
      <c r="FQ66" s="305">
        <f t="shared" si="375"/>
        <v>30198.211047415432</v>
      </c>
      <c r="FR66" s="305">
        <f t="shared" si="375"/>
        <v>30349.202102652507</v>
      </c>
      <c r="FS66" s="305">
        <f t="shared" si="375"/>
        <v>30500.948113165767</v>
      </c>
      <c r="FT66" s="305">
        <f t="shared" si="375"/>
        <v>30653.452853731593</v>
      </c>
      <c r="FU66" s="305">
        <f t="shared" si="375"/>
        <v>30806.720118000248</v>
      </c>
      <c r="FV66" s="305">
        <f t="shared" si="375"/>
        <v>30960.753718590247</v>
      </c>
      <c r="FW66" s="305">
        <f t="shared" si="375"/>
        <v>31115.557487183196</v>
      </c>
      <c r="FX66" s="305">
        <f t="shared" si="375"/>
        <v>31271.135274619108</v>
      </c>
      <c r="FY66" s="305">
        <f t="shared" si="375"/>
        <v>31427.4909509922</v>
      </c>
      <c r="FZ66" s="305">
        <f t="shared" si="375"/>
        <v>31584.628405747157</v>
      </c>
      <c r="GA66" s="305">
        <f t="shared" si="375"/>
        <v>31742.551547775889</v>
      </c>
      <c r="GB66" s="305">
        <f t="shared" si="375"/>
        <v>31901.264305514764</v>
      </c>
      <c r="GC66" s="305">
        <f t="shared" si="375"/>
        <v>32060.770627042333</v>
      </c>
      <c r="GD66" s="305">
        <f t="shared" si="375"/>
        <v>32221.07448017754</v>
      </c>
      <c r="GE66" s="305">
        <f t="shared" si="375"/>
        <v>32382.179852578425</v>
      </c>
      <c r="GF66" s="305">
        <f t="shared" si="375"/>
        <v>32544.090751841315</v>
      </c>
      <c r="GG66" s="305">
        <f t="shared" si="375"/>
        <v>32706.811205600519</v>
      </c>
      <c r="GH66" s="305">
        <f t="shared" si="375"/>
        <v>32870.345261628521</v>
      </c>
      <c r="GI66" s="305">
        <f t="shared" si="375"/>
        <v>33034.696987936659</v>
      </c>
      <c r="GJ66" s="305">
        <f t="shared" si="375"/>
        <v>33199.870472876341</v>
      </c>
      <c r="GK66" s="305">
        <f t="shared" si="375"/>
        <v>33365.869825240719</v>
      </c>
      <c r="GL66" s="305">
        <f t="shared" si="375"/>
        <v>33532.69917436692</v>
      </c>
      <c r="GM66" s="305">
        <f t="shared" si="375"/>
        <v>33700.362670238748</v>
      </c>
      <c r="GN66" s="305">
        <f t="shared" si="375"/>
        <v>33868.864483589939</v>
      </c>
      <c r="GO66" s="305">
        <f t="shared" si="375"/>
        <v>34038.208806007882</v>
      </c>
      <c r="GP66" s="305">
        <f t="shared" si="375"/>
        <v>34208.399850037917</v>
      </c>
      <c r="GQ66" s="305">
        <f t="shared" si="375"/>
        <v>34379.441849288101</v>
      </c>
      <c r="GR66" s="305">
        <f t="shared" si="375"/>
        <v>34551.339058534541</v>
      </c>
      <c r="GS66" s="305">
        <f t="shared" si="375"/>
        <v>34724.095753827212</v>
      </c>
      <c r="GT66" s="305">
        <f t="shared" si="375"/>
        <v>34897.716232596344</v>
      </c>
      <c r="GU66" s="305">
        <f t="shared" si="375"/>
        <v>35072.204813759323</v>
      </c>
      <c r="GV66" s="305">
        <f t="shared" si="375"/>
        <v>35247.565837828115</v>
      </c>
      <c r="GW66" s="305">
        <f t="shared" si="375"/>
        <v>35423.803667017251</v>
      </c>
      <c r="GX66" s="305">
        <f t="shared" si="375"/>
        <v>35600.922685352336</v>
      </c>
      <c r="GY66" s="305">
        <f t="shared" si="375"/>
        <v>35778.927298779097</v>
      </c>
      <c r="GZ66" s="305">
        <f t="shared" si="375"/>
        <v>35957.821935272987</v>
      </c>
      <c r="HA66" s="305">
        <f t="shared" si="375"/>
        <v>36137.61104494935</v>
      </c>
      <c r="HB66" s="305">
        <f t="shared" si="375"/>
        <v>36318.299100174096</v>
      </c>
      <c r="HC66" s="305">
        <f t="shared" si="375"/>
        <v>36499.890595674966</v>
      </c>
      <c r="HD66" s="305">
        <f t="shared" si="375"/>
        <v>36682.390048653338</v>
      </c>
      <c r="HE66" s="305">
        <f t="shared" si="375"/>
        <v>36865.801998896604</v>
      </c>
      <c r="HF66" s="305">
        <f t="shared" si="375"/>
        <v>37050.131008891083</v>
      </c>
      <c r="HG66" s="305">
        <f t="shared" si="375"/>
        <v>37235.381663935535</v>
      </c>
      <c r="HH66" s="305">
        <f t="shared" si="375"/>
        <v>37421.558572255206</v>
      </c>
      <c r="HI66" s="305">
        <f t="shared" si="375"/>
        <v>37608.666365116478</v>
      </c>
      <c r="HJ66" s="305">
        <f t="shared" si="375"/>
        <v>37796.70969694206</v>
      </c>
      <c r="HK66" s="305">
        <f t="shared" ref="HK66:IW66" si="376">+HJ66*(1+$FA$69)</f>
        <v>37985.693245426766</v>
      </c>
      <c r="HL66" s="305">
        <f t="shared" si="376"/>
        <v>38175.621711653897</v>
      </c>
      <c r="HM66" s="305">
        <f t="shared" si="376"/>
        <v>38366.499820212164</v>
      </c>
      <c r="HN66" s="305">
        <f t="shared" si="376"/>
        <v>38558.332319313224</v>
      </c>
      <c r="HO66" s="305">
        <f t="shared" si="376"/>
        <v>38751.123980909782</v>
      </c>
      <c r="HP66" s="305">
        <f t="shared" si="376"/>
        <v>38944.879600814325</v>
      </c>
      <c r="HQ66" s="305">
        <f t="shared" si="376"/>
        <v>39139.603998818391</v>
      </c>
      <c r="HR66" s="305">
        <f t="shared" si="376"/>
        <v>39335.302018812479</v>
      </c>
      <c r="HS66" s="305">
        <f t="shared" si="376"/>
        <v>39531.97852890654</v>
      </c>
      <c r="HT66" s="305">
        <f t="shared" si="376"/>
        <v>39729.63842155107</v>
      </c>
      <c r="HU66" s="305">
        <f t="shared" si="376"/>
        <v>39928.28661365882</v>
      </c>
      <c r="HV66" s="305">
        <f t="shared" si="376"/>
        <v>40127.928046727109</v>
      </c>
      <c r="HW66" s="305">
        <f t="shared" si="376"/>
        <v>40328.567686960741</v>
      </c>
      <c r="HX66" s="305">
        <f t="shared" si="376"/>
        <v>40530.210525395538</v>
      </c>
      <c r="HY66" s="305">
        <f t="shared" si="376"/>
        <v>40732.861578022508</v>
      </c>
      <c r="HZ66" s="305">
        <f t="shared" si="376"/>
        <v>40936.525885912619</v>
      </c>
      <c r="IA66" s="305">
        <f t="shared" si="376"/>
        <v>41141.208515342179</v>
      </c>
      <c r="IB66" s="305">
        <f t="shared" si="376"/>
        <v>41346.914557918884</v>
      </c>
      <c r="IC66" s="305">
        <f t="shared" si="376"/>
        <v>41553.649130708473</v>
      </c>
      <c r="ID66" s="305">
        <f t="shared" si="376"/>
        <v>41761.417376362013</v>
      </c>
      <c r="IE66" s="305">
        <f t="shared" si="376"/>
        <v>41970.224463243816</v>
      </c>
      <c r="IF66" s="305">
        <f t="shared" si="376"/>
        <v>42180.075585560029</v>
      </c>
      <c r="IG66" s="305">
        <f t="shared" si="376"/>
        <v>42390.975963487828</v>
      </c>
      <c r="IH66" s="305">
        <f t="shared" si="376"/>
        <v>42602.930843305265</v>
      </c>
      <c r="II66" s="305">
        <f t="shared" si="376"/>
        <v>42815.945497521789</v>
      </c>
      <c r="IJ66" s="305">
        <f t="shared" si="376"/>
        <v>43030.025225009391</v>
      </c>
      <c r="IK66" s="305">
        <f t="shared" si="376"/>
        <v>43245.175351134436</v>
      </c>
      <c r="IL66" s="305">
        <f t="shared" si="376"/>
        <v>43461.401227890106</v>
      </c>
      <c r="IM66" s="305">
        <f t="shared" si="376"/>
        <v>43678.708234029553</v>
      </c>
      <c r="IN66" s="305">
        <f t="shared" si="376"/>
        <v>43897.101775199699</v>
      </c>
      <c r="IO66" s="305">
        <f t="shared" si="376"/>
        <v>44116.587284075693</v>
      </c>
      <c r="IP66" s="305">
        <f t="shared" si="376"/>
        <v>44337.170220496067</v>
      </c>
      <c r="IQ66" s="305">
        <f t="shared" si="376"/>
        <v>44558.856071598544</v>
      </c>
      <c r="IR66" s="305">
        <f t="shared" si="376"/>
        <v>44781.65035195653</v>
      </c>
      <c r="IS66" s="305">
        <f t="shared" si="376"/>
        <v>45005.558603716308</v>
      </c>
      <c r="IT66" s="305">
        <f t="shared" si="376"/>
        <v>45230.586396734885</v>
      </c>
      <c r="IU66" s="305">
        <f t="shared" si="376"/>
        <v>45456.739328718555</v>
      </c>
      <c r="IV66" s="305">
        <f t="shared" si="376"/>
        <v>45684.023025362141</v>
      </c>
      <c r="IW66" s="305">
        <f t="shared" si="376"/>
        <v>45912.443140488947</v>
      </c>
    </row>
    <row r="67" spans="1:257" s="383" customFormat="1" ht="12.75" customHeight="1" x14ac:dyDescent="0.2">
      <c r="B67" s="384" t="s">
        <v>365</v>
      </c>
      <c r="C67" s="385">
        <f t="shared" ref="C67:AY67" si="377">C66/C68</f>
        <v>0.34093466356612412</v>
      </c>
      <c r="D67" s="385">
        <f t="shared" si="377"/>
        <v>0.34108818011257036</v>
      </c>
      <c r="E67" s="385">
        <f t="shared" si="377"/>
        <v>0.32020073402741372</v>
      </c>
      <c r="F67" s="385">
        <f t="shared" si="377"/>
        <v>0.23470680277177558</v>
      </c>
      <c r="G67" s="385">
        <f t="shared" si="377"/>
        <v>0.36735287699134356</v>
      </c>
      <c r="H67" s="385">
        <f t="shared" si="377"/>
        <v>0.36694902877172481</v>
      </c>
      <c r="I67" s="385">
        <f t="shared" si="377"/>
        <v>0.34996358339402767</v>
      </c>
      <c r="J67" s="385">
        <f t="shared" si="377"/>
        <v>0.25262467191601051</v>
      </c>
      <c r="K67" s="385">
        <f t="shared" si="377"/>
        <v>0.41065967671472253</v>
      </c>
      <c r="L67" s="385">
        <f t="shared" si="377"/>
        <v>0.42006109979633405</v>
      </c>
      <c r="M67" s="385">
        <f t="shared" si="377"/>
        <v>0.40004368083867214</v>
      </c>
      <c r="N67" s="385">
        <f t="shared" si="377"/>
        <v>0.26558647411060232</v>
      </c>
      <c r="O67" s="385">
        <f t="shared" si="377"/>
        <v>0.46562721474131824</v>
      </c>
      <c r="P67" s="385">
        <f t="shared" si="377"/>
        <v>0.47078381437464634</v>
      </c>
      <c r="Q67" s="385">
        <f t="shared" si="377"/>
        <v>0.44661154688714583</v>
      </c>
      <c r="R67" s="385">
        <f t="shared" si="377"/>
        <v>0.33286368439591407</v>
      </c>
      <c r="S67" s="385">
        <f t="shared" si="377"/>
        <v>0.53014773450201458</v>
      </c>
      <c r="T67" s="385">
        <f t="shared" si="377"/>
        <v>0.47645073139366662</v>
      </c>
      <c r="U67" s="385">
        <f t="shared" si="377"/>
        <v>0.49149763733967661</v>
      </c>
      <c r="V67" s="385">
        <f t="shared" si="377"/>
        <v>0.38767140843265413</v>
      </c>
      <c r="W67" s="385">
        <f t="shared" si="377"/>
        <v>0.58868845092123001</v>
      </c>
      <c r="X67" s="385">
        <f t="shared" si="377"/>
        <v>0.63793047274622872</v>
      </c>
      <c r="Y67" s="385">
        <f t="shared" si="377"/>
        <v>0.56992764396867879</v>
      </c>
      <c r="Z67" s="385">
        <f t="shared" si="377"/>
        <v>0.45771736614082087</v>
      </c>
      <c r="AA67" s="385">
        <f t="shared" si="377"/>
        <v>0.6920655954944509</v>
      </c>
      <c r="AB67" s="385">
        <f t="shared" si="377"/>
        <v>0.69902269339075696</v>
      </c>
      <c r="AC67" s="385">
        <f t="shared" si="377"/>
        <v>0.68842868065020102</v>
      </c>
      <c r="AD67" s="385">
        <f t="shared" si="377"/>
        <v>0.65881413455779592</v>
      </c>
      <c r="AE67" s="385">
        <f t="shared" si="377"/>
        <v>0.97117752779072097</v>
      </c>
      <c r="AF67" s="386">
        <f t="shared" si="377"/>
        <v>0.95364855422087635</v>
      </c>
      <c r="AG67" s="386">
        <f t="shared" si="377"/>
        <v>0.78398138916583582</v>
      </c>
      <c r="AH67" s="386">
        <f t="shared" si="377"/>
        <v>0.66567114650738346</v>
      </c>
      <c r="AI67" s="386">
        <f t="shared" si="377"/>
        <v>0.93891589774117812</v>
      </c>
      <c r="AJ67" s="386">
        <f t="shared" si="377"/>
        <v>0.99679307038714593</v>
      </c>
      <c r="AK67" s="386">
        <f t="shared" si="377"/>
        <v>0.84425520590779057</v>
      </c>
      <c r="AL67" s="386">
        <f t="shared" si="377"/>
        <v>0.69719595155135228</v>
      </c>
      <c r="AM67" s="386">
        <f t="shared" si="377"/>
        <v>1.1167173455408161</v>
      </c>
      <c r="AN67" s="386">
        <f t="shared" si="377"/>
        <v>1.0328133405056481</v>
      </c>
      <c r="AO67" s="386">
        <f t="shared" si="377"/>
        <v>0.97520436891557272</v>
      </c>
      <c r="AP67" s="386">
        <f t="shared" si="377"/>
        <v>0.81379875115160205</v>
      </c>
      <c r="AQ67" s="386">
        <f>AQ66/AQ68</f>
        <v>1.1729302739117053</v>
      </c>
      <c r="AR67" s="386">
        <f t="shared" si="377"/>
        <v>1.0579982891360138</v>
      </c>
      <c r="AS67" s="386">
        <f t="shared" si="377"/>
        <v>1.0674647258745578</v>
      </c>
      <c r="AT67" s="386">
        <f t="shared" si="377"/>
        <v>1.0009770870829295</v>
      </c>
      <c r="AU67" s="386">
        <f t="shared" si="377"/>
        <v>1.2552768377350592</v>
      </c>
      <c r="AV67" s="386">
        <f t="shared" si="377"/>
        <v>1.1835629921259843</v>
      </c>
      <c r="AW67" s="386">
        <f t="shared" si="377"/>
        <v>1.169074276833963</v>
      </c>
      <c r="AX67" s="386">
        <f t="shared" si="377"/>
        <v>0.93732153055396916</v>
      </c>
      <c r="AY67" s="386">
        <f t="shared" si="377"/>
        <v>1.2570793605276362</v>
      </c>
      <c r="AZ67" s="386">
        <f t="shared" ref="AZ67:BG67" si="378">AZ66/AZ68</f>
        <v>1.1531272465851905</v>
      </c>
      <c r="BA67" s="386">
        <f t="shared" si="378"/>
        <v>1.1976369495166488</v>
      </c>
      <c r="BB67" s="386">
        <f t="shared" si="378"/>
        <v>1.0312891113892366</v>
      </c>
      <c r="BC67" s="386">
        <f t="shared" si="378"/>
        <v>1.2926750795409858</v>
      </c>
      <c r="BD67" s="386">
        <f t="shared" si="378"/>
        <v>1.2306866952789699</v>
      </c>
      <c r="BE67" s="386">
        <f t="shared" si="378"/>
        <v>1.2263135228251507</v>
      </c>
      <c r="BF67" s="386">
        <f t="shared" si="378"/>
        <v>1.0296232384239288</v>
      </c>
      <c r="BG67" s="386">
        <f t="shared" si="378"/>
        <v>1.539654488404804</v>
      </c>
      <c r="BH67" s="386">
        <f t="shared" ref="BH67:BN67" si="379">BH66/BH68</f>
        <v>1.2098658900514148</v>
      </c>
      <c r="BI67" s="386">
        <f>BI66/BI68</f>
        <v>1.1525448131883955</v>
      </c>
      <c r="BJ67" s="386">
        <f t="shared" si="379"/>
        <v>2.0597489963470648</v>
      </c>
      <c r="BK67" s="386">
        <f t="shared" si="379"/>
        <v>1.4090597859382319</v>
      </c>
      <c r="BL67" s="386">
        <f t="shared" si="379"/>
        <v>1.2940461725394898</v>
      </c>
      <c r="BM67" s="386">
        <f t="shared" si="379"/>
        <v>1.2231645434867464</v>
      </c>
      <c r="BN67" s="386">
        <f t="shared" si="379"/>
        <v>1.0076233500388225</v>
      </c>
      <c r="BO67" s="386">
        <f t="shared" ref="BO67:BR67" si="380">BO66/BO68</f>
        <v>1.2606688120889884</v>
      </c>
      <c r="BP67" s="386">
        <f t="shared" si="380"/>
        <v>1.5019011406844107</v>
      </c>
      <c r="BQ67" s="386">
        <f t="shared" si="380"/>
        <v>1.3824101068999028</v>
      </c>
      <c r="BR67" s="386">
        <f t="shared" si="380"/>
        <v>1.2703882311977714</v>
      </c>
      <c r="BS67" s="386">
        <f t="shared" ref="BS67:BV67" si="381">BS66/BS68</f>
        <v>1.6916547813684908</v>
      </c>
      <c r="BT67" s="386">
        <f t="shared" si="381"/>
        <v>1.6526337763551597</v>
      </c>
      <c r="BU67" s="386">
        <f t="shared" si="381"/>
        <v>1.5322530095330875</v>
      </c>
      <c r="BV67" s="386">
        <f t="shared" si="381"/>
        <v>1.4416224340686108</v>
      </c>
      <c r="BW67" s="386">
        <f t="shared" ref="BW67:BZ67" si="382">BW66/BW68</f>
        <v>1.7241436225732378</v>
      </c>
      <c r="BX67" s="386">
        <f t="shared" si="382"/>
        <v>1.7725984273884907</v>
      </c>
      <c r="BY67" s="386">
        <f t="shared" si="382"/>
        <v>1.6781850727158862</v>
      </c>
      <c r="BZ67" s="386">
        <f t="shared" si="382"/>
        <v>1.585459146893049</v>
      </c>
      <c r="CA67" s="386"/>
      <c r="CB67" s="386"/>
      <c r="CC67" s="386"/>
      <c r="CD67" s="386"/>
      <c r="CE67" s="386"/>
      <c r="CF67" s="386"/>
      <c r="CG67" s="386"/>
      <c r="CH67" s="386"/>
      <c r="CI67" s="386"/>
      <c r="CJ67" s="386"/>
      <c r="CK67" s="386"/>
      <c r="CL67" s="386"/>
      <c r="CM67" s="386"/>
      <c r="CN67" s="386"/>
      <c r="CO67" s="386"/>
      <c r="CP67" s="386"/>
      <c r="CQ67" s="386">
        <f t="shared" ref="CQ67" si="383">+CQ66/CQ68</f>
        <v>1.9056533133657807</v>
      </c>
      <c r="CR67" s="386">
        <f t="shared" ref="CR67" si="384">+CR66/CR68</f>
        <v>1.3862314762708685</v>
      </c>
      <c r="CS67" s="386">
        <f>+CS66/CS68</f>
        <v>1.8583739228175347</v>
      </c>
      <c r="CT67" s="386">
        <f>+CT66/CT68</f>
        <v>1.5357811914574746</v>
      </c>
      <c r="CU67" s="386">
        <f>+CU66/CU68</f>
        <v>2.3384592359785987</v>
      </c>
      <c r="CV67" s="386">
        <f t="shared" ref="CV67" si="385">+CV66/CV68</f>
        <v>2.3716125168438391</v>
      </c>
      <c r="CW67" s="386">
        <f>+CW66/CW68</f>
        <v>2.4202773935474222</v>
      </c>
      <c r="CX67" s="386">
        <f>+CX66/CX68</f>
        <v>1.8059925093632958</v>
      </c>
      <c r="CY67" s="386">
        <f>+CY66/CY68</f>
        <v>2.186011625726608</v>
      </c>
      <c r="CZ67" s="386">
        <f t="shared" ref="CZ67:DF67" si="386">+CZ66/CZ68</f>
        <v>2.9669854865929119</v>
      </c>
      <c r="DA67" s="386">
        <f t="shared" si="386"/>
        <v>2.9347374460903821</v>
      </c>
      <c r="DB67" s="386">
        <f t="shared" si="386"/>
        <v>2.9923417213575849</v>
      </c>
      <c r="DC67" s="386">
        <f t="shared" si="386"/>
        <v>2.9848149259328709</v>
      </c>
      <c r="DD67" s="386">
        <f t="shared" si="386"/>
        <v>3.0391835079692489</v>
      </c>
      <c r="DE67" s="386">
        <f t="shared" si="386"/>
        <v>3.0192217401087578</v>
      </c>
      <c r="DF67" s="386">
        <f t="shared" si="386"/>
        <v>3.0907718297393592</v>
      </c>
      <c r="DH67" s="385">
        <f t="shared" ref="DH67:EI67" si="387">DH66/DH68</f>
        <v>0.40603422395676969</v>
      </c>
      <c r="DI67" s="385">
        <f t="shared" si="387"/>
        <v>0.47156254726970198</v>
      </c>
      <c r="DJ67" s="385">
        <f t="shared" si="387"/>
        <v>0.4759850708145893</v>
      </c>
      <c r="DK67" s="385">
        <f t="shared" si="387"/>
        <v>0.52940839182345845</v>
      </c>
      <c r="DL67" s="385">
        <f t="shared" si="387"/>
        <v>0.58218178406300991</v>
      </c>
      <c r="DM67" s="385">
        <f t="shared" si="387"/>
        <v>0.65351385866378242</v>
      </c>
      <c r="DN67" s="385">
        <f t="shared" si="387"/>
        <v>0.78282591359009235</v>
      </c>
      <c r="DO67" s="385">
        <f t="shared" si="387"/>
        <v>0.94049871516212935</v>
      </c>
      <c r="DP67" s="385">
        <f t="shared" si="387"/>
        <v>1.0760191396537975</v>
      </c>
      <c r="DQ67" s="385">
        <f t="shared" si="387"/>
        <v>1.2496546835337472</v>
      </c>
      <c r="DR67" s="385">
        <f t="shared" si="387"/>
        <v>1.3574032715796827</v>
      </c>
      <c r="DS67" s="385">
        <f t="shared" si="387"/>
        <v>1.5704391300920373</v>
      </c>
      <c r="DT67" s="385">
        <f t="shared" si="387"/>
        <v>1.8504142196944589</v>
      </c>
      <c r="DU67" s="385">
        <f t="shared" si="387"/>
        <v>2.5504287815058815</v>
      </c>
      <c r="DV67" s="385">
        <f t="shared" si="387"/>
        <v>2.9038000008760192</v>
      </c>
      <c r="DW67" s="385">
        <f t="shared" si="387"/>
        <v>3.1288886016701989</v>
      </c>
      <c r="DX67" s="385">
        <f t="shared" si="387"/>
        <v>3.2802394235223793</v>
      </c>
      <c r="DY67" s="385">
        <f t="shared" si="387"/>
        <v>3.7598784194528876</v>
      </c>
      <c r="DZ67" s="385">
        <f>DZ66/DZ68</f>
        <v>4.2069005657186507</v>
      </c>
      <c r="EA67" s="385">
        <f t="shared" si="387"/>
        <v>4.5490126939351194</v>
      </c>
      <c r="EB67" s="385">
        <f>EB66/EB68</f>
        <v>6.0130988325732666</v>
      </c>
      <c r="EC67" s="385">
        <f>EC66/EC68</f>
        <v>4.7116375332622535</v>
      </c>
      <c r="ED67" s="385">
        <f t="shared" si="387"/>
        <v>5.9586738877724805</v>
      </c>
      <c r="EE67" s="385">
        <f t="shared" si="387"/>
        <v>4.8147818185057814</v>
      </c>
      <c r="EF67" s="385">
        <f t="shared" si="387"/>
        <v>5.3269204693611476</v>
      </c>
      <c r="EG67" s="385">
        <f t="shared" si="387"/>
        <v>7.0068561740654616</v>
      </c>
      <c r="EH67" s="385">
        <f t="shared" si="387"/>
        <v>17.600624048710397</v>
      </c>
      <c r="EI67" s="385">
        <f t="shared" si="387"/>
        <v>16.817169311664507</v>
      </c>
      <c r="EJ67" s="385">
        <f t="shared" ref="EJ67:EQ67" si="388">EJ66/EJ68</f>
        <v>12.157043701373095</v>
      </c>
      <c r="EK67" s="385">
        <f t="shared" si="388"/>
        <v>12.203688874237448</v>
      </c>
      <c r="EL67" s="385">
        <f t="shared" si="388"/>
        <v>12.328673124452514</v>
      </c>
      <c r="EM67" s="385">
        <f t="shared" si="388"/>
        <v>14.471289578055071</v>
      </c>
      <c r="EN67" s="385">
        <f t="shared" si="388"/>
        <v>8.9368708603076019</v>
      </c>
      <c r="EO67" s="385">
        <f t="shared" si="388"/>
        <v>10.943433826669491</v>
      </c>
      <c r="EP67" s="385">
        <f t="shared" si="388"/>
        <v>11.013333863091974</v>
      </c>
      <c r="EQ67" s="385">
        <f t="shared" si="388"/>
        <v>11.095632599905592</v>
      </c>
      <c r="ER67" s="385">
        <f t="shared" ref="ER67:EW67" si="389">ER66/ER68</f>
        <v>11.055180644207828</v>
      </c>
      <c r="ES67" s="385">
        <f t="shared" si="389"/>
        <v>10.367047126054324</v>
      </c>
      <c r="ET67" s="385">
        <f t="shared" si="389"/>
        <v>10.375073264816452</v>
      </c>
      <c r="EU67" s="385">
        <f t="shared" si="389"/>
        <v>10.409496224143018</v>
      </c>
      <c r="EV67" s="385">
        <f t="shared" si="389"/>
        <v>10.271980384587057</v>
      </c>
      <c r="EW67" s="385">
        <f t="shared" si="389"/>
        <v>10.249870839764158</v>
      </c>
    </row>
    <row r="68" spans="1:257" ht="12.75" customHeight="1" x14ac:dyDescent="0.2">
      <c r="B68" s="353" t="s">
        <v>371</v>
      </c>
      <c r="C68" s="305">
        <f>1333.1*2</f>
        <v>2666.2</v>
      </c>
      <c r="D68" s="305">
        <f>1332.5*2</f>
        <v>2665</v>
      </c>
      <c r="E68" s="305">
        <f>1335.1*2</f>
        <v>2670.2</v>
      </c>
      <c r="F68" s="305">
        <f>1342.1*2</f>
        <v>2684.2</v>
      </c>
      <c r="G68" s="305">
        <f>1374.7*2</f>
        <v>2749.4</v>
      </c>
      <c r="H68" s="305">
        <f>1369.4*2</f>
        <v>2738.8</v>
      </c>
      <c r="I68" s="305">
        <f>1373*2</f>
        <v>2746</v>
      </c>
      <c r="J68" s="305">
        <f>1371.6*2</f>
        <v>2743.2</v>
      </c>
      <c r="K68" s="305">
        <f>1373.4*2</f>
        <v>2746.8</v>
      </c>
      <c r="L68" s="305">
        <f>1374.8*2</f>
        <v>2749.6</v>
      </c>
      <c r="M68" s="305">
        <f>1373.6*2</f>
        <v>2747.2</v>
      </c>
      <c r="N68" s="305">
        <f>1419.5*2</f>
        <v>2839</v>
      </c>
      <c r="O68" s="305">
        <f>1411*2</f>
        <v>2822</v>
      </c>
      <c r="P68" s="305">
        <f>1413.6*2</f>
        <v>2827.2</v>
      </c>
      <c r="Q68" s="305">
        <f>1415.1*2</f>
        <v>2830.2</v>
      </c>
      <c r="R68" s="305">
        <f>1419.5*2</f>
        <v>2839</v>
      </c>
      <c r="S68" s="305">
        <f>1414.7*2</f>
        <v>2829.4</v>
      </c>
      <c r="T68" s="305">
        <v>3110.5</v>
      </c>
      <c r="U68" s="305">
        <v>3110.9</v>
      </c>
      <c r="V68" s="305">
        <v>3121.2</v>
      </c>
      <c r="W68" s="305">
        <v>3115.4</v>
      </c>
      <c r="X68" s="305">
        <v>3069.3</v>
      </c>
      <c r="Y68" s="305">
        <v>3026.7</v>
      </c>
      <c r="Z68" s="305">
        <f>3023.7</f>
        <v>3023.7</v>
      </c>
      <c r="AA68" s="305">
        <v>3018.5</v>
      </c>
      <c r="AB68" s="305">
        <v>3018.5</v>
      </c>
      <c r="AC68" s="305">
        <v>3008.3</v>
      </c>
      <c r="AD68" s="305">
        <v>3005.4</v>
      </c>
      <c r="AE68" s="351">
        <v>3004.6</v>
      </c>
      <c r="AF68" s="351">
        <v>3005.3</v>
      </c>
      <c r="AG68" s="351">
        <v>3009</v>
      </c>
      <c r="AH68" s="351">
        <v>3013.5</v>
      </c>
      <c r="AI68" s="351">
        <v>3023.7</v>
      </c>
      <c r="AJ68" s="351">
        <v>3024.7</v>
      </c>
      <c r="AK68" s="351">
        <v>3006.2</v>
      </c>
      <c r="AL68" s="351">
        <v>3013.5</v>
      </c>
      <c r="AM68" s="351">
        <v>2992.7</v>
      </c>
      <c r="AN68" s="313">
        <v>2974.4</v>
      </c>
      <c r="AO68" s="313">
        <v>2948.1</v>
      </c>
      <c r="AP68" s="313">
        <v>2930.7</v>
      </c>
      <c r="AQ68" s="313">
        <v>2924.3</v>
      </c>
      <c r="AR68" s="313">
        <v>2922.5</v>
      </c>
      <c r="AS68" s="313">
        <v>2912.9</v>
      </c>
      <c r="AT68" s="313">
        <v>2889.2</v>
      </c>
      <c r="AU68" s="313">
        <v>2866.3</v>
      </c>
      <c r="AV68" s="313">
        <v>2844.8</v>
      </c>
      <c r="AW68" s="313">
        <v>2831.3</v>
      </c>
      <c r="AX68" s="313">
        <v>2801.6</v>
      </c>
      <c r="AY68" s="313">
        <v>2789.8</v>
      </c>
      <c r="AZ68" s="313">
        <v>2782</v>
      </c>
      <c r="BA68" s="313">
        <v>2793</v>
      </c>
      <c r="BB68" s="313">
        <v>2796.5</v>
      </c>
      <c r="BC68" s="313">
        <v>2797.3</v>
      </c>
      <c r="BD68" s="313">
        <v>2796</v>
      </c>
      <c r="BE68" s="313">
        <v>2786.4</v>
      </c>
      <c r="BF68" s="313">
        <v>2781.6</v>
      </c>
      <c r="BG68" s="313">
        <v>2772.7</v>
      </c>
      <c r="BH68" s="313">
        <v>2781.3</v>
      </c>
      <c r="BI68" s="313">
        <v>2778.2</v>
      </c>
      <c r="BJ68" s="313">
        <v>2764.9</v>
      </c>
      <c r="BK68" s="313">
        <v>2774.9</v>
      </c>
      <c r="BL68" s="313">
        <v>2798.2</v>
      </c>
      <c r="BM68" s="313">
        <v>2818.1</v>
      </c>
      <c r="BN68" s="313">
        <v>2833.4</v>
      </c>
      <c r="BO68" s="313">
        <v>2858.8</v>
      </c>
      <c r="BP68" s="313">
        <v>2893</v>
      </c>
      <c r="BQ68" s="313">
        <v>2881.2</v>
      </c>
      <c r="BR68" s="313">
        <v>2872</v>
      </c>
      <c r="BS68" s="313">
        <v>2874.7</v>
      </c>
      <c r="BT68" s="313">
        <v>2874.2</v>
      </c>
      <c r="BU68" s="313">
        <f>+BT68</f>
        <v>2874.2</v>
      </c>
      <c r="BV68" s="313">
        <f>+BU68</f>
        <v>2874.2</v>
      </c>
      <c r="BW68" s="313">
        <f t="shared" ref="BW68:BZ68" si="390">+BV68</f>
        <v>2874.2</v>
      </c>
      <c r="BX68" s="313">
        <f t="shared" si="390"/>
        <v>2874.2</v>
      </c>
      <c r="BY68" s="313">
        <f t="shared" si="390"/>
        <v>2874.2</v>
      </c>
      <c r="BZ68" s="313">
        <f t="shared" si="390"/>
        <v>2874.2</v>
      </c>
      <c r="CA68" s="313"/>
      <c r="CB68" s="313"/>
      <c r="CC68" s="313"/>
      <c r="CD68" s="313"/>
      <c r="CE68" s="313"/>
      <c r="CF68" s="313"/>
      <c r="CG68" s="313"/>
      <c r="CH68" s="313"/>
      <c r="CI68" s="313"/>
      <c r="CJ68" s="313"/>
      <c r="CK68" s="313"/>
      <c r="CL68" s="313"/>
      <c r="CM68" s="313"/>
      <c r="CN68" s="313"/>
      <c r="CO68" s="313"/>
      <c r="CP68" s="313"/>
      <c r="CQ68" s="313">
        <v>2671</v>
      </c>
      <c r="CR68" s="313">
        <v>2665.5</v>
      </c>
      <c r="CS68" s="313">
        <v>2669</v>
      </c>
      <c r="CT68" s="313">
        <v>2669</v>
      </c>
      <c r="CU68" s="313">
        <v>2672.7</v>
      </c>
      <c r="CV68" s="313">
        <v>2671.6</v>
      </c>
      <c r="CW68" s="313">
        <v>2674.9</v>
      </c>
      <c r="CX68" s="313">
        <v>2670</v>
      </c>
      <c r="CY68" s="313">
        <v>2666.5</v>
      </c>
      <c r="CZ68" s="313">
        <f>+CY68</f>
        <v>2666.5</v>
      </c>
      <c r="DA68" s="313">
        <f t="shared" ref="DA68:DF68" si="391">+CZ68</f>
        <v>2666.5</v>
      </c>
      <c r="DB68" s="313">
        <f t="shared" si="391"/>
        <v>2666.5</v>
      </c>
      <c r="DC68" s="313">
        <f t="shared" si="391"/>
        <v>2666.5</v>
      </c>
      <c r="DD68" s="313">
        <f t="shared" si="391"/>
        <v>2666.5</v>
      </c>
      <c r="DE68" s="313">
        <f t="shared" si="391"/>
        <v>2666.5</v>
      </c>
      <c r="DF68" s="313">
        <f t="shared" si="391"/>
        <v>2666.5</v>
      </c>
      <c r="DH68" s="387">
        <f>666.2*4</f>
        <v>2664.8</v>
      </c>
      <c r="DI68" s="387">
        <f>661.1*4</f>
        <v>2644.4</v>
      </c>
      <c r="DJ68" s="387">
        <f>767.356*4</f>
        <v>3069.424</v>
      </c>
      <c r="DK68" s="387">
        <f>767.366*4</f>
        <v>3069.4639999999999</v>
      </c>
      <c r="DL68" s="387">
        <f>767.372*4</f>
        <v>3069.4879999999998</v>
      </c>
      <c r="DM68" s="387">
        <f>767.39*4</f>
        <v>3069.56</v>
      </c>
      <c r="DN68" s="351">
        <f>767.412*4</f>
        <v>3069.6480000000001</v>
      </c>
      <c r="DO68" s="351">
        <f>1534.824*2</f>
        <v>3069.6480000000001</v>
      </c>
      <c r="DP68" s="351">
        <f>1534.824*2</f>
        <v>3069.6480000000001</v>
      </c>
      <c r="DQ68" s="351">
        <f>1534.824*2</f>
        <v>3069.6480000000001</v>
      </c>
      <c r="DR68" s="351">
        <f>1534.916*2</f>
        <v>3069.8319999999999</v>
      </c>
      <c r="DS68" s="351">
        <f>1534.921*2</f>
        <v>3069.8420000000001</v>
      </c>
      <c r="DT68" s="351">
        <v>3119.8420000000001</v>
      </c>
      <c r="DU68" s="351">
        <f>3119.842-151.547</f>
        <v>2968.2950000000001</v>
      </c>
      <c r="DV68" s="305">
        <f>3119.842-151.869</f>
        <v>2967.973</v>
      </c>
      <c r="DW68" s="305">
        <f>3119.842-148.819</f>
        <v>2971.0230000000001</v>
      </c>
      <c r="DX68" s="305">
        <f>3119.842-145.364</f>
        <v>2974.4780000000001</v>
      </c>
      <c r="DY68" s="387">
        <v>2961</v>
      </c>
      <c r="DZ68" s="387">
        <f>AVERAGE(AQ68:AT68)</f>
        <v>2912.2250000000004</v>
      </c>
      <c r="EA68" s="351">
        <f>AVERAGE(AU68:AX68)</f>
        <v>2836.0000000000005</v>
      </c>
      <c r="EB68" s="351">
        <f>AVERAGE(AY68:BB68)</f>
        <v>2790.3249999999998</v>
      </c>
      <c r="EC68" s="351">
        <f>AVERAGE(BC68:BF68)</f>
        <v>2790.3250000000003</v>
      </c>
      <c r="ED68" s="351">
        <f>AVERAGE(BG68:BJ68)</f>
        <v>2774.2750000000001</v>
      </c>
      <c r="EE68" s="351">
        <f>AVERAGE(BK68:BN68)</f>
        <v>2806.15</v>
      </c>
      <c r="EF68" s="351">
        <f>AVERAGE(BO68:BR68)</f>
        <v>2876.25</v>
      </c>
      <c r="EG68" s="351">
        <f t="shared" ref="EG68:EH68" si="392">EF68</f>
        <v>2876.25</v>
      </c>
      <c r="EH68" s="351">
        <f t="shared" si="392"/>
        <v>2876.25</v>
      </c>
      <c r="EI68" s="351">
        <f>EH68</f>
        <v>2876.25</v>
      </c>
      <c r="EJ68" s="351">
        <f t="shared" ref="EJ68:EM68" si="393">EI68</f>
        <v>2876.25</v>
      </c>
      <c r="EK68" s="351">
        <f t="shared" si="393"/>
        <v>2876.25</v>
      </c>
      <c r="EL68" s="351">
        <f t="shared" si="393"/>
        <v>2876.25</v>
      </c>
      <c r="EM68" s="351">
        <f t="shared" si="393"/>
        <v>2876.25</v>
      </c>
      <c r="EN68" s="351">
        <f>AVERAGE(CU68:CX68)</f>
        <v>2672.2999999999997</v>
      </c>
      <c r="EO68" s="351">
        <f>AVERAGE(CY68:DB68)</f>
        <v>2666.5</v>
      </c>
      <c r="EP68" s="351">
        <f>AVERAGE(DC68:DF68)</f>
        <v>2666.5</v>
      </c>
      <c r="EQ68" s="351">
        <f>+EP68</f>
        <v>2666.5</v>
      </c>
      <c r="ER68" s="351">
        <f t="shared" ref="ER68:EW68" si="394">+EQ68</f>
        <v>2666.5</v>
      </c>
      <c r="ES68" s="351">
        <f t="shared" si="394"/>
        <v>2666.5</v>
      </c>
      <c r="ET68" s="351">
        <f t="shared" si="394"/>
        <v>2666.5</v>
      </c>
      <c r="EU68" s="351">
        <f t="shared" si="394"/>
        <v>2666.5</v>
      </c>
      <c r="EV68" s="351">
        <f t="shared" si="394"/>
        <v>2666.5</v>
      </c>
      <c r="EW68" s="351">
        <f t="shared" si="394"/>
        <v>2666.5</v>
      </c>
      <c r="EZ68" s="58" t="s">
        <v>1489</v>
      </c>
      <c r="FA68" s="388">
        <v>5.0000000000000001E-3</v>
      </c>
    </row>
    <row r="69" spans="1:257" s="355" customFormat="1" ht="12.75" customHeight="1" x14ac:dyDescent="0.2">
      <c r="B69" s="361" t="s">
        <v>370</v>
      </c>
      <c r="C69" s="349"/>
      <c r="D69" s="349"/>
      <c r="E69" s="349"/>
      <c r="F69" s="349"/>
      <c r="G69" s="349"/>
      <c r="H69" s="349"/>
      <c r="I69" s="349"/>
      <c r="J69" s="349"/>
      <c r="K69" s="349"/>
      <c r="L69" s="349"/>
      <c r="M69" s="349"/>
      <c r="N69" s="349"/>
      <c r="O69" s="349"/>
      <c r="P69" s="349"/>
      <c r="Q69" s="349"/>
      <c r="R69" s="349"/>
      <c r="S69" s="349"/>
      <c r="T69" s="349"/>
      <c r="U69" s="349"/>
      <c r="V69" s="349"/>
      <c r="W69" s="349"/>
      <c r="X69" s="349"/>
      <c r="Y69" s="349"/>
      <c r="Z69" s="349"/>
      <c r="AA69" s="349"/>
      <c r="AB69" s="349"/>
      <c r="AC69" s="349"/>
      <c r="AD69" s="349"/>
      <c r="AE69" s="349"/>
      <c r="AF69" s="349"/>
      <c r="AG69" s="349"/>
      <c r="AH69" s="349"/>
      <c r="AI69" s="389"/>
      <c r="AJ69" s="389"/>
      <c r="AK69" s="389"/>
      <c r="AL69" s="389"/>
      <c r="AM69" s="389"/>
      <c r="AN69" s="389"/>
      <c r="AO69" s="389"/>
      <c r="AP69" s="389"/>
      <c r="AQ69" s="389"/>
      <c r="AR69" s="389"/>
      <c r="AS69" s="389"/>
      <c r="AT69" s="389"/>
      <c r="AU69" s="389"/>
      <c r="AV69" s="389"/>
      <c r="AW69" s="389"/>
      <c r="AX69" s="389"/>
      <c r="AY69" s="349"/>
      <c r="AZ69" s="349">
        <v>1.1200000000000001</v>
      </c>
      <c r="BA69" s="354">
        <v>1.1100000000000001</v>
      </c>
      <c r="BB69" s="354">
        <v>0.92</v>
      </c>
      <c r="BC69" s="349"/>
      <c r="BD69" s="349">
        <v>1.23</v>
      </c>
      <c r="BE69" s="349"/>
      <c r="BF69" s="390">
        <v>1.03</v>
      </c>
      <c r="BG69" s="390"/>
      <c r="BH69" s="390"/>
      <c r="BI69" s="390"/>
      <c r="BJ69" s="390"/>
      <c r="BK69" s="390"/>
      <c r="BL69" s="390"/>
      <c r="BM69" s="390"/>
      <c r="BN69" s="390"/>
      <c r="BO69" s="390"/>
      <c r="BP69" s="390"/>
      <c r="BQ69" s="390"/>
      <c r="BR69" s="390"/>
      <c r="BS69" s="390"/>
      <c r="BT69" s="390"/>
      <c r="BU69" s="390"/>
      <c r="BV69" s="390"/>
      <c r="BW69" s="390"/>
      <c r="BX69" s="390"/>
      <c r="BY69" s="390"/>
      <c r="BZ69" s="390"/>
      <c r="CA69" s="390"/>
      <c r="CB69" s="390"/>
      <c r="CC69" s="390"/>
      <c r="CD69" s="390"/>
      <c r="CE69" s="390"/>
      <c r="CF69" s="390"/>
      <c r="CG69" s="390"/>
      <c r="CH69" s="390"/>
      <c r="CI69" s="390"/>
      <c r="CJ69" s="390"/>
      <c r="CK69" s="390"/>
      <c r="CL69" s="390"/>
      <c r="CM69" s="390"/>
      <c r="CN69" s="390"/>
      <c r="CO69" s="390"/>
      <c r="CP69" s="390"/>
      <c r="CQ69" s="390"/>
      <c r="CR69" s="390"/>
      <c r="CS69" s="390"/>
      <c r="CT69" s="390"/>
      <c r="CU69" s="390"/>
      <c r="CV69" s="390"/>
      <c r="CW69" s="390"/>
      <c r="CX69" s="390"/>
      <c r="CY69" s="390"/>
      <c r="CZ69" s="390"/>
      <c r="DA69" s="390"/>
      <c r="DB69" s="390"/>
      <c r="DC69" s="390"/>
      <c r="DD69" s="390"/>
      <c r="DE69" s="390"/>
      <c r="DF69" s="390"/>
      <c r="DH69" s="391"/>
      <c r="DI69" s="391"/>
      <c r="DJ69" s="391"/>
      <c r="DK69" s="391"/>
      <c r="DL69" s="391"/>
      <c r="DM69" s="391"/>
      <c r="DN69" s="391"/>
      <c r="DO69" s="391"/>
      <c r="DP69" s="391"/>
      <c r="DQ69" s="391"/>
      <c r="DR69" s="391"/>
      <c r="DS69" s="391"/>
      <c r="DT69" s="391"/>
      <c r="DU69" s="390">
        <v>2.2200000000000002</v>
      </c>
      <c r="DV69" s="390">
        <v>2.65</v>
      </c>
      <c r="DW69" s="390">
        <v>3.1</v>
      </c>
      <c r="DX69" s="390">
        <f>(DX66+356-225)/DX68</f>
        <v>3.3242807645576802</v>
      </c>
      <c r="DY69" s="390">
        <v>3.68</v>
      </c>
      <c r="DZ69" s="390">
        <v>4.05</v>
      </c>
      <c r="EA69" s="390">
        <v>4.51</v>
      </c>
      <c r="EB69" s="390">
        <v>4.49</v>
      </c>
      <c r="EC69" s="390">
        <v>4.75</v>
      </c>
      <c r="ED69" s="390">
        <v>5.36</v>
      </c>
      <c r="EE69" s="390">
        <v>5.81</v>
      </c>
      <c r="EF69" s="390">
        <v>6.25</v>
      </c>
      <c r="EG69" s="390">
        <v>6.68</v>
      </c>
      <c r="EH69" s="390">
        <v>7.28</v>
      </c>
      <c r="EI69" s="392" t="s">
        <v>1361</v>
      </c>
      <c r="EJ69" s="392"/>
      <c r="EK69" s="392"/>
      <c r="EL69" s="392"/>
      <c r="EM69" s="392"/>
      <c r="EX69" s="393"/>
      <c r="EZ69" s="58" t="s">
        <v>1281</v>
      </c>
      <c r="FA69" s="388">
        <v>5.0000000000000001E-3</v>
      </c>
      <c r="FD69" s="394"/>
      <c r="FE69" s="393"/>
      <c r="FF69" s="394"/>
      <c r="FG69" s="394"/>
      <c r="FH69" s="394"/>
      <c r="FI69" s="361"/>
      <c r="FJ69" s="361"/>
    </row>
    <row r="70" spans="1:257" s="383" customFormat="1" ht="12.75" customHeight="1" x14ac:dyDescent="0.2">
      <c r="B70" s="384"/>
      <c r="C70" s="395"/>
      <c r="D70" s="395"/>
      <c r="E70" s="395"/>
      <c r="F70" s="395"/>
      <c r="G70" s="395"/>
      <c r="H70" s="395"/>
      <c r="I70" s="395"/>
      <c r="J70" s="395"/>
      <c r="K70" s="395"/>
      <c r="L70" s="395"/>
      <c r="M70" s="396"/>
      <c r="N70" s="396"/>
      <c r="O70" s="396"/>
      <c r="P70" s="396"/>
      <c r="Q70" s="396"/>
      <c r="R70" s="396"/>
      <c r="S70" s="396"/>
      <c r="T70" s="396"/>
      <c r="U70" s="396"/>
      <c r="V70" s="396"/>
      <c r="W70" s="396"/>
      <c r="X70" s="396"/>
      <c r="Y70" s="396"/>
      <c r="Z70" s="396"/>
      <c r="AA70" s="349"/>
      <c r="AB70" s="349"/>
      <c r="AC70" s="349"/>
      <c r="AD70" s="349"/>
      <c r="AE70" s="349"/>
      <c r="AF70" s="349"/>
      <c r="AG70" s="349"/>
      <c r="AH70" s="349"/>
      <c r="AI70" s="397"/>
      <c r="AJ70" s="397"/>
      <c r="AK70" s="397"/>
      <c r="AL70" s="397"/>
      <c r="AM70" s="397"/>
      <c r="AN70" s="397"/>
      <c r="AO70" s="397"/>
      <c r="AP70" s="397"/>
      <c r="AQ70" s="397"/>
      <c r="AR70" s="397"/>
      <c r="AS70" s="397"/>
      <c r="AT70" s="397"/>
      <c r="AU70" s="397"/>
      <c r="AV70" s="397"/>
      <c r="AW70" s="397"/>
      <c r="AX70" s="397"/>
      <c r="AY70" s="396"/>
      <c r="AZ70" s="396"/>
      <c r="BA70" s="398"/>
      <c r="BB70" s="398"/>
      <c r="BC70" s="396"/>
      <c r="BD70" s="396"/>
      <c r="BE70" s="396"/>
      <c r="BF70" s="396"/>
      <c r="BG70" s="396"/>
      <c r="BH70" s="396"/>
      <c r="BI70" s="396"/>
      <c r="BJ70" s="396"/>
      <c r="BK70" s="396"/>
      <c r="BL70" s="396"/>
      <c r="BM70" s="396"/>
      <c r="BN70" s="396"/>
      <c r="BO70" s="396"/>
      <c r="BP70" s="396"/>
      <c r="BQ70" s="396"/>
      <c r="BR70" s="396"/>
      <c r="BS70" s="396"/>
      <c r="BT70" s="396"/>
      <c r="BU70" s="396"/>
      <c r="BV70" s="396"/>
      <c r="BW70" s="396"/>
      <c r="BX70" s="396"/>
      <c r="BY70" s="396"/>
      <c r="BZ70" s="396"/>
      <c r="CA70" s="396"/>
      <c r="CB70" s="396"/>
      <c r="CC70" s="396"/>
      <c r="CD70" s="396"/>
      <c r="CE70" s="396"/>
      <c r="CF70" s="396"/>
      <c r="CG70" s="396"/>
      <c r="CH70" s="396"/>
      <c r="CI70" s="396"/>
      <c r="CJ70" s="396"/>
      <c r="CK70" s="396"/>
      <c r="CL70" s="396"/>
      <c r="CM70" s="396"/>
      <c r="CN70" s="396"/>
      <c r="CO70" s="396"/>
      <c r="CP70" s="396"/>
      <c r="CQ70" s="396"/>
      <c r="CR70" s="396"/>
      <c r="CS70" s="396"/>
      <c r="CT70" s="396"/>
      <c r="CU70" s="396"/>
      <c r="CV70" s="396"/>
      <c r="CW70" s="396"/>
      <c r="CX70" s="396"/>
      <c r="CY70" s="396"/>
      <c r="CZ70" s="396"/>
      <c r="DA70" s="396"/>
      <c r="DB70" s="396"/>
      <c r="DC70" s="396"/>
      <c r="DD70" s="396"/>
      <c r="DE70" s="396"/>
      <c r="DF70" s="396"/>
      <c r="DH70" s="399"/>
      <c r="DI70" s="399"/>
      <c r="DJ70" s="399"/>
      <c r="DK70" s="399"/>
      <c r="DL70" s="399"/>
      <c r="DM70" s="399"/>
      <c r="DN70" s="399"/>
      <c r="DO70" s="399"/>
      <c r="DP70" s="399"/>
      <c r="DQ70" s="399"/>
      <c r="DR70" s="399"/>
      <c r="DS70" s="399"/>
      <c r="DT70" s="399"/>
      <c r="DU70" s="385"/>
      <c r="DV70" s="399"/>
      <c r="DW70" s="399"/>
      <c r="DX70" s="399"/>
      <c r="DY70" s="399"/>
      <c r="DZ70" s="399"/>
      <c r="EA70" s="385"/>
      <c r="EB70" s="385"/>
      <c r="EC70" s="385"/>
      <c r="ED70" s="385"/>
      <c r="EE70" s="385"/>
      <c r="EF70" s="399"/>
      <c r="EG70" s="399"/>
      <c r="EH70" s="399"/>
      <c r="EI70" s="399"/>
      <c r="EJ70" s="399"/>
      <c r="EK70" s="399"/>
      <c r="EL70" s="399"/>
      <c r="EM70" s="399"/>
      <c r="EZ70" s="229" t="s">
        <v>1282</v>
      </c>
      <c r="FA70" s="289">
        <f>+FA71+(FA72*FA73)</f>
        <v>6.5500000000000003E-2</v>
      </c>
      <c r="FD70" s="361"/>
      <c r="FE70" s="355"/>
      <c r="FF70" s="361"/>
      <c r="FG70" s="360"/>
      <c r="FH70" s="361"/>
      <c r="FI70" s="384"/>
      <c r="FJ70" s="384"/>
    </row>
    <row r="71" spans="1:257" s="381" customFormat="1" ht="12.75" customHeight="1" x14ac:dyDescent="0.2">
      <c r="A71" s="229"/>
      <c r="B71" s="229" t="s">
        <v>367</v>
      </c>
      <c r="C71" s="385">
        <f>PV(11%,4,0,-EG67)*14</f>
        <v>64.618864705304702</v>
      </c>
      <c r="D71" s="385"/>
      <c r="E71" s="385"/>
      <c r="F71" s="385"/>
      <c r="G71" s="385"/>
      <c r="H71" s="400">
        <f t="shared" ref="H71:BB71" si="395">H55/D55-1</f>
        <v>1.4917514917514918E-2</v>
      </c>
      <c r="I71" s="400">
        <f t="shared" si="395"/>
        <v>2.4704618689581181E-2</v>
      </c>
      <c r="J71" s="400">
        <f t="shared" si="395"/>
        <v>0.13090586145648309</v>
      </c>
      <c r="K71" s="400">
        <f t="shared" si="395"/>
        <v>0.14784713816358286</v>
      </c>
      <c r="L71" s="400">
        <f t="shared" si="395"/>
        <v>0.18519799412069871</v>
      </c>
      <c r="M71" s="400">
        <f t="shared" si="395"/>
        <v>0.17907058001397624</v>
      </c>
      <c r="N71" s="400">
        <f t="shared" si="395"/>
        <v>8.0100518297471446E-2</v>
      </c>
      <c r="O71" s="400">
        <f t="shared" si="395"/>
        <v>0.1025911419102139</v>
      </c>
      <c r="P71" s="400">
        <f>P55/L55-1</f>
        <v>9.54187335862271E-2</v>
      </c>
      <c r="Q71" s="400">
        <f t="shared" si="395"/>
        <v>6.7417395169654837E-2</v>
      </c>
      <c r="R71" s="400">
        <f t="shared" si="395"/>
        <v>3.3590228297222691E-2</v>
      </c>
      <c r="S71" s="400">
        <f t="shared" si="395"/>
        <v>6.4489684383112422E-2</v>
      </c>
      <c r="T71" s="400">
        <f>T55/P55-1</f>
        <v>0.11108151305274383</v>
      </c>
      <c r="U71" s="400">
        <f t="shared" si="395"/>
        <v>0.14353137146029993</v>
      </c>
      <c r="V71" s="400">
        <f t="shared" si="395"/>
        <v>0.18218908272369161</v>
      </c>
      <c r="W71" s="400">
        <f t="shared" si="395"/>
        <v>0.12219227313566927</v>
      </c>
      <c r="X71" s="400">
        <f t="shared" si="395"/>
        <v>8.7628865979381354E-2</v>
      </c>
      <c r="Y71" s="400">
        <f t="shared" si="395"/>
        <v>0.10208788540907987</v>
      </c>
      <c r="Z71" s="400">
        <f t="shared" si="395"/>
        <v>0.11900511722004037</v>
      </c>
      <c r="AA71" s="400">
        <f t="shared" si="395"/>
        <v>0.12341301612718736</v>
      </c>
      <c r="AB71" s="400">
        <f t="shared" si="395"/>
        <v>0.13876336382673871</v>
      </c>
      <c r="AC71" s="400">
        <f t="shared" si="395"/>
        <v>0.15144839740059468</v>
      </c>
      <c r="AD71" s="400">
        <f t="shared" si="395"/>
        <v>0.21120918855684345</v>
      </c>
      <c r="AE71" s="400">
        <f t="shared" si="395"/>
        <v>0.22011810221950734</v>
      </c>
      <c r="AF71" s="400">
        <f t="shared" si="395"/>
        <v>0.15098722415795596</v>
      </c>
      <c r="AG71" s="400">
        <f t="shared" si="395"/>
        <v>0.1051272240290797</v>
      </c>
      <c r="AH71" s="400">
        <f t="shared" si="395"/>
        <v>0.11967688120115905</v>
      </c>
      <c r="AI71" s="400">
        <f t="shared" si="395"/>
        <v>7.0761014686248291E-2</v>
      </c>
      <c r="AJ71" s="400">
        <f t="shared" si="395"/>
        <v>7.3158425832492435E-2</v>
      </c>
      <c r="AK71" s="400">
        <f t="shared" si="395"/>
        <v>6.552410629273786E-2</v>
      </c>
      <c r="AL71" s="400">
        <f t="shared" si="395"/>
        <v>-1.1135508155583396E-2</v>
      </c>
      <c r="AM71" s="401">
        <f t="shared" si="395"/>
        <v>1.2468827930174564E-2</v>
      </c>
      <c r="AN71" s="401">
        <f t="shared" si="395"/>
        <v>4.7092932142297483E-2</v>
      </c>
      <c r="AO71" s="401">
        <f t="shared" si="395"/>
        <v>7.9366368805848797E-2</v>
      </c>
      <c r="AP71" s="400">
        <f t="shared" si="395"/>
        <v>8.5011895321173592E-2</v>
      </c>
      <c r="AQ71" s="400">
        <f t="shared" si="395"/>
        <v>0.16125307881773399</v>
      </c>
      <c r="AR71" s="400">
        <f t="shared" si="395"/>
        <v>0.13312878844570819</v>
      </c>
      <c r="AS71" s="402">
        <f t="shared" si="395"/>
        <v>0.12944983818770228</v>
      </c>
      <c r="AT71" s="402">
        <f t="shared" si="395"/>
        <v>0.16627686010817122</v>
      </c>
      <c r="AU71" s="402">
        <f t="shared" si="395"/>
        <v>7.3374428315768458E-2</v>
      </c>
      <c r="AV71" s="402">
        <f t="shared" si="395"/>
        <v>8.6382248051776411E-2</v>
      </c>
      <c r="AW71" s="402">
        <f t="shared" si="395"/>
        <v>6.0904911041513854E-2</v>
      </c>
      <c r="AX71" s="402">
        <f>AX55/AT55-1</f>
        <v>-4.8568026571410683E-2</v>
      </c>
      <c r="AY71" s="402">
        <f t="shared" si="395"/>
        <v>-7.2125478572310775E-2</v>
      </c>
      <c r="AZ71" s="402">
        <f t="shared" si="395"/>
        <v>-7.3617021276595751E-2</v>
      </c>
      <c r="BA71" s="403">
        <f>BA55/AW55-1</f>
        <v>-5.27605049934049E-2</v>
      </c>
      <c r="BB71" s="403">
        <f t="shared" si="395"/>
        <v>9.017257278355939E-2</v>
      </c>
      <c r="BC71" s="403">
        <f>BC55/AY55-1</f>
        <v>4.026354319180081E-2</v>
      </c>
      <c r="BD71" s="403">
        <f>BD55/AZ55-1</f>
        <v>9.8431655620447867E-3</v>
      </c>
      <c r="BE71" s="403">
        <f t="shared" ref="BE71:BG71" si="396">BE55/BA55-1</f>
        <v>-6.5645514223194867E-3</v>
      </c>
      <c r="BF71" s="403">
        <f t="shared" si="396"/>
        <v>-5.4800314180412091E-2</v>
      </c>
      <c r="BG71" s="403">
        <f t="shared" si="396"/>
        <v>8.5407203633804718E-2</v>
      </c>
      <c r="BH71" s="403">
        <f>BH55/BD55-1</f>
        <v>7.8497628175969947E-2</v>
      </c>
      <c r="BI71" s="403">
        <f>BI55/BE55-1</f>
        <v>6.8281938325991165E-2</v>
      </c>
      <c r="BJ71" s="403">
        <f t="shared" ref="BJ71" si="397">BJ55/BF55-1</f>
        <v>0.20308105343901817</v>
      </c>
      <c r="BK71" s="403">
        <f>BK55/BG55-1</f>
        <v>-4.8744547919368109E-2</v>
      </c>
      <c r="BL71" s="403">
        <f>BL55/BH55-1</f>
        <v>1.7473037295896443E-3</v>
      </c>
      <c r="BM71" s="403">
        <f>BM55/BI55-1</f>
        <v>7.4101843174008142E-2</v>
      </c>
      <c r="BN71" s="403">
        <f>BN55/BJ55-1</f>
        <v>-5.4726103820200822E-2</v>
      </c>
      <c r="BO71" s="403">
        <f t="shared" ref="BO71:BR71" si="398">BO55/BK55-1</f>
        <v>8.7304046099510479E-2</v>
      </c>
      <c r="BP71" s="403">
        <f t="shared" si="398"/>
        <v>7.8611812823288885E-2</v>
      </c>
      <c r="BQ71" s="403">
        <f t="shared" si="398"/>
        <v>2.60601477517306E-2</v>
      </c>
      <c r="BR71" s="403">
        <f t="shared" si="398"/>
        <v>3.7097408802203358E-2</v>
      </c>
      <c r="BS71" s="403">
        <f>BS55/BO55-1</f>
        <v>3.2311374515614277E-2</v>
      </c>
      <c r="BT71" s="403">
        <f t="shared" ref="BT71" si="399">BT55/BP55-1</f>
        <v>8.7101990743322366E-2</v>
      </c>
      <c r="BU71" s="403">
        <f t="shared" ref="BU71" si="400">BU55/BQ55-1</f>
        <v>5.1865752026758916E-2</v>
      </c>
      <c r="BV71" s="403">
        <f t="shared" ref="BV71" si="401">BV55/BR55-1</f>
        <v>5.6840821635683936E-2</v>
      </c>
      <c r="BW71" s="403">
        <f t="shared" ref="BW71" si="402">BW55/BS55-1</f>
        <v>5.1250897046646315E-2</v>
      </c>
      <c r="BX71" s="403">
        <f t="shared" ref="BX71" si="403">BX55/BT55-1</f>
        <v>2.4744293408566209E-2</v>
      </c>
      <c r="BY71" s="403">
        <f t="shared" ref="BY71" si="404">BY55/BU55-1</f>
        <v>5.0303527136671189E-2</v>
      </c>
      <c r="BZ71" s="403">
        <f t="shared" ref="BZ71" si="405">BZ55/BV55-1</f>
        <v>4.84860847076658E-2</v>
      </c>
      <c r="CA71" s="403"/>
      <c r="CB71" s="403"/>
      <c r="CC71" s="403"/>
      <c r="CD71" s="403"/>
      <c r="CE71" s="403"/>
      <c r="CF71" s="403"/>
      <c r="CG71" s="403"/>
      <c r="CH71" s="403"/>
      <c r="CI71" s="403"/>
      <c r="CJ71" s="403"/>
      <c r="CK71" s="403"/>
      <c r="CL71" s="403"/>
      <c r="CM71" s="403"/>
      <c r="CN71" s="403"/>
      <c r="CO71" s="403"/>
      <c r="CP71" s="403"/>
      <c r="CQ71" s="403"/>
      <c r="CR71" s="403"/>
      <c r="CS71" s="403"/>
      <c r="CT71" s="403"/>
      <c r="CU71" s="403">
        <f t="shared" ref="CU71" si="406">+CU55/CQ55-1</f>
        <v>7.8830352827452765E-2</v>
      </c>
      <c r="CV71" s="403">
        <f t="shared" ref="CV71" si="407">+CV55/CR55-1</f>
        <v>0.27134911113534743</v>
      </c>
      <c r="CW71" s="403">
        <f t="shared" ref="CW71:CX71" si="408">+CW55/CS55-1</f>
        <v>0.10686841855611418</v>
      </c>
      <c r="CX71" s="403">
        <f t="shared" si="408"/>
        <v>0.10371062466631065</v>
      </c>
      <c r="CY71" s="403">
        <f>+CY55/CU55-1</f>
        <v>4.9504950495049549E-2</v>
      </c>
      <c r="CZ71" s="403">
        <f t="shared" ref="CZ71:DF71" si="409">+CZ55/CV55-1</f>
        <v>-1.929312859226151E-3</v>
      </c>
      <c r="DA71" s="403">
        <f t="shared" si="409"/>
        <v>-1.3665738161559693E-2</v>
      </c>
      <c r="DB71" s="403">
        <f t="shared" si="409"/>
        <v>-5.3981537469262819E-2</v>
      </c>
      <c r="DC71" s="403">
        <f t="shared" si="409"/>
        <v>-7.3209254674300173E-4</v>
      </c>
      <c r="DD71" s="403">
        <f t="shared" si="409"/>
        <v>2.433379661025703E-2</v>
      </c>
      <c r="DE71" s="403">
        <f t="shared" si="409"/>
        <v>2.878768393095088E-2</v>
      </c>
      <c r="DF71" s="403">
        <f t="shared" si="409"/>
        <v>3.2894006616703608E-2</v>
      </c>
      <c r="DH71" s="315"/>
      <c r="DI71" s="315">
        <f t="shared" ref="DI71:EI71" si="410">DI55/DH55-1</f>
        <v>0.15117351644972832</v>
      </c>
      <c r="DJ71" s="315">
        <f t="shared" si="410"/>
        <v>0.10817307692307687</v>
      </c>
      <c r="DK71" s="315">
        <f t="shared" si="410"/>
        <v>0.10492488149754964</v>
      </c>
      <c r="DL71" s="315">
        <f t="shared" si="410"/>
        <v>2.7993892241692686E-2</v>
      </c>
      <c r="DM71" s="315">
        <f t="shared" si="410"/>
        <v>0.11288725420851597</v>
      </c>
      <c r="DN71" s="315">
        <f t="shared" si="410"/>
        <v>0.19753400279649158</v>
      </c>
      <c r="DO71" s="315">
        <f t="shared" si="410"/>
        <v>0.14743657785797692</v>
      </c>
      <c r="DP71" s="315">
        <f t="shared" si="410"/>
        <v>4.6669750231267404E-2</v>
      </c>
      <c r="DQ71" s="315">
        <f t="shared" si="410"/>
        <v>4.542843254231288E-2</v>
      </c>
      <c r="DR71" s="315">
        <f t="shared" si="410"/>
        <v>0.16122078031872178</v>
      </c>
      <c r="DS71" s="315">
        <f t="shared" si="410"/>
        <v>6.071857595282304E-2</v>
      </c>
      <c r="DT71" s="315">
        <f t="shared" si="410"/>
        <v>0.13264010432753359</v>
      </c>
      <c r="DU71" s="315">
        <f t="shared" si="410"/>
        <v>0.11840685977457288</v>
      </c>
      <c r="DV71" s="315">
        <f t="shared" si="410"/>
        <v>0.14774368157694395</v>
      </c>
      <c r="DW71" s="315">
        <f t="shared" si="410"/>
        <v>0.13576173009106474</v>
      </c>
      <c r="DX71" s="315">
        <f t="shared" si="410"/>
        <v>2.870087495064122E-2</v>
      </c>
      <c r="DY71" s="315">
        <f t="shared" si="410"/>
        <v>7.729605236575221E-2</v>
      </c>
      <c r="DZ71" s="315">
        <f t="shared" si="410"/>
        <v>0.14573175305678499</v>
      </c>
      <c r="EA71" s="315">
        <f>EA55/DZ55-1</f>
        <v>4.3407807512889862E-2</v>
      </c>
      <c r="EB71" s="315">
        <f>EB55/EA55-1</f>
        <v>-2.902097353600952E-2</v>
      </c>
      <c r="EC71" s="315">
        <f t="shared" si="410"/>
        <v>-7.1408953584179979E-3</v>
      </c>
      <c r="ED71" s="315">
        <f t="shared" si="410"/>
        <v>5.817264665202182E-2</v>
      </c>
      <c r="EE71" s="315">
        <f t="shared" si="410"/>
        <v>4.178071659234206E-2</v>
      </c>
      <c r="EF71" s="315">
        <f t="shared" si="410"/>
        <v>5.2622256336073869E-2</v>
      </c>
      <c r="EG71" s="315">
        <f t="shared" si="410"/>
        <v>6.9225866614314402E-2</v>
      </c>
      <c r="EH71" s="315">
        <f t="shared" si="410"/>
        <v>9.9178139385709407E-3</v>
      </c>
      <c r="EI71" s="315">
        <f t="shared" si="410"/>
        <v>-4.7174339124321785E-2</v>
      </c>
      <c r="EJ71" s="315">
        <f t="shared" ref="EJ71" si="411">EJ55/EI55-1</f>
        <v>-3.9306687407236973E-2</v>
      </c>
      <c r="EK71" s="315">
        <f t="shared" ref="EK71" si="412">EK55/EJ55-1</f>
        <v>8.3285687485279425E-5</v>
      </c>
      <c r="EL71" s="315">
        <f t="shared" ref="EL71" si="413">EL55/EK55-1</f>
        <v>6.2459846675813058E-3</v>
      </c>
      <c r="EM71" s="315">
        <f t="shared" ref="EM71" si="414">EM55/EL55-1</f>
        <v>0.16425948296266291</v>
      </c>
      <c r="EN71" s="315">
        <f t="shared" ref="EN71" si="415">EN55/EM55-1</f>
        <v>0.13550722882813071</v>
      </c>
      <c r="EO71" s="315">
        <f t="shared" ref="EO71" si="416">EO55/EN55-1</f>
        <v>-6.3767235036310543E-3</v>
      </c>
      <c r="EP71" s="315">
        <f t="shared" ref="EP71" si="417">EP55/EO55-1</f>
        <v>2.5610767918653465E-3</v>
      </c>
      <c r="EQ71" s="315">
        <f t="shared" ref="EQ71" si="418">EQ55/EP55-1</f>
        <v>3.6287194505559839E-3</v>
      </c>
      <c r="ER71" s="315">
        <f t="shared" ref="ER71" si="419">ER55/EQ55-1</f>
        <v>-7.236764307815502E-3</v>
      </c>
      <c r="ES71" s="315">
        <f t="shared" ref="ES71" si="420">ES55/ER55-1</f>
        <v>-4.1298669147015188E-3</v>
      </c>
      <c r="ET71" s="315">
        <f t="shared" ref="ET71" si="421">ET55/ES55-1</f>
        <v>7.1592598774294913E-4</v>
      </c>
      <c r="EU71" s="315">
        <f t="shared" ref="EU71" si="422">EU55/ET55-1</f>
        <v>3.0683073169661679E-3</v>
      </c>
      <c r="EV71" s="315">
        <f t="shared" ref="EV71" si="423">EV55/EU55-1</f>
        <v>-1.2220046763406489E-2</v>
      </c>
      <c r="EW71" s="315">
        <f t="shared" ref="EW71" si="424">EW55/EV55-1</f>
        <v>-1.9890226878054307E-3</v>
      </c>
      <c r="EZ71" s="58" t="s">
        <v>1493</v>
      </c>
      <c r="FA71" s="388">
        <v>0.02</v>
      </c>
      <c r="FD71" s="404"/>
      <c r="FE71" s="404"/>
      <c r="FF71" s="405"/>
      <c r="FG71" s="360"/>
      <c r="FH71" s="405"/>
      <c r="FI71" s="404"/>
      <c r="FJ71" s="404"/>
    </row>
    <row r="72" spans="1:257" s="376" customFormat="1" ht="12.75" customHeight="1" x14ac:dyDescent="0.2">
      <c r="A72" s="353"/>
      <c r="B72" s="353" t="s">
        <v>1618</v>
      </c>
      <c r="C72" s="390"/>
      <c r="D72" s="390"/>
      <c r="E72" s="390"/>
      <c r="F72" s="390"/>
      <c r="G72" s="390"/>
      <c r="H72" s="400"/>
      <c r="I72" s="400"/>
      <c r="J72" s="400"/>
      <c r="K72" s="400"/>
      <c r="L72" s="400"/>
      <c r="M72" s="400"/>
      <c r="N72" s="400"/>
      <c r="O72" s="400"/>
      <c r="P72" s="400"/>
      <c r="Q72" s="400"/>
      <c r="R72" s="400"/>
      <c r="S72" s="400"/>
      <c r="T72" s="400"/>
      <c r="U72" s="400"/>
      <c r="V72" s="400"/>
      <c r="W72" s="400"/>
      <c r="X72" s="400"/>
      <c r="Y72" s="400"/>
      <c r="Z72" s="400"/>
      <c r="AA72" s="400"/>
      <c r="AB72" s="400"/>
      <c r="AC72" s="400"/>
      <c r="AD72" s="400"/>
      <c r="AE72" s="400"/>
      <c r="AF72" s="400"/>
      <c r="AG72" s="400"/>
      <c r="AH72" s="400"/>
      <c r="AI72" s="400"/>
      <c r="AJ72" s="400"/>
      <c r="AK72" s="400"/>
      <c r="AL72" s="400"/>
      <c r="AM72" s="401"/>
      <c r="AN72" s="401"/>
      <c r="AO72" s="401"/>
      <c r="AP72" s="400"/>
      <c r="AQ72" s="400"/>
      <c r="AR72" s="400"/>
      <c r="AS72" s="400"/>
      <c r="AT72" s="400"/>
      <c r="AU72" s="400"/>
      <c r="AV72" s="400"/>
      <c r="AW72" s="400"/>
      <c r="AX72" s="400"/>
      <c r="AY72" s="400"/>
      <c r="AZ72" s="400"/>
      <c r="BA72" s="401"/>
      <c r="BB72" s="401"/>
      <c r="BC72" s="401"/>
      <c r="BD72" s="401">
        <f t="shared" ref="BD72" si="425">+BD59/AZ59-1</f>
        <v>6.1050061050060833E-3</v>
      </c>
      <c r="BE72" s="401">
        <f t="shared" ref="BE72" si="426">+BE59/BA59-1</f>
        <v>2.4737167594310439E-2</v>
      </c>
      <c r="BF72" s="401">
        <f t="shared" ref="BF72" si="427">+BF59/BB59-1</f>
        <v>-0.10438319023949394</v>
      </c>
      <c r="BG72" s="401">
        <f t="shared" ref="BG72" si="428">+BG59/BC59-1</f>
        <v>0.11624919717405269</v>
      </c>
      <c r="BH72" s="401">
        <f t="shared" ref="BH72:BL72" si="429">+BH59/BD59-1</f>
        <v>0.14199029126213603</v>
      </c>
      <c r="BI72" s="401">
        <f t="shared" si="429"/>
        <v>7.0006035003017608E-2</v>
      </c>
      <c r="BJ72" s="401">
        <f t="shared" si="429"/>
        <v>8.7285570131180545E-2</v>
      </c>
      <c r="BK72" s="401">
        <f t="shared" si="429"/>
        <v>-5.3509781357882646E-2</v>
      </c>
      <c r="BL72" s="401">
        <f t="shared" si="429"/>
        <v>-6.1636556854410163E-2</v>
      </c>
      <c r="BM72" s="401">
        <f>+BM59/BI59-1</f>
        <v>8.4602368866328215E-2</v>
      </c>
      <c r="BN72" s="401">
        <f t="shared" ref="BN72:BR72" si="430">+BN59/BJ59-1</f>
        <v>8.1670533642691501E-2</v>
      </c>
      <c r="BO72" s="401">
        <f t="shared" si="430"/>
        <v>8.44984802431612E-2</v>
      </c>
      <c r="BP72" s="401">
        <f t="shared" si="430"/>
        <v>0.10192525481313708</v>
      </c>
      <c r="BQ72" s="401">
        <f t="shared" si="430"/>
        <v>6.1882475299011919E-2</v>
      </c>
      <c r="BR72" s="401">
        <f t="shared" si="430"/>
        <v>3.4320034320034276E-2</v>
      </c>
      <c r="BS72" s="401">
        <f>+BS59/BO59-1</f>
        <v>2.6345291479820565E-2</v>
      </c>
      <c r="BT72" s="401">
        <f t="shared" ref="BT72" si="431">+BT59/BP59-1</f>
        <v>3.0318602261048211E-2</v>
      </c>
      <c r="BU72" s="401">
        <f t="shared" ref="BU72" si="432">+BU59/BQ59-1</f>
        <v>1.0000000000000009E-2</v>
      </c>
      <c r="BV72" s="401">
        <f t="shared" ref="BV72" si="433">+BV59/BR59-1</f>
        <v>1.0000000000000009E-2</v>
      </c>
      <c r="BW72" s="401">
        <f t="shared" ref="BW72" si="434">+BW59/BS59-1</f>
        <v>1.0000000000000009E-2</v>
      </c>
      <c r="BX72" s="401">
        <f t="shared" ref="BX72" si="435">+BX59/BT59-1</f>
        <v>1.0000000000000009E-2</v>
      </c>
      <c r="BY72" s="401">
        <f t="shared" ref="BY72" si="436">+BY59/BU59-1</f>
        <v>1.0000000000000009E-2</v>
      </c>
      <c r="BZ72" s="401">
        <f t="shared" ref="BZ72" si="437">+BZ59/BV59-1</f>
        <v>1.0000000000000009E-2</v>
      </c>
      <c r="CA72" s="401"/>
      <c r="CB72" s="401"/>
      <c r="CC72" s="401"/>
      <c r="CD72" s="401"/>
      <c r="CE72" s="401"/>
      <c r="CF72" s="401"/>
      <c r="CG72" s="401"/>
      <c r="CH72" s="401"/>
      <c r="CI72" s="401"/>
      <c r="CJ72" s="401"/>
      <c r="CK72" s="401"/>
      <c r="CL72" s="401"/>
      <c r="CM72" s="401"/>
      <c r="CN72" s="401"/>
      <c r="CO72" s="401"/>
      <c r="CP72" s="401"/>
      <c r="CQ72" s="401"/>
      <c r="CR72" s="401"/>
      <c r="CS72" s="401"/>
      <c r="CT72" s="401"/>
      <c r="CU72" s="401">
        <f t="shared" ref="CU72" si="438">+CU59/CQ59-1</f>
        <v>0.23178294573643421</v>
      </c>
      <c r="CV72" s="401">
        <f t="shared" ref="CV72" si="439">+CV59/CR59-1</f>
        <v>0.2537864794975988</v>
      </c>
      <c r="CW72" s="401">
        <f t="shared" ref="CW72:CX72" si="440">+CW59/CS59-1</f>
        <v>0.20492957746478879</v>
      </c>
      <c r="CX72" s="401">
        <f t="shared" si="440"/>
        <v>0.17063492063492069</v>
      </c>
      <c r="CY72" s="401">
        <f>+CY59/CU59-1</f>
        <v>8.9364380113278852E-2</v>
      </c>
      <c r="CZ72" s="401">
        <f t="shared" ref="CZ72:DF72" si="441">+CZ59/CV59-1</f>
        <v>-1</v>
      </c>
      <c r="DA72" s="401">
        <f t="shared" si="441"/>
        <v>-1</v>
      </c>
      <c r="DB72" s="401">
        <f t="shared" si="441"/>
        <v>-1</v>
      </c>
      <c r="DC72" s="401">
        <f t="shared" si="441"/>
        <v>-1</v>
      </c>
      <c r="DD72" s="401" t="e">
        <f t="shared" si="441"/>
        <v>#DIV/0!</v>
      </c>
      <c r="DE72" s="401" t="e">
        <f t="shared" si="441"/>
        <v>#DIV/0!</v>
      </c>
      <c r="DF72" s="401" t="e">
        <f t="shared" si="441"/>
        <v>#DIV/0!</v>
      </c>
      <c r="DH72" s="316"/>
      <c r="DI72" s="316"/>
      <c r="DJ72" s="316"/>
      <c r="DK72" s="316"/>
      <c r="DL72" s="316"/>
      <c r="DM72" s="316"/>
      <c r="DN72" s="316"/>
      <c r="DO72" s="316"/>
      <c r="DP72" s="316"/>
      <c r="DQ72" s="316"/>
      <c r="DR72" s="316"/>
      <c r="DS72" s="316"/>
      <c r="DT72" s="316"/>
      <c r="DU72" s="316"/>
      <c r="DV72" s="316"/>
      <c r="DW72" s="316"/>
      <c r="DX72" s="316"/>
      <c r="DY72" s="316"/>
      <c r="DZ72" s="316"/>
      <c r="EA72" s="316"/>
      <c r="EB72" s="316"/>
      <c r="EC72" s="316">
        <f t="shared" ref="EC72:EE72" si="442">EC59/EB59-1</f>
        <v>-2.0326367019753766E-2</v>
      </c>
      <c r="ED72" s="316">
        <f t="shared" si="442"/>
        <v>0.10286382232612512</v>
      </c>
      <c r="EE72" s="316">
        <f t="shared" si="442"/>
        <v>1.5500794912559623E-2</v>
      </c>
      <c r="EF72" s="316">
        <f>EF59/EE59-1</f>
        <v>6.7579908675799105E-2</v>
      </c>
      <c r="EG72" s="316">
        <f t="shared" ref="EG72:EQ72" si="443">EG59/EF59-1</f>
        <v>-0.63338628864719548</v>
      </c>
      <c r="EH72" s="316">
        <f t="shared" si="443"/>
        <v>0</v>
      </c>
      <c r="EI72" s="316">
        <f t="shared" si="443"/>
        <v>0</v>
      </c>
      <c r="EJ72" s="316">
        <f t="shared" si="443"/>
        <v>0</v>
      </c>
      <c r="EK72" s="316">
        <f t="shared" si="443"/>
        <v>0</v>
      </c>
      <c r="EL72" s="316">
        <f t="shared" si="443"/>
        <v>0</v>
      </c>
      <c r="EM72" s="316">
        <f t="shared" si="443"/>
        <v>0</v>
      </c>
      <c r="EN72" s="316">
        <f t="shared" si="443"/>
        <v>3.9046666666666665</v>
      </c>
      <c r="EO72" s="316">
        <f t="shared" si="443"/>
        <v>-0.79611254587467717</v>
      </c>
      <c r="EP72" s="316">
        <f t="shared" si="443"/>
        <v>0</v>
      </c>
      <c r="EQ72" s="316">
        <f t="shared" si="443"/>
        <v>0</v>
      </c>
      <c r="ER72" s="316"/>
      <c r="ES72" s="316"/>
      <c r="ET72" s="316"/>
      <c r="EU72" s="316"/>
      <c r="EV72" s="316"/>
      <c r="EW72" s="316"/>
      <c r="EZ72" s="58" t="s">
        <v>1494</v>
      </c>
      <c r="FA72" s="388">
        <v>6.5000000000000002E-2</v>
      </c>
      <c r="FD72" s="405"/>
      <c r="FE72" s="405"/>
      <c r="FF72" s="405"/>
      <c r="FG72" s="361"/>
      <c r="FH72" s="405"/>
      <c r="FI72" s="405"/>
      <c r="FJ72" s="405"/>
    </row>
    <row r="73" spans="1:257" s="376" customFormat="1" ht="12.75" customHeight="1" x14ac:dyDescent="0.2">
      <c r="A73" s="353"/>
      <c r="B73" s="353" t="s">
        <v>1619</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BL73" si="444">BD58/AZ58-1</f>
        <v>-8.5470085470085166E-3</v>
      </c>
      <c r="BE73" s="401">
        <f t="shared" si="444"/>
        <v>-1.2166981329976956E-2</v>
      </c>
      <c r="BF73" s="401">
        <f t="shared" si="444"/>
        <v>-7.9765500088825769E-2</v>
      </c>
      <c r="BG73" s="401">
        <f t="shared" si="444"/>
        <v>5.7961916718978879E-2</v>
      </c>
      <c r="BH73" s="401">
        <f t="shared" si="444"/>
        <v>9.6509671993271651E-2</v>
      </c>
      <c r="BI73" s="401">
        <f t="shared" si="444"/>
        <v>0.11276279464854544</v>
      </c>
      <c r="BJ73" s="401">
        <f t="shared" si="444"/>
        <v>5.3667953667953627E-2</v>
      </c>
      <c r="BK73" s="401">
        <f t="shared" si="444"/>
        <v>-8.1091772151898889E-3</v>
      </c>
      <c r="BL73" s="401">
        <f t="shared" si="444"/>
        <v>-4.7938638542665335E-2</v>
      </c>
      <c r="BM73" s="401">
        <f>BM58/BI58-1</f>
        <v>-2.2900763358778553E-3</v>
      </c>
      <c r="BN73" s="401">
        <f t="shared" ref="BN73:BR73" si="445">BN58/BJ58-1</f>
        <v>3.7193111029681258E-2</v>
      </c>
      <c r="BO73" s="401">
        <f t="shared" si="445"/>
        <v>4.1475573280159495E-2</v>
      </c>
      <c r="BP73" s="401">
        <f t="shared" si="445"/>
        <v>7.2507552870091363E-3</v>
      </c>
      <c r="BQ73" s="401">
        <f t="shared" si="445"/>
        <v>1.6449885233358774E-2</v>
      </c>
      <c r="BR73" s="401">
        <f t="shared" si="445"/>
        <v>4.5221692280515757E-2</v>
      </c>
      <c r="BS73" s="401">
        <f>BS58/BO58-1</f>
        <v>-7.6584338502776461E-3</v>
      </c>
      <c r="BT73" s="401">
        <f t="shared" ref="BT73" si="446">BT58/BP58-1</f>
        <v>9.5980803839232243E-2</v>
      </c>
      <c r="BU73" s="401">
        <f t="shared" ref="BU73" si="447">BU58/BQ58-1</f>
        <v>2.0000000000000018E-2</v>
      </c>
      <c r="BV73" s="401">
        <f t="shared" ref="BV73" si="448">BV58/BR58-1</f>
        <v>2.0000000000000018E-2</v>
      </c>
      <c r="BW73" s="401">
        <f t="shared" ref="BW73" si="449">BW58/BS58-1</f>
        <v>2.0000000000000018E-2</v>
      </c>
      <c r="BX73" s="401">
        <f t="shared" ref="BX73" si="450">BX58/BT58-1</f>
        <v>2.0000000000000018E-2</v>
      </c>
      <c r="BY73" s="401">
        <f t="shared" ref="BY73" si="451">BY58/BU58-1</f>
        <v>2.0000000000000018E-2</v>
      </c>
      <c r="BZ73" s="401">
        <f t="shared" ref="BZ73" si="452">BZ58/BV58-1</f>
        <v>2.0000000000000018E-2</v>
      </c>
      <c r="CA73" s="401"/>
      <c r="CB73" s="401"/>
      <c r="CC73" s="401"/>
      <c r="CD73" s="401"/>
      <c r="CE73" s="401"/>
      <c r="CF73" s="401"/>
      <c r="CG73" s="401"/>
      <c r="CH73" s="401"/>
      <c r="CI73" s="401"/>
      <c r="CJ73" s="401"/>
      <c r="CK73" s="401"/>
      <c r="CL73" s="401"/>
      <c r="CM73" s="401"/>
      <c r="CN73" s="401"/>
      <c r="CO73" s="401"/>
      <c r="CP73" s="401"/>
      <c r="CQ73" s="401"/>
      <c r="CR73" s="401"/>
      <c r="CS73" s="401"/>
      <c r="CT73" s="401"/>
      <c r="CU73" s="401">
        <f t="shared" ref="CU73" si="453">+CU58/CQ58-1</f>
        <v>4.4013069383048276E-2</v>
      </c>
      <c r="CV73" s="401">
        <f t="shared" ref="CV73" si="454">+CV58/CR58-1</f>
        <v>0.21630282395353495</v>
      </c>
      <c r="CW73" s="401">
        <f t="shared" ref="CW73:CX73" si="455">+CW58/CS58-1</f>
        <v>0.10476891916774078</v>
      </c>
      <c r="CX73" s="401">
        <f t="shared" si="455"/>
        <v>0.10794486603685916</v>
      </c>
      <c r="CY73" s="401">
        <f>+CY58/CU58-1</f>
        <v>9.3151693667157476E-2</v>
      </c>
      <c r="CZ73" s="401">
        <f t="shared" ref="CZ73:DF73" si="456">+CZ58/CV58-1</f>
        <v>-4.211180635600198E-2</v>
      </c>
      <c r="DA73" s="401">
        <f t="shared" si="456"/>
        <v>-4.0995416666666507E-2</v>
      </c>
      <c r="DB73" s="401">
        <f t="shared" si="456"/>
        <v>-0.17990355046128048</v>
      </c>
      <c r="DC73" s="401">
        <f t="shared" si="456"/>
        <v>-1.4447204445941497E-2</v>
      </c>
      <c r="DD73" s="401">
        <f t="shared" si="456"/>
        <v>2.433379661025703E-2</v>
      </c>
      <c r="DE73" s="401">
        <f t="shared" si="456"/>
        <v>2.878768393095088E-2</v>
      </c>
      <c r="DF73" s="401">
        <f t="shared" si="456"/>
        <v>3.2894006616703608E-2</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57">EC58/EB58-1</f>
        <v>-1.9039442452401412E-2</v>
      </c>
      <c r="ED73" s="316">
        <f t="shared" si="457"/>
        <v>7.9540774299835304E-2</v>
      </c>
      <c r="EE73" s="316">
        <f t="shared" si="457"/>
        <v>-4.7689446325528406E-3</v>
      </c>
      <c r="EF73" s="316">
        <f>EF58/EE58-1</f>
        <v>2.8079927164694096E-2</v>
      </c>
      <c r="EG73" s="316">
        <f t="shared" ref="EG73:EQ73" si="458">EG58/EF58-1</f>
        <v>0.17278254719179675</v>
      </c>
      <c r="EH73" s="316">
        <f t="shared" si="458"/>
        <v>-1</v>
      </c>
      <c r="EI73" s="316" t="e">
        <f t="shared" si="458"/>
        <v>#DIV/0!</v>
      </c>
      <c r="EJ73" s="316" t="e">
        <f t="shared" si="458"/>
        <v>#DIV/0!</v>
      </c>
      <c r="EK73" s="316" t="e">
        <f t="shared" si="458"/>
        <v>#DIV/0!</v>
      </c>
      <c r="EL73" s="316" t="e">
        <f t="shared" si="458"/>
        <v>#DIV/0!</v>
      </c>
      <c r="EM73" s="316" t="e">
        <f t="shared" si="458"/>
        <v>#DIV/0!</v>
      </c>
      <c r="EN73" s="316" t="e">
        <f t="shared" si="458"/>
        <v>#DIV/0!</v>
      </c>
      <c r="EO73" s="316">
        <f t="shared" si="458"/>
        <v>-1.7537507603714642E-2</v>
      </c>
      <c r="EP73" s="316">
        <f t="shared" si="458"/>
        <v>2.5610767918653465E-3</v>
      </c>
      <c r="EQ73" s="316">
        <f t="shared" si="458"/>
        <v>3.6287194505559839E-3</v>
      </c>
      <c r="ER73" s="316"/>
      <c r="ES73" s="316"/>
      <c r="ET73" s="316"/>
      <c r="EU73" s="316"/>
      <c r="EV73" s="316"/>
      <c r="EW73" s="316"/>
      <c r="EZ73" s="58" t="s">
        <v>1495</v>
      </c>
      <c r="FA73" s="406">
        <v>0.7</v>
      </c>
      <c r="FD73" s="405"/>
      <c r="FE73" s="405"/>
      <c r="FF73" s="405"/>
      <c r="FG73" s="361"/>
      <c r="FH73" s="405"/>
      <c r="FI73" s="405"/>
      <c r="FJ73" s="405"/>
    </row>
    <row r="74" spans="1:257" s="383" customFormat="1" ht="12.75" customHeight="1" x14ac:dyDescent="0.2">
      <c r="B74" s="384" t="s">
        <v>366</v>
      </c>
      <c r="C74" s="385">
        <f>PV(9%,4,0,-EG67)*14</f>
        <v>69.493669896221192</v>
      </c>
      <c r="D74" s="385"/>
      <c r="E74" s="385"/>
      <c r="F74" s="396"/>
      <c r="G74" s="396"/>
      <c r="H74" s="397">
        <f t="shared" ref="H74:AY74" si="459">H67/D67-1</f>
        <v>7.5818659710282343E-2</v>
      </c>
      <c r="I74" s="397">
        <f t="shared" si="459"/>
        <v>9.2950596934190166E-2</v>
      </c>
      <c r="J74" s="397">
        <f t="shared" si="459"/>
        <v>7.634149897929432E-2</v>
      </c>
      <c r="K74" s="397">
        <f t="shared" si="459"/>
        <v>0.11788882689055269</v>
      </c>
      <c r="L74" s="397">
        <f t="shared" si="459"/>
        <v>0.14473964191263655</v>
      </c>
      <c r="M74" s="397">
        <f t="shared" si="459"/>
        <v>0.14310088198022242</v>
      </c>
      <c r="N74" s="397">
        <f t="shared" si="459"/>
        <v>5.1308536479371281E-2</v>
      </c>
      <c r="O74" s="397">
        <f t="shared" si="459"/>
        <v>0.13385180270518893</v>
      </c>
      <c r="P74" s="397">
        <f>P67/L67-1</f>
        <v>0.12075080173552166</v>
      </c>
      <c r="Q74" s="397">
        <f t="shared" si="459"/>
        <v>0.11640695323782246</v>
      </c>
      <c r="R74" s="397">
        <f t="shared" si="459"/>
        <v>0.25331564986737409</v>
      </c>
      <c r="S74" s="397">
        <f t="shared" si="459"/>
        <v>0.13856690012533113</v>
      </c>
      <c r="T74" s="397">
        <f>T67/P67-1</f>
        <v>1.2037195940025613E-2</v>
      </c>
      <c r="U74" s="397">
        <f t="shared" si="459"/>
        <v>0.10050364968255754</v>
      </c>
      <c r="V74" s="397">
        <f t="shared" si="459"/>
        <v>0.16465516247651335</v>
      </c>
      <c r="W74" s="397">
        <f t="shared" si="459"/>
        <v>0.11042340202435219</v>
      </c>
      <c r="X74" s="397">
        <f t="shared" si="459"/>
        <v>0.33892222366878832</v>
      </c>
      <c r="Y74" s="397">
        <f t="shared" si="459"/>
        <v>0.15957351708447542</v>
      </c>
      <c r="Z74" s="397">
        <f t="shared" si="459"/>
        <v>0.18068383735432225</v>
      </c>
      <c r="AA74" s="397">
        <f t="shared" si="459"/>
        <v>0.17560586488735686</v>
      </c>
      <c r="AB74" s="397">
        <f t="shared" si="459"/>
        <v>9.5766268040985869E-2</v>
      </c>
      <c r="AC74" s="397">
        <f t="shared" si="459"/>
        <v>0.20792294940519618</v>
      </c>
      <c r="AD74" s="397">
        <f t="shared" si="459"/>
        <v>0.43934703660578567</v>
      </c>
      <c r="AE74" s="397">
        <f t="shared" si="459"/>
        <v>0.40330271308582621</v>
      </c>
      <c r="AF74" s="397">
        <f t="shared" si="459"/>
        <v>0.36425979190318269</v>
      </c>
      <c r="AG74" s="397">
        <f t="shared" si="459"/>
        <v>0.13879826799979922</v>
      </c>
      <c r="AH74" s="397">
        <f t="shared" si="459"/>
        <v>1.0408112986510343E-2</v>
      </c>
      <c r="AI74" s="397">
        <f t="shared" si="459"/>
        <v>-3.321908623949843E-2</v>
      </c>
      <c r="AJ74" s="397">
        <f t="shared" si="459"/>
        <v>4.5241526320477954E-2</v>
      </c>
      <c r="AK74" s="397">
        <f t="shared" si="459"/>
        <v>7.6881693334693413E-2</v>
      </c>
      <c r="AL74" s="397">
        <f t="shared" si="459"/>
        <v>4.7357926221335944E-2</v>
      </c>
      <c r="AM74" s="397">
        <f t="shared" si="459"/>
        <v>0.18936887555891713</v>
      </c>
      <c r="AN74" s="397">
        <f t="shared" si="459"/>
        <v>3.6136156228004479E-2</v>
      </c>
      <c r="AO74" s="397">
        <f t="shared" si="459"/>
        <v>0.15510613626240932</v>
      </c>
      <c r="AP74" s="397">
        <f t="shared" si="459"/>
        <v>0.16724537677075335</v>
      </c>
      <c r="AQ74" s="397">
        <f t="shared" si="459"/>
        <v>5.0337651327217348E-2</v>
      </c>
      <c r="AR74" s="397">
        <f t="shared" si="459"/>
        <v>2.4384801824921754E-2</v>
      </c>
      <c r="AS74" s="397">
        <f t="shared" si="459"/>
        <v>9.4606176817664034E-2</v>
      </c>
      <c r="AT74" s="397">
        <f t="shared" si="459"/>
        <v>0.23000568097020602</v>
      </c>
      <c r="AU74" s="397">
        <f t="shared" si="459"/>
        <v>7.020584740193403E-2</v>
      </c>
      <c r="AV74" s="397">
        <f t="shared" si="459"/>
        <v>0.11868138566888375</v>
      </c>
      <c r="AW74" s="397">
        <f t="shared" si="459"/>
        <v>9.5187736415512925E-2</v>
      </c>
      <c r="AX74" s="397">
        <f t="shared" si="459"/>
        <v>-6.3593420219504537E-2</v>
      </c>
      <c r="AY74" s="397">
        <f t="shared" si="459"/>
        <v>1.4359563869827952E-3</v>
      </c>
      <c r="AZ74" s="397">
        <f t="shared" ref="AZ74:BF74" si="460">AZ67/AV67-1</f>
        <v>-2.5715357562949182E-2</v>
      </c>
      <c r="BA74" s="397">
        <f t="shared" si="460"/>
        <v>2.4431871651507064E-2</v>
      </c>
      <c r="BB74" s="397">
        <f t="shared" si="460"/>
        <v>0.10025117077992585</v>
      </c>
      <c r="BC74" s="397">
        <f t="shared" si="460"/>
        <v>2.8316206701865632E-2</v>
      </c>
      <c r="BD74" s="397">
        <f t="shared" si="460"/>
        <v>6.7260095469480863E-2</v>
      </c>
      <c r="BE74" s="397">
        <f t="shared" si="460"/>
        <v>2.3944295740103483E-2</v>
      </c>
      <c r="BF74" s="397">
        <f t="shared" si="460"/>
        <v>-1.6153307030108977E-3</v>
      </c>
      <c r="BG74" s="397">
        <f>BG67/BC67-1</f>
        <v>0.1910607025483293</v>
      </c>
      <c r="BH74" s="397">
        <f>BH67/BD67-1</f>
        <v>-1.6918038772520849E-2</v>
      </c>
      <c r="BI74" s="397">
        <f>BI67/BE67-1</f>
        <v>-6.0154852950498827E-2</v>
      </c>
      <c r="BJ74" s="397">
        <f t="shared" ref="BJ74" si="461">BJ67/BF67-1</f>
        <v>1.0004880615359619</v>
      </c>
      <c r="BK74" s="397">
        <f>BK67/BG67-1</f>
        <v>-8.4820785085281014E-2</v>
      </c>
      <c r="BL74" s="397">
        <f t="shared" ref="BL74" si="462">BL67/BH67-1</f>
        <v>6.9578193071049954E-2</v>
      </c>
      <c r="BM74" s="397">
        <f t="shared" ref="BM74" si="463">BM67/BI67-1</f>
        <v>6.1272871553678554E-2</v>
      </c>
      <c r="BN74" s="397">
        <f t="shared" ref="BN74" si="464">BN67/BJ67-1</f>
        <v>-0.51080284450880753</v>
      </c>
      <c r="BO74" s="397">
        <f t="shared" ref="BO74" si="465">BO67/BK67-1</f>
        <v>-0.10531204944610384</v>
      </c>
      <c r="BP74" s="397">
        <f t="shared" ref="BP74" si="466">BP67/BL67-1</f>
        <v>0.16062407397490119</v>
      </c>
      <c r="BQ74" s="397">
        <f t="shared" ref="BQ74" si="467">BQ67/BM67-1</f>
        <v>0.13019144828970597</v>
      </c>
      <c r="BR74" s="397">
        <f t="shared" ref="BR74" si="468">BR67/BN67-1</f>
        <v>0.2607768876622647</v>
      </c>
      <c r="BS74" s="397">
        <f>BS67/BO67-1</f>
        <v>0.3418708903929637</v>
      </c>
      <c r="BT74" s="397">
        <f t="shared" ref="BT74" si="469">BT67/BP67-1</f>
        <v>0.10036122324406827</v>
      </c>
      <c r="BU74" s="397">
        <f t="shared" ref="BU74" si="470">BU67/BQ67-1</f>
        <v>0.10839251093817004</v>
      </c>
      <c r="BV74" s="397">
        <f t="shared" ref="BV74" si="471">BV67/BR67-1</f>
        <v>0.1347888768690757</v>
      </c>
      <c r="BW74" s="397">
        <f t="shared" ref="BW74" si="472">BW67/BS67-1</f>
        <v>1.9205361260803189E-2</v>
      </c>
      <c r="BX74" s="397">
        <f t="shared" ref="BX74" si="473">BX67/BT67-1</f>
        <v>7.2589978947368294E-2</v>
      </c>
      <c r="BY74" s="397">
        <f t="shared" ref="BY74" si="474">BY67/BU67-1</f>
        <v>9.5240187015372513E-2</v>
      </c>
      <c r="BZ74" s="397">
        <f t="shared" ref="BZ74" si="475">BZ67/BV67-1</f>
        <v>9.9774191511778687E-2</v>
      </c>
      <c r="CA74" s="397"/>
      <c r="CB74" s="397"/>
      <c r="CC74" s="397"/>
      <c r="CD74" s="397"/>
      <c r="CE74" s="397"/>
      <c r="CF74" s="397"/>
      <c r="CG74" s="397"/>
      <c r="CH74" s="397"/>
      <c r="CI74" s="397"/>
      <c r="CJ74" s="397"/>
      <c r="CK74" s="397"/>
      <c r="CL74" s="397"/>
      <c r="CM74" s="397"/>
      <c r="CN74" s="397"/>
      <c r="CO74" s="397"/>
      <c r="CP74" s="397"/>
      <c r="CQ74" s="397"/>
      <c r="CR74" s="397"/>
      <c r="CS74" s="397"/>
      <c r="CT74" s="397"/>
      <c r="CU74" s="397">
        <f t="shared" ref="CU74" si="476">+CU67/CQ67-1</f>
        <v>0.22711682108032161</v>
      </c>
      <c r="CV74" s="397">
        <f t="shared" ref="CV74" si="477">+CV67/CR67-1</f>
        <v>0.71083441506014977</v>
      </c>
      <c r="CW74" s="397">
        <f t="shared" ref="CW74:CX74" si="478">+CW67/CS67-1</f>
        <v>0.30236297648751398</v>
      </c>
      <c r="CX74" s="397">
        <f t="shared" si="478"/>
        <v>0.17594389058078486</v>
      </c>
      <c r="CY74" s="397">
        <f>+CY67/CU67-1</f>
        <v>-6.5191476467279297E-2</v>
      </c>
      <c r="CZ74" s="397">
        <f t="shared" ref="CZ74:DF74" si="479">+CZ67/CV67-1</f>
        <v>0.25104141824204906</v>
      </c>
      <c r="DA74" s="397">
        <f t="shared" si="479"/>
        <v>0.21256243351052873</v>
      </c>
      <c r="DB74" s="397">
        <f t="shared" si="479"/>
        <v>0.65689597594872495</v>
      </c>
      <c r="DC74" s="397">
        <f t="shared" si="479"/>
        <v>0.36541585177560476</v>
      </c>
      <c r="DD74" s="397">
        <f t="shared" si="479"/>
        <v>2.4333796610257252E-2</v>
      </c>
      <c r="DE74" s="397">
        <f t="shared" si="479"/>
        <v>2.878768393095088E-2</v>
      </c>
      <c r="DF74" s="397">
        <f t="shared" si="479"/>
        <v>3.2894006616703386E-2</v>
      </c>
      <c r="DH74" s="399"/>
      <c r="DI74" s="399">
        <f t="shared" ref="DI74:EI74" si="480">DI67/DH67-1</f>
        <v>0.16138620699103701</v>
      </c>
      <c r="DJ74" s="399">
        <f t="shared" si="480"/>
        <v>9.3784452783480798E-3</v>
      </c>
      <c r="DK74" s="399">
        <f t="shared" si="480"/>
        <v>0.11223738786059356</v>
      </c>
      <c r="DL74" s="399">
        <f t="shared" si="480"/>
        <v>9.9683709315189217E-2</v>
      </c>
      <c r="DM74" s="399">
        <f t="shared" si="480"/>
        <v>0.12252543201017119</v>
      </c>
      <c r="DN74" s="399">
        <f t="shared" si="480"/>
        <v>0.19787193984028106</v>
      </c>
      <c r="DO74" s="399">
        <f t="shared" si="480"/>
        <v>0.20141489804411172</v>
      </c>
      <c r="DP74" s="399">
        <f t="shared" si="480"/>
        <v>0.14409421544856249</v>
      </c>
      <c r="DQ74" s="399">
        <f t="shared" si="480"/>
        <v>0.16136845292158641</v>
      </c>
      <c r="DR74" s="399">
        <f t="shared" si="480"/>
        <v>8.6222689728370661E-2</v>
      </c>
      <c r="DS74" s="399">
        <f t="shared" si="480"/>
        <v>0.15694367545205146</v>
      </c>
      <c r="DT74" s="399">
        <f t="shared" si="480"/>
        <v>0.17827821800773225</v>
      </c>
      <c r="DU74" s="399">
        <f t="shared" si="480"/>
        <v>0.37830154695147633</v>
      </c>
      <c r="DV74" s="399">
        <f t="shared" si="480"/>
        <v>0.13855365103019746</v>
      </c>
      <c r="DW74" s="399">
        <f t="shared" si="480"/>
        <v>7.7515187246461448E-2</v>
      </c>
      <c r="DX74" s="399">
        <f t="shared" si="480"/>
        <v>4.8372071083447876E-2</v>
      </c>
      <c r="DY74" s="399">
        <f t="shared" si="480"/>
        <v>0.1462207278197587</v>
      </c>
      <c r="DZ74" s="399">
        <f t="shared" si="480"/>
        <v>0.11889271311352956</v>
      </c>
      <c r="EA74" s="399">
        <f t="shared" si="480"/>
        <v>8.1321657802964298E-2</v>
      </c>
      <c r="EB74" s="399">
        <f>EB67/EA67-1</f>
        <v>0.32184701102067947</v>
      </c>
      <c r="EC74" s="399">
        <f t="shared" si="480"/>
        <v>-0.21643770301278442</v>
      </c>
      <c r="ED74" s="399">
        <f t="shared" si="480"/>
        <v>0.26467153844213498</v>
      </c>
      <c r="EE74" s="399">
        <f t="shared" si="480"/>
        <v>-0.19197091346348505</v>
      </c>
      <c r="EF74" s="399">
        <f t="shared" si="480"/>
        <v>0.10636798720285601</v>
      </c>
      <c r="EG74" s="399">
        <f t="shared" si="480"/>
        <v>0.31536714587101522</v>
      </c>
      <c r="EH74" s="399">
        <f t="shared" si="480"/>
        <v>1.5119145607491906</v>
      </c>
      <c r="EI74" s="399">
        <f t="shared" si="480"/>
        <v>-4.4512895388120866E-2</v>
      </c>
      <c r="EJ74" s="399">
        <f t="shared" ref="EJ74" si="481">EJ67/EI67-1</f>
        <v>-0.2771052323924168</v>
      </c>
      <c r="EK74" s="399">
        <f t="shared" ref="EK74" si="482">EK67/EJ67-1</f>
        <v>3.8368845263825335E-3</v>
      </c>
      <c r="EL74" s="399">
        <f t="shared" ref="EL74" si="483">EL67/EK67-1</f>
        <v>1.0241513980163264E-2</v>
      </c>
      <c r="EM74" s="399">
        <f t="shared" ref="EM74" si="484">EM67/EL67-1</f>
        <v>0.1737913262825439</v>
      </c>
      <c r="EN74" s="399">
        <f t="shared" ref="EN74" si="485">EN67/EM67-1</f>
        <v>-0.38244129439162877</v>
      </c>
      <c r="EO74" s="399">
        <f t="shared" ref="EO74" si="486">EO67/EN67-1</f>
        <v>0.22452634683062023</v>
      </c>
      <c r="EP74" s="399">
        <f t="shared" ref="EP74" si="487">EP67/EO67-1</f>
        <v>6.3873951750075264E-3</v>
      </c>
      <c r="EQ74" s="399">
        <f t="shared" ref="EQ74" si="488">EQ67/EP67-1</f>
        <v>7.4726452350108996E-3</v>
      </c>
      <c r="ER74" s="399"/>
      <c r="ES74" s="399"/>
      <c r="ET74" s="399"/>
      <c r="EU74" s="399"/>
      <c r="EV74" s="399"/>
      <c r="EW74" s="399"/>
      <c r="EZ74" s="58" t="s">
        <v>1283</v>
      </c>
      <c r="FA74" s="407">
        <f>NPV(FA70,EP66:JJ66)+EO66+Main!S5-Main!S6</f>
        <v>471671.62807098654</v>
      </c>
      <c r="FD74" s="384"/>
      <c r="FE74" s="384"/>
      <c r="FF74" s="361"/>
      <c r="FG74" s="360"/>
      <c r="FH74" s="361"/>
      <c r="FI74" s="384"/>
      <c r="FJ74" s="384"/>
    </row>
    <row r="75" spans="1:257" s="381" customFormat="1" ht="12.75" customHeight="1" x14ac:dyDescent="0.2">
      <c r="A75" s="229"/>
      <c r="B75" s="353" t="s">
        <v>369</v>
      </c>
      <c r="C75" s="385">
        <f>PV(7%,4,0,-EG67)*14</f>
        <v>74.836958373802545</v>
      </c>
      <c r="D75" s="385"/>
      <c r="E75" s="385"/>
      <c r="F75" s="408"/>
      <c r="G75" s="408"/>
      <c r="H75" s="408"/>
      <c r="I75" s="409"/>
      <c r="J75" s="409"/>
      <c r="K75" s="409"/>
      <c r="L75" s="409"/>
      <c r="M75" s="409"/>
      <c r="N75" s="409"/>
      <c r="O75" s="409">
        <f t="shared" ref="O75:AT75" si="489">O3/K3-1</f>
        <v>1.3333333333333335</v>
      </c>
      <c r="P75" s="409">
        <f t="shared" si="489"/>
        <v>2.5076923076923077</v>
      </c>
      <c r="Q75" s="409">
        <f t="shared" si="489"/>
        <v>2.3629629629629627</v>
      </c>
      <c r="R75" s="409">
        <f t="shared" si="489"/>
        <v>2.3902439024390243</v>
      </c>
      <c r="S75" s="409">
        <f t="shared" si="489"/>
        <v>1.6734693877551021</v>
      </c>
      <c r="T75" s="409">
        <f t="shared" si="489"/>
        <v>0.875</v>
      </c>
      <c r="U75" s="409">
        <f t="shared" si="489"/>
        <v>1.3017621145374449</v>
      </c>
      <c r="V75" s="409">
        <f t="shared" si="489"/>
        <v>0.51079136690647475</v>
      </c>
      <c r="W75" s="409">
        <f t="shared" si="489"/>
        <v>0.87022900763358768</v>
      </c>
      <c r="X75" s="409">
        <f t="shared" si="489"/>
        <v>0.9415204678362572</v>
      </c>
      <c r="Y75" s="409">
        <f t="shared" si="489"/>
        <v>0.63157894736842102</v>
      </c>
      <c r="Z75" s="409">
        <f t="shared" si="489"/>
        <v>0.80476190476190479</v>
      </c>
      <c r="AA75" s="409">
        <f t="shared" si="489"/>
        <v>0.66938775510204085</v>
      </c>
      <c r="AB75" s="409">
        <f t="shared" si="489"/>
        <v>0.26807228915662651</v>
      </c>
      <c r="AC75" s="409">
        <f t="shared" si="489"/>
        <v>0.30205278592375362</v>
      </c>
      <c r="AD75" s="409">
        <f t="shared" si="489"/>
        <v>0.20316622691292885</v>
      </c>
      <c r="AE75" s="409">
        <f t="shared" si="489"/>
        <v>0.13447432762836176</v>
      </c>
      <c r="AF75" s="409">
        <f t="shared" si="489"/>
        <v>0.28028503562945373</v>
      </c>
      <c r="AG75" s="409">
        <f t="shared" si="489"/>
        <v>0.22747747747747749</v>
      </c>
      <c r="AH75" s="409">
        <f t="shared" si="489"/>
        <v>0.31140350877192979</v>
      </c>
      <c r="AI75" s="409">
        <f t="shared" si="489"/>
        <v>0.24353448275862077</v>
      </c>
      <c r="AJ75" s="409">
        <f t="shared" si="489"/>
        <v>0.19109461966604813</v>
      </c>
      <c r="AK75" s="409">
        <f t="shared" si="489"/>
        <v>0.14495412844036704</v>
      </c>
      <c r="AL75" s="409">
        <f t="shared" si="489"/>
        <v>0.15719063545150491</v>
      </c>
      <c r="AM75" s="409">
        <f t="shared" si="489"/>
        <v>0.18024263431542464</v>
      </c>
      <c r="AN75" s="409">
        <f t="shared" si="489"/>
        <v>0.21028037383177578</v>
      </c>
      <c r="AO75" s="409">
        <f t="shared" si="489"/>
        <v>0.24358974358974361</v>
      </c>
      <c r="AP75" s="409">
        <f t="shared" si="489"/>
        <v>0.12716763005780352</v>
      </c>
      <c r="AQ75" s="409">
        <f t="shared" si="489"/>
        <v>7.3421439060205484E-2</v>
      </c>
      <c r="AR75" s="409">
        <f t="shared" si="489"/>
        <v>0.11840411840411846</v>
      </c>
      <c r="AS75" s="409">
        <f t="shared" si="489"/>
        <v>5.5412371134020644E-2</v>
      </c>
      <c r="AT75" s="409">
        <f t="shared" si="489"/>
        <v>0.16410256410256419</v>
      </c>
      <c r="AU75" s="409">
        <f t="shared" ref="AU75:BZ75" si="490">AU3/AQ3-1</f>
        <v>0.36525307797537621</v>
      </c>
      <c r="AV75" s="409">
        <f t="shared" si="490"/>
        <v>1.9562715765247374E-2</v>
      </c>
      <c r="AW75" s="409">
        <f t="shared" si="490"/>
        <v>0.19413919413919412</v>
      </c>
      <c r="AX75" s="409">
        <f t="shared" si="490"/>
        <v>-2.4229074889867808E-2</v>
      </c>
      <c r="AY75" s="409">
        <f t="shared" si="490"/>
        <v>3.0060120240480881E-2</v>
      </c>
      <c r="AZ75" s="409">
        <f t="shared" si="490"/>
        <v>0.24379232505643333</v>
      </c>
      <c r="BA75" s="410">
        <f t="shared" si="490"/>
        <v>5.9304703476482645E-2</v>
      </c>
      <c r="BB75" s="410">
        <f t="shared" si="490"/>
        <v>0.28442437923250563</v>
      </c>
      <c r="BC75" s="410">
        <f t="shared" si="490"/>
        <v>0.15369649805447461</v>
      </c>
      <c r="BD75" s="410">
        <f t="shared" si="490"/>
        <v>2.5408348457350183E-2</v>
      </c>
      <c r="BE75" s="410">
        <f t="shared" si="490"/>
        <v>0.18629343629343631</v>
      </c>
      <c r="BF75" s="410">
        <f t="shared" si="490"/>
        <v>-6.4147627416520248E-2</v>
      </c>
      <c r="BG75" s="410">
        <f t="shared" si="490"/>
        <v>8.3473861720067433E-2</v>
      </c>
      <c r="BH75" s="410">
        <f t="shared" si="490"/>
        <v>0.21327433628318593</v>
      </c>
      <c r="BI75" s="410">
        <f t="shared" si="490"/>
        <v>0.14564686737184696</v>
      </c>
      <c r="BJ75" s="410">
        <f t="shared" si="490"/>
        <v>0.3408450704225352</v>
      </c>
      <c r="BK75" s="410">
        <f t="shared" si="490"/>
        <v>0.18365758754863815</v>
      </c>
      <c r="BL75" s="410">
        <f t="shared" si="490"/>
        <v>0.11086797957695116</v>
      </c>
      <c r="BM75" s="410">
        <f t="shared" si="490"/>
        <v>0.12997159090909083</v>
      </c>
      <c r="BN75" s="410">
        <f t="shared" si="490"/>
        <v>5.3221288515406195E-2</v>
      </c>
      <c r="BO75" s="410">
        <f t="shared" si="490"/>
        <v>5.1939513477974986E-2</v>
      </c>
      <c r="BP75" s="410">
        <f t="shared" si="490"/>
        <v>9.7833223900196886E-2</v>
      </c>
      <c r="BQ75" s="410">
        <f t="shared" si="490"/>
        <v>6.1596480201131287E-2</v>
      </c>
      <c r="BR75" s="410">
        <f t="shared" si="490"/>
        <v>0.13829787234042556</v>
      </c>
      <c r="BS75" s="410">
        <f t="shared" si="490"/>
        <v>6.2500000000000888E-3</v>
      </c>
      <c r="BT75" s="410">
        <f t="shared" si="490"/>
        <v>7.8947368421052655E-2</v>
      </c>
      <c r="BU75" s="410">
        <f t="shared" si="490"/>
        <v>5.0000000000000044E-2</v>
      </c>
      <c r="BV75" s="410">
        <f t="shared" si="490"/>
        <v>5.0000000000000044E-2</v>
      </c>
      <c r="BW75" s="410">
        <f t="shared" si="490"/>
        <v>5.0000000000000044E-2</v>
      </c>
      <c r="BX75" s="410">
        <f t="shared" si="490"/>
        <v>5.0000000000000044E-2</v>
      </c>
      <c r="BY75" s="410">
        <f t="shared" si="490"/>
        <v>5.0000000000000044E-2</v>
      </c>
      <c r="BZ75" s="410">
        <f t="shared" si="490"/>
        <v>5.0000000000000044E-2</v>
      </c>
      <c r="CA75" s="410"/>
      <c r="CB75" s="410"/>
      <c r="CC75" s="410"/>
      <c r="CD75" s="410"/>
      <c r="CE75" s="410"/>
      <c r="CF75" s="410"/>
      <c r="CG75" s="410"/>
      <c r="CH75" s="410"/>
      <c r="CI75" s="410"/>
      <c r="CJ75" s="410"/>
      <c r="CK75" s="410"/>
      <c r="CL75" s="410"/>
      <c r="CM75" s="410"/>
      <c r="CN75" s="410"/>
      <c r="CO75" s="410"/>
      <c r="CP75" s="410"/>
      <c r="CQ75" s="410"/>
      <c r="CR75" s="410"/>
      <c r="CS75" s="410"/>
      <c r="CT75" s="410"/>
      <c r="CU75" s="410">
        <f t="shared" ref="CU75:CU76" si="491">+CU3/CQ3-1</f>
        <v>-0.2151515151515152</v>
      </c>
      <c r="CV75" s="410">
        <f t="shared" ref="CV75:CV76" si="492">+CV3/CR3-1</f>
        <v>-5.0267379679144408E-2</v>
      </c>
      <c r="CW75" s="410">
        <f t="shared" ref="CW75:CX75" si="493">+CW3/CS3-1</f>
        <v>-0.17372421281216066</v>
      </c>
      <c r="CX75" s="410">
        <f t="shared" si="493"/>
        <v>-0.1520532741398446</v>
      </c>
      <c r="CY75" s="410">
        <f>+CY3/CU3-1</f>
        <v>-0.14671814671814676</v>
      </c>
      <c r="CZ75" s="410">
        <f t="shared" ref="CZ75:DF75" si="494">+CZ3/CV3-1</f>
        <v>-0.19999999999999984</v>
      </c>
      <c r="DA75" s="410">
        <f t="shared" si="494"/>
        <v>-0.19999999999999996</v>
      </c>
      <c r="DB75" s="410">
        <f t="shared" si="494"/>
        <v>-0.19999999999999996</v>
      </c>
      <c r="DC75" s="410">
        <f t="shared" si="494"/>
        <v>-0.20000000000000007</v>
      </c>
      <c r="DD75" s="410">
        <f t="shared" si="494"/>
        <v>-0.20000000000000007</v>
      </c>
      <c r="DE75" s="410">
        <f t="shared" si="494"/>
        <v>-0.19999999999999996</v>
      </c>
      <c r="DF75" s="410">
        <f t="shared" si="494"/>
        <v>-0.19999999999999996</v>
      </c>
      <c r="DH75" s="315"/>
      <c r="DI75" s="315"/>
      <c r="DJ75" s="315"/>
      <c r="DK75" s="315"/>
      <c r="DL75" s="315"/>
      <c r="DM75" s="315"/>
      <c r="DN75" s="315"/>
      <c r="DO75" s="315"/>
      <c r="DP75" s="315"/>
      <c r="DQ75" s="315"/>
      <c r="DR75" s="315"/>
      <c r="DS75" s="315"/>
      <c r="DT75" s="315"/>
      <c r="DU75" s="316">
        <f t="shared" ref="DU75:EO75" si="495">DU3/DT3-1</f>
        <v>0.79889042995839121</v>
      </c>
      <c r="DV75" s="316">
        <f t="shared" si="495"/>
        <v>0.33384734001542027</v>
      </c>
      <c r="DW75" s="316">
        <f t="shared" si="495"/>
        <v>0.23988439306358389</v>
      </c>
      <c r="DX75" s="316">
        <f t="shared" si="495"/>
        <v>0.18181818181818188</v>
      </c>
      <c r="DY75" s="316">
        <f t="shared" si="495"/>
        <v>0.18895463510848121</v>
      </c>
      <c r="DZ75" s="316">
        <f t="shared" si="495"/>
        <v>0.10384870603848717</v>
      </c>
      <c r="EA75" s="316">
        <f t="shared" si="495"/>
        <v>0.12654042681094069</v>
      </c>
      <c r="EB75" s="316">
        <f t="shared" si="495"/>
        <v>0.14834578441835644</v>
      </c>
      <c r="EC75" s="316">
        <f t="shared" si="495"/>
        <v>7.1096654275093041E-2</v>
      </c>
      <c r="ED75" s="316">
        <f t="shared" si="495"/>
        <v>0.19132321041214762</v>
      </c>
      <c r="EE75" s="316">
        <f t="shared" si="495"/>
        <v>0.11780772032046616</v>
      </c>
      <c r="EF75" s="316">
        <f t="shared" si="495"/>
        <v>8.6984850952923853E-2</v>
      </c>
      <c r="EG75" s="316">
        <f t="shared" si="495"/>
        <v>4.6763075078675387E-2</v>
      </c>
      <c r="EH75" s="316">
        <f t="shared" si="495"/>
        <v>3.0000000000000027E-2</v>
      </c>
      <c r="EI75" s="316">
        <f t="shared" si="495"/>
        <v>0</v>
      </c>
      <c r="EJ75" s="316">
        <f t="shared" si="495"/>
        <v>-5.0000000000000044E-2</v>
      </c>
      <c r="EK75" s="316">
        <f t="shared" si="495"/>
        <v>-5.0000000000000044E-2</v>
      </c>
      <c r="EL75" s="316">
        <f t="shared" si="495"/>
        <v>-5.0000000000000044E-2</v>
      </c>
      <c r="EM75" s="316">
        <f t="shared" si="495"/>
        <v>-0.3925561585795857</v>
      </c>
      <c r="EN75" s="316">
        <f t="shared" si="495"/>
        <v>-0.14865225513744329</v>
      </c>
      <c r="EO75" s="316">
        <f t="shared" si="495"/>
        <v>-0.18702194357366753</v>
      </c>
      <c r="EP75" s="316">
        <f t="shared" ref="EP75:EW75" si="496">EP3/EO3-1</f>
        <v>-5.0000000000000044E-2</v>
      </c>
      <c r="EQ75" s="316">
        <f t="shared" si="496"/>
        <v>-5.0000000000000044E-2</v>
      </c>
      <c r="ER75" s="316">
        <f t="shared" si="496"/>
        <v>-5.0000000000000044E-2</v>
      </c>
      <c r="ES75" s="316">
        <f t="shared" si="496"/>
        <v>-5.0000000000000044E-2</v>
      </c>
      <c r="ET75" s="316">
        <f t="shared" si="496"/>
        <v>-5.0000000000000044E-2</v>
      </c>
      <c r="EU75" s="316">
        <f t="shared" si="496"/>
        <v>-5.0000000000000044E-2</v>
      </c>
      <c r="EV75" s="316">
        <f t="shared" si="496"/>
        <v>-5.0000000000000044E-2</v>
      </c>
      <c r="EW75" s="316">
        <f t="shared" si="496"/>
        <v>-5.0000000000000044E-2</v>
      </c>
      <c r="EZ75" s="229" t="s">
        <v>1285</v>
      </c>
      <c r="FA75" s="411">
        <f>FA74/Main!S3</f>
        <v>179.24728460472946</v>
      </c>
      <c r="FD75" s="404"/>
      <c r="FE75" s="404"/>
      <c r="FF75" s="405"/>
      <c r="FG75" s="360"/>
      <c r="FH75" s="404"/>
      <c r="FI75" s="404"/>
      <c r="FJ75" s="404"/>
    </row>
    <row r="76" spans="1:257" s="381" customFormat="1" ht="12.75" customHeight="1" x14ac:dyDescent="0.2">
      <c r="A76" s="229"/>
      <c r="B76" s="353" t="s">
        <v>1711</v>
      </c>
      <c r="C76" s="385"/>
      <c r="D76" s="385"/>
      <c r="E76" s="385"/>
      <c r="F76" s="408"/>
      <c r="G76" s="408"/>
      <c r="H76" s="408"/>
      <c r="I76" s="409"/>
      <c r="J76" s="409"/>
      <c r="K76" s="409"/>
      <c r="L76" s="409"/>
      <c r="M76" s="409"/>
      <c r="N76" s="409"/>
      <c r="O76" s="409"/>
      <c r="P76" s="409"/>
      <c r="Q76" s="409"/>
      <c r="R76" s="409"/>
      <c r="S76" s="409"/>
      <c r="T76" s="409"/>
      <c r="U76" s="409"/>
      <c r="V76" s="409"/>
      <c r="W76" s="409"/>
      <c r="X76" s="409"/>
      <c r="Y76" s="409"/>
      <c r="Z76" s="409"/>
      <c r="AA76" s="409"/>
      <c r="AB76" s="409"/>
      <c r="AC76" s="409"/>
      <c r="AD76" s="409"/>
      <c r="AE76" s="409"/>
      <c r="AF76" s="409"/>
      <c r="AG76" s="409"/>
      <c r="AH76" s="409"/>
      <c r="AI76" s="409"/>
      <c r="AJ76" s="409"/>
      <c r="AK76" s="409"/>
      <c r="AL76" s="409"/>
      <c r="AM76" s="409"/>
      <c r="AN76" s="409"/>
      <c r="AO76" s="409"/>
      <c r="AP76" s="409"/>
      <c r="AQ76" s="409"/>
      <c r="AR76" s="409"/>
      <c r="AS76" s="409"/>
      <c r="AT76" s="409"/>
      <c r="AU76" s="409"/>
      <c r="AV76" s="409"/>
      <c r="AW76" s="409"/>
      <c r="AX76" s="409"/>
      <c r="AY76" s="409"/>
      <c r="AZ76" s="409"/>
      <c r="BA76" s="410"/>
      <c r="BB76" s="410"/>
      <c r="BC76" s="410"/>
      <c r="BD76" s="410"/>
      <c r="BE76" s="410"/>
      <c r="BF76" s="410"/>
      <c r="BG76" s="410"/>
      <c r="BH76" s="410"/>
      <c r="BI76" s="410"/>
      <c r="BJ76" s="410"/>
      <c r="BK76" s="410">
        <f t="shared" ref="BK76:BZ76" si="497">+BK4/BG4-1</f>
        <v>0.22105263157894739</v>
      </c>
      <c r="BL76" s="410">
        <f t="shared" si="497"/>
        <v>0.86567164179104483</v>
      </c>
      <c r="BM76" s="410">
        <f t="shared" si="497"/>
        <v>0.43410852713178305</v>
      </c>
      <c r="BN76" s="410">
        <f t="shared" si="497"/>
        <v>0.52100840336134446</v>
      </c>
      <c r="BO76" s="410">
        <f t="shared" si="497"/>
        <v>1.0431034482758621</v>
      </c>
      <c r="BP76" s="410">
        <f t="shared" si="497"/>
        <v>0.39999999999999991</v>
      </c>
      <c r="BQ76" s="410">
        <f t="shared" si="497"/>
        <v>0.43783783783783781</v>
      </c>
      <c r="BR76" s="410">
        <f t="shared" si="497"/>
        <v>0.40331491712707179</v>
      </c>
      <c r="BS76" s="410">
        <f t="shared" si="497"/>
        <v>9.2827004219409259E-2</v>
      </c>
      <c r="BT76" s="410">
        <f t="shared" si="497"/>
        <v>0.61142857142857143</v>
      </c>
      <c r="BU76" s="410">
        <f t="shared" si="497"/>
        <v>0.19999999999999996</v>
      </c>
      <c r="BV76" s="410">
        <f t="shared" si="497"/>
        <v>0.19999999999999996</v>
      </c>
      <c r="BW76" s="410">
        <f t="shared" si="497"/>
        <v>0.19999999999999996</v>
      </c>
      <c r="BX76" s="410">
        <f t="shared" si="497"/>
        <v>0.19999999999999996</v>
      </c>
      <c r="BY76" s="410">
        <f t="shared" si="497"/>
        <v>0.19999999999999996</v>
      </c>
      <c r="BZ76" s="410">
        <f t="shared" si="497"/>
        <v>0.19999999999999996</v>
      </c>
      <c r="CA76" s="410"/>
      <c r="CB76" s="410"/>
      <c r="CC76" s="410"/>
      <c r="CD76" s="410"/>
      <c r="CE76" s="410"/>
      <c r="CF76" s="410"/>
      <c r="CG76" s="410"/>
      <c r="CH76" s="410"/>
      <c r="CI76" s="410"/>
      <c r="CJ76" s="410"/>
      <c r="CK76" s="410"/>
      <c r="CL76" s="410"/>
      <c r="CM76" s="410"/>
      <c r="CN76" s="410"/>
      <c r="CO76" s="410"/>
      <c r="CP76" s="410"/>
      <c r="CQ76" s="410"/>
      <c r="CR76" s="410"/>
      <c r="CS76" s="410"/>
      <c r="CT76" s="410"/>
      <c r="CU76" s="410">
        <f t="shared" si="491"/>
        <v>6.2381852551984807E-2</v>
      </c>
      <c r="CV76" s="410">
        <f t="shared" si="492"/>
        <v>6.9597069597069572E-2</v>
      </c>
      <c r="CW76" s="410">
        <f t="shared" ref="CW76:CX76" si="498">+CW4/CS4-1</f>
        <v>-3.5472972972973027E-2</v>
      </c>
      <c r="CX76" s="410">
        <f t="shared" si="498"/>
        <v>-2.951388888888884E-2</v>
      </c>
      <c r="CY76" s="410">
        <f>+CY4/CU4-1</f>
        <v>1.6014234875444844E-2</v>
      </c>
      <c r="CZ76" s="410">
        <f t="shared" ref="CZ76:DF76" si="499">+CZ4/CV4-1</f>
        <v>-3.7671232876712368E-2</v>
      </c>
      <c r="DA76" s="410">
        <f t="shared" si="499"/>
        <v>2.2767075306479923E-2</v>
      </c>
      <c r="DB76" s="410">
        <f t="shared" si="499"/>
        <v>2.1466905187835339E-2</v>
      </c>
      <c r="DC76" s="410">
        <f t="shared" si="499"/>
        <v>-2.1015761821365997E-2</v>
      </c>
      <c r="DD76" s="410">
        <f t="shared" si="499"/>
        <v>1.6014234875444844E-2</v>
      </c>
      <c r="DE76" s="410">
        <f t="shared" si="499"/>
        <v>-3.7671232876712368E-2</v>
      </c>
      <c r="DF76" s="410">
        <f t="shared" si="499"/>
        <v>2.2767075306479923E-2</v>
      </c>
      <c r="DH76" s="315"/>
      <c r="DI76" s="315"/>
      <c r="DJ76" s="315"/>
      <c r="DK76" s="315"/>
      <c r="DL76" s="315"/>
      <c r="DM76" s="315"/>
      <c r="DN76" s="315"/>
      <c r="DO76" s="315"/>
      <c r="DP76" s="315"/>
      <c r="DQ76" s="315"/>
      <c r="DR76" s="315"/>
      <c r="DS76" s="315"/>
      <c r="DT76" s="315"/>
      <c r="DU76" s="316"/>
      <c r="DV76" s="316"/>
      <c r="DW76" s="316"/>
      <c r="DX76" s="316"/>
      <c r="DY76" s="316"/>
      <c r="DZ76" s="316"/>
      <c r="EA76" s="352" t="s">
        <v>1361</v>
      </c>
      <c r="EB76" s="352" t="s">
        <v>1361</v>
      </c>
      <c r="EC76" s="352" t="s">
        <v>1361</v>
      </c>
      <c r="ED76" s="352" t="s">
        <v>1361</v>
      </c>
      <c r="EE76" s="316">
        <f t="shared" ref="EE76:EQ76" si="500">EE4/ED4-1</f>
        <v>0.48048780487804876</v>
      </c>
      <c r="EF76" s="316">
        <f t="shared" si="500"/>
        <v>0.53542009884678743</v>
      </c>
      <c r="EG76" s="316">
        <f t="shared" si="500"/>
        <v>0.25</v>
      </c>
      <c r="EH76" s="316">
        <f t="shared" si="500"/>
        <v>0.10000000000000009</v>
      </c>
      <c r="EI76" s="316">
        <f t="shared" si="500"/>
        <v>5.0000000000000044E-2</v>
      </c>
      <c r="EJ76" s="316">
        <f t="shared" si="500"/>
        <v>5.0000000000000044E-2</v>
      </c>
      <c r="EK76" s="316">
        <f t="shared" si="500"/>
        <v>5.0000000000000044E-2</v>
      </c>
      <c r="EL76" s="316">
        <f t="shared" si="500"/>
        <v>5.0000000000000044E-2</v>
      </c>
      <c r="EM76" s="316">
        <f t="shared" si="500"/>
        <v>0.43997007487958717</v>
      </c>
      <c r="EN76" s="316">
        <f t="shared" si="500"/>
        <v>1.471243869817207E-2</v>
      </c>
      <c r="EO76" s="316">
        <f t="shared" si="500"/>
        <v>5.2724077328647478E-3</v>
      </c>
      <c r="EP76" s="316">
        <f t="shared" si="500"/>
        <v>1.0000000000000009E-2</v>
      </c>
      <c r="EQ76" s="316">
        <f t="shared" si="500"/>
        <v>1.0000000000000009E-2</v>
      </c>
      <c r="ER76" s="316"/>
      <c r="ES76" s="316"/>
      <c r="ET76" s="316"/>
      <c r="EU76" s="316"/>
      <c r="EV76" s="316"/>
      <c r="EW76" s="316"/>
      <c r="EZ76" s="58" t="s">
        <v>1284</v>
      </c>
      <c r="FA76" s="375">
        <f>FA75/170-1</f>
        <v>5.4395791792526182E-2</v>
      </c>
      <c r="FD76" s="404"/>
      <c r="FE76" s="404"/>
      <c r="FF76" s="405"/>
      <c r="FG76" s="360"/>
      <c r="FH76" s="404"/>
      <c r="FI76" s="404"/>
      <c r="FJ76" s="404"/>
    </row>
    <row r="77" spans="1:257" s="381" customFormat="1" ht="12.75" customHeight="1" x14ac:dyDescent="0.2">
      <c r="A77" s="229"/>
      <c r="B77" s="353" t="s">
        <v>1710</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t="s">
        <v>1361</v>
      </c>
      <c r="BJ77" s="410" t="s">
        <v>1361</v>
      </c>
      <c r="BK77" s="410">
        <f t="shared" ref="BK77:BZ77" si="501">+BK6/BG6-1</f>
        <v>0.33132530120481918</v>
      </c>
      <c r="BL77" s="410">
        <f t="shared" si="501"/>
        <v>0.40909090909090917</v>
      </c>
      <c r="BM77" s="410">
        <f t="shared" si="501"/>
        <v>0.5185185185185186</v>
      </c>
      <c r="BN77" s="410">
        <f t="shared" si="501"/>
        <v>0.29951690821256038</v>
      </c>
      <c r="BO77" s="410">
        <f t="shared" si="501"/>
        <v>0.56561085972850678</v>
      </c>
      <c r="BP77" s="410">
        <f t="shared" si="501"/>
        <v>0.49596774193548376</v>
      </c>
      <c r="BQ77" s="410">
        <f t="shared" si="501"/>
        <v>0.28919860627177707</v>
      </c>
      <c r="BR77" s="410">
        <f t="shared" si="501"/>
        <v>0.55018587360594795</v>
      </c>
      <c r="BS77" s="410">
        <f t="shared" si="501"/>
        <v>0.31791907514450868</v>
      </c>
      <c r="BT77" s="410">
        <f t="shared" si="501"/>
        <v>0.42318059299191368</v>
      </c>
      <c r="BU77" s="410">
        <f t="shared" si="501"/>
        <v>0.25</v>
      </c>
      <c r="BV77" s="410">
        <f t="shared" si="501"/>
        <v>0.25</v>
      </c>
      <c r="BW77" s="410">
        <f t="shared" si="501"/>
        <v>0.25</v>
      </c>
      <c r="BX77" s="410">
        <f t="shared" si="501"/>
        <v>0.25</v>
      </c>
      <c r="BY77" s="410">
        <f t="shared" si="501"/>
        <v>0.25</v>
      </c>
      <c r="BZ77" s="410">
        <f t="shared" si="501"/>
        <v>0.25</v>
      </c>
      <c r="CA77" s="410"/>
      <c r="CB77" s="410"/>
      <c r="CC77" s="410"/>
      <c r="CD77" s="410"/>
      <c r="CE77" s="410"/>
      <c r="CF77" s="410"/>
      <c r="CG77" s="410"/>
      <c r="CH77" s="410"/>
      <c r="CI77" s="410"/>
      <c r="CJ77" s="410"/>
      <c r="CK77" s="410"/>
      <c r="CL77" s="410"/>
      <c r="CM77" s="410"/>
      <c r="CN77" s="410"/>
      <c r="CO77" s="410"/>
      <c r="CP77" s="410"/>
      <c r="CQ77" s="410"/>
      <c r="CR77" s="410"/>
      <c r="CS77" s="410"/>
      <c r="CT77" s="410"/>
      <c r="CU77" s="410">
        <f t="shared" ref="CU77" si="502">+CU6/CQ6-1</f>
        <v>0.18086860912589331</v>
      </c>
      <c r="CV77" s="410">
        <f t="shared" ref="CV77" si="503">+CV6/CR6-1</f>
        <v>0.34001178550383027</v>
      </c>
      <c r="CW77" s="410">
        <f t="shared" ref="CW77:CX77" si="504">+CW6/CS6-1</f>
        <v>0.2213662044170519</v>
      </c>
      <c r="CX77" s="410">
        <f t="shared" si="504"/>
        <v>4.0106951871657692E-2</v>
      </c>
      <c r="CY77" s="410">
        <f>+CY6/CU6-1</f>
        <v>6.5176908752327734E-2</v>
      </c>
      <c r="CZ77" s="410">
        <f t="shared" ref="CZ77:DF77" si="505">+CZ6/CV6-1</f>
        <v>1.0000000000000009E-2</v>
      </c>
      <c r="DA77" s="410">
        <f t="shared" si="505"/>
        <v>1.0000000000000009E-2</v>
      </c>
      <c r="DB77" s="410">
        <f t="shared" si="505"/>
        <v>1.0000000000000009E-2</v>
      </c>
      <c r="DC77" s="410">
        <f t="shared" si="505"/>
        <v>1.0000000000000009E-2</v>
      </c>
      <c r="DD77" s="410">
        <f t="shared" si="505"/>
        <v>1.0000000000000009E-2</v>
      </c>
      <c r="DE77" s="410">
        <f t="shared" si="505"/>
        <v>1.0000000000000009E-2</v>
      </c>
      <c r="DF77" s="410">
        <f t="shared" si="505"/>
        <v>1.0000000000000009E-2</v>
      </c>
      <c r="DH77" s="315"/>
      <c r="DI77" s="315"/>
      <c r="DJ77" s="315"/>
      <c r="DK77" s="315"/>
      <c r="DL77" s="315"/>
      <c r="DM77" s="315"/>
      <c r="DN77" s="315"/>
      <c r="DO77" s="315"/>
      <c r="DP77" s="315"/>
      <c r="DQ77" s="315"/>
      <c r="DR77" s="315"/>
      <c r="DS77" s="315"/>
      <c r="DT77" s="315"/>
      <c r="DU77" s="316"/>
      <c r="DV77" s="316"/>
      <c r="DW77" s="316"/>
      <c r="DX77" s="316"/>
      <c r="DY77" s="316"/>
      <c r="DZ77" s="316"/>
      <c r="EA77" s="316"/>
      <c r="EB77" s="316"/>
      <c r="EC77" s="352" t="s">
        <v>1361</v>
      </c>
      <c r="ED77" s="352" t="s">
        <v>1361</v>
      </c>
      <c r="EE77" s="316">
        <f t="shared" ref="EE77:EQ77" si="506">EE6/ED6-1</f>
        <v>0.38888888888888884</v>
      </c>
      <c r="EF77" s="316">
        <f t="shared" si="506"/>
        <v>0.46731707317073168</v>
      </c>
      <c r="EG77" s="316">
        <f t="shared" si="506"/>
        <v>0.30834441489361697</v>
      </c>
      <c r="EH77" s="316">
        <f t="shared" si="506"/>
        <v>0.14999999999999991</v>
      </c>
      <c r="EI77" s="316">
        <f t="shared" si="506"/>
        <v>0.14999999999999991</v>
      </c>
      <c r="EJ77" s="316">
        <f t="shared" si="506"/>
        <v>1.0000000000000009E-2</v>
      </c>
      <c r="EK77" s="316">
        <f t="shared" si="506"/>
        <v>1.0000000000000009E-2</v>
      </c>
      <c r="EL77" s="316">
        <f t="shared" si="506"/>
        <v>1.0000000000000009E-2</v>
      </c>
      <c r="EM77" s="316">
        <f t="shared" si="506"/>
        <v>1.8744558059497129</v>
      </c>
      <c r="EN77" s="316">
        <f t="shared" si="506"/>
        <v>0.18515635136888542</v>
      </c>
      <c r="EO77" s="316">
        <f t="shared" si="506"/>
        <v>2.2975695204729751E-2</v>
      </c>
      <c r="EP77" s="316">
        <f t="shared" si="506"/>
        <v>1.0000000000000009E-2</v>
      </c>
      <c r="EQ77" s="316">
        <f t="shared" si="506"/>
        <v>1.0000000000000009E-2</v>
      </c>
      <c r="ER77" s="316"/>
      <c r="ES77" s="316"/>
      <c r="ET77" s="316"/>
      <c r="EU77" s="316"/>
      <c r="EV77" s="316"/>
      <c r="EW77" s="316"/>
      <c r="EZ77" s="58"/>
      <c r="FA77" s="406"/>
      <c r="FD77" s="404"/>
      <c r="FE77" s="404"/>
      <c r="FF77" s="405"/>
      <c r="FG77" s="360"/>
      <c r="FH77" s="404"/>
      <c r="FI77" s="404"/>
      <c r="FJ77" s="404"/>
    </row>
    <row r="78" spans="1:257" s="381" customFormat="1" ht="12.75" customHeight="1" x14ac:dyDescent="0.2">
      <c r="A78" s="229"/>
      <c r="B78" s="353" t="s">
        <v>1772</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c r="BJ78" s="410"/>
      <c r="BK78" s="410"/>
      <c r="BL78" s="410"/>
      <c r="BM78" s="410"/>
      <c r="BN78" s="410"/>
      <c r="BO78" s="410"/>
      <c r="BP78" s="410"/>
      <c r="BQ78" s="410"/>
      <c r="BR78" s="410"/>
      <c r="BS78" s="410"/>
      <c r="BT78" s="410"/>
      <c r="BU78" s="410"/>
      <c r="BV78" s="410"/>
      <c r="BW78" s="410"/>
      <c r="BX78" s="410"/>
      <c r="BY78" s="410"/>
      <c r="BZ78" s="410"/>
      <c r="CA78" s="410"/>
      <c r="CB78" s="410"/>
      <c r="CC78" s="410"/>
      <c r="CD78" s="410"/>
      <c r="CE78" s="410"/>
      <c r="CF78" s="410"/>
      <c r="CG78" s="410"/>
      <c r="CH78" s="410"/>
      <c r="CI78" s="410"/>
      <c r="CJ78" s="410"/>
      <c r="CK78" s="410"/>
      <c r="CL78" s="410"/>
      <c r="CM78" s="410"/>
      <c r="CN78" s="410"/>
      <c r="CO78" s="410"/>
      <c r="CP78" s="410"/>
      <c r="CQ78" s="410"/>
      <c r="CR78" s="410"/>
      <c r="CS78" s="410"/>
      <c r="CT78" s="410"/>
      <c r="CU78" s="410">
        <f t="shared" ref="CU78:CX78" si="507">+CU5/CQ5-1</f>
        <v>0.41216216216216206</v>
      </c>
      <c r="CV78" s="410">
        <f t="shared" si="507"/>
        <v>0.40058479532163749</v>
      </c>
      <c r="CW78" s="410">
        <f t="shared" si="507"/>
        <v>0.64220183486238525</v>
      </c>
      <c r="CX78" s="410">
        <f t="shared" si="507"/>
        <v>0.81413612565445037</v>
      </c>
      <c r="CY78" s="410">
        <f>+CY5/CU5-1</f>
        <v>0.41148325358851667</v>
      </c>
      <c r="CZ78" s="410">
        <f t="shared" ref="CZ78:DF78" si="508">+CZ5/CV5-1</f>
        <v>0.35000000000000009</v>
      </c>
      <c r="DA78" s="410">
        <f t="shared" si="508"/>
        <v>0.35000000000000009</v>
      </c>
      <c r="DB78" s="410">
        <f t="shared" si="508"/>
        <v>0.35000000000000009</v>
      </c>
      <c r="DC78" s="410">
        <f t="shared" si="508"/>
        <v>0.35000000000000009</v>
      </c>
      <c r="DD78" s="410">
        <f t="shared" si="508"/>
        <v>0.35000000000000009</v>
      </c>
      <c r="DE78" s="410">
        <f t="shared" si="508"/>
        <v>0.35000000000000009</v>
      </c>
      <c r="DF78" s="410">
        <f t="shared" si="508"/>
        <v>0.34999999999999987</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c r="ED78" s="352"/>
      <c r="EE78" s="316"/>
      <c r="EF78" s="316"/>
      <c r="EG78" s="316"/>
      <c r="EH78" s="316"/>
      <c r="EI78" s="316"/>
      <c r="EJ78" s="316"/>
      <c r="EK78" s="316"/>
      <c r="EL78" s="316"/>
      <c r="EM78" s="316"/>
      <c r="EN78" s="316"/>
      <c r="EO78" s="316"/>
      <c r="EP78" s="316"/>
      <c r="EQ78" s="316"/>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1773</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c r="CN79" s="410"/>
      <c r="CO79" s="410"/>
      <c r="CP79" s="410"/>
      <c r="CQ79" s="410"/>
      <c r="CR79" s="410"/>
      <c r="CS79" s="410"/>
      <c r="CT79" s="410"/>
      <c r="CU79" s="410">
        <f t="shared" ref="CU79:CX79" si="509">CU11/CQ11-1</f>
        <v>9.2865232163080513E-2</v>
      </c>
      <c r="CV79" s="410">
        <f t="shared" si="509"/>
        <v>0.16496018202502838</v>
      </c>
      <c r="CW79" s="410">
        <f t="shared" si="509"/>
        <v>8.4233261339092813E-2</v>
      </c>
      <c r="CX79" s="410">
        <f t="shared" si="509"/>
        <v>6.6321243523316031E-2</v>
      </c>
      <c r="CY79" s="410">
        <f>CY11/CU11-1</f>
        <v>8.6010362694300513E-2</v>
      </c>
      <c r="CZ79" s="410">
        <f t="shared" ref="CZ79:DF79" si="510">CZ11/CV11-1</f>
        <v>1.0000000000000009E-2</v>
      </c>
      <c r="DA79" s="410">
        <f t="shared" si="510"/>
        <v>1.0000000000000009E-2</v>
      </c>
      <c r="DB79" s="410">
        <f t="shared" si="510"/>
        <v>1.0000000000000009E-2</v>
      </c>
      <c r="DC79" s="410">
        <f t="shared" si="510"/>
        <v>1.0000000000000009E-2</v>
      </c>
      <c r="DD79" s="410">
        <f t="shared" si="510"/>
        <v>1.0000000000000009E-2</v>
      </c>
      <c r="DE79" s="410">
        <f t="shared" si="510"/>
        <v>1.0000000000000009E-2</v>
      </c>
      <c r="DF79" s="410">
        <f t="shared" si="510"/>
        <v>1.0000000000000009E-2</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1770</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c r="CN80" s="410"/>
      <c r="CO80" s="410"/>
      <c r="CP80" s="410"/>
      <c r="CQ80" s="410"/>
      <c r="CR80" s="410"/>
      <c r="CS80" s="410"/>
      <c r="CT80" s="410"/>
      <c r="CU80" s="410">
        <f t="shared" ref="CU80:CX80" si="511">CU26/CQ26-1</f>
        <v>0.45677694770544286</v>
      </c>
      <c r="CV80" s="410">
        <f t="shared" si="511"/>
        <v>0.59045504994450604</v>
      </c>
      <c r="CW80" s="410">
        <f t="shared" si="511"/>
        <v>0.43767060964513194</v>
      </c>
      <c r="CX80" s="410">
        <f t="shared" si="511"/>
        <v>0.31284916201117308</v>
      </c>
      <c r="CY80" s="410">
        <f>CY26/CU26-1</f>
        <v>0.35970695970695976</v>
      </c>
      <c r="CZ80" s="410">
        <f t="shared" ref="CZ80:DF80" si="512">CZ26/CV26-1</f>
        <v>0.19999999999999996</v>
      </c>
      <c r="DA80" s="410">
        <f t="shared" si="512"/>
        <v>0.19999999999999996</v>
      </c>
      <c r="DB80" s="410">
        <f t="shared" si="512"/>
        <v>0.19999999999999996</v>
      </c>
      <c r="DC80" s="410">
        <f t="shared" si="512"/>
        <v>0.19999999999999996</v>
      </c>
      <c r="DD80" s="410">
        <f t="shared" si="512"/>
        <v>0.19999999999999996</v>
      </c>
      <c r="DE80" s="410">
        <f t="shared" si="512"/>
        <v>0.19999999999999996</v>
      </c>
      <c r="DF80" s="410">
        <f t="shared" si="512"/>
        <v>0.19999999999999996</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368</v>
      </c>
      <c r="C81" s="408"/>
      <c r="D81" s="408"/>
      <c r="E81" s="408"/>
      <c r="F81" s="385"/>
      <c r="G81" s="409">
        <f t="shared" ref="G81:AL81" si="513">G29/C29-1</f>
        <v>0.17712177121771222</v>
      </c>
      <c r="H81" s="409">
        <f t="shared" si="513"/>
        <v>0.15666666666666673</v>
      </c>
      <c r="I81" s="409">
        <f t="shared" si="513"/>
        <v>0.37412587412587417</v>
      </c>
      <c r="J81" s="409">
        <f t="shared" si="513"/>
        <v>0.45214521452145218</v>
      </c>
      <c r="K81" s="409">
        <f t="shared" si="513"/>
        <v>0.44827586206896552</v>
      </c>
      <c r="L81" s="409">
        <f t="shared" si="513"/>
        <v>0.5331412103746398</v>
      </c>
      <c r="M81" s="409">
        <f t="shared" si="513"/>
        <v>0.34605597964376589</v>
      </c>
      <c r="N81" s="409">
        <f t="shared" si="513"/>
        <v>0.29772727272727262</v>
      </c>
      <c r="O81" s="409">
        <f t="shared" si="513"/>
        <v>0.30303030303030298</v>
      </c>
      <c r="P81" s="409">
        <f t="shared" si="513"/>
        <v>0.20488721804511267</v>
      </c>
      <c r="Q81" s="409">
        <f t="shared" si="513"/>
        <v>0.30623818525519853</v>
      </c>
      <c r="R81" s="409">
        <f t="shared" si="513"/>
        <v>0.35726795096322239</v>
      </c>
      <c r="S81" s="409">
        <f t="shared" si="513"/>
        <v>0.27574750830564776</v>
      </c>
      <c r="T81" s="409">
        <f t="shared" si="513"/>
        <v>0.29485179407176276</v>
      </c>
      <c r="U81" s="409">
        <f t="shared" si="513"/>
        <v>0.48769898697539804</v>
      </c>
      <c r="V81" s="409">
        <f t="shared" si="513"/>
        <v>3.612903225806452E-2</v>
      </c>
      <c r="W81" s="409">
        <f t="shared" si="513"/>
        <v>0.29036458333333326</v>
      </c>
      <c r="X81" s="409">
        <f t="shared" si="513"/>
        <v>0.30843373493975901</v>
      </c>
      <c r="Y81" s="409">
        <f t="shared" si="513"/>
        <v>6.6147859922178975E-2</v>
      </c>
      <c r="Z81" s="409">
        <f t="shared" si="513"/>
        <v>0.36488169364881684</v>
      </c>
      <c r="AA81" s="400">
        <f t="shared" si="513"/>
        <v>6.0544904137234123E-3</v>
      </c>
      <c r="AB81" s="400">
        <f t="shared" si="513"/>
        <v>-6.5377532228360957E-2</v>
      </c>
      <c r="AC81" s="400">
        <f t="shared" si="513"/>
        <v>-8.3029197080291994E-2</v>
      </c>
      <c r="AD81" s="400">
        <f t="shared" si="513"/>
        <v>-0.11770072992700731</v>
      </c>
      <c r="AE81" s="400">
        <f t="shared" si="513"/>
        <v>-2.0060180541624839E-2</v>
      </c>
      <c r="AF81" s="400">
        <f t="shared" si="513"/>
        <v>-0.13891625615763548</v>
      </c>
      <c r="AG81" s="400">
        <f t="shared" si="513"/>
        <v>-0.11741293532338304</v>
      </c>
      <c r="AH81" s="400">
        <f t="shared" si="513"/>
        <v>-0.12099276111685631</v>
      </c>
      <c r="AI81" s="400">
        <f t="shared" si="513"/>
        <v>-0.14431934493346976</v>
      </c>
      <c r="AJ81" s="400">
        <f t="shared" si="513"/>
        <v>-3.2036613272311221E-2</v>
      </c>
      <c r="AK81" s="400">
        <f t="shared" si="513"/>
        <v>-4.8478015783540052E-2</v>
      </c>
      <c r="AL81" s="400">
        <f t="shared" si="513"/>
        <v>-6.1176470588235277E-2</v>
      </c>
      <c r="AM81" s="400">
        <f t="shared" ref="AM81:BR81" si="514">AM29/AI29-1</f>
        <v>-5.9808612440191422E-2</v>
      </c>
      <c r="AN81" s="400">
        <f t="shared" si="514"/>
        <v>-4.4917257683215084E-2</v>
      </c>
      <c r="AO81" s="400">
        <f t="shared" si="514"/>
        <v>-5.4502369668246398E-2</v>
      </c>
      <c r="AP81" s="400">
        <f t="shared" si="514"/>
        <v>-1.253132832080206E-2</v>
      </c>
      <c r="AQ81" s="400">
        <f t="shared" si="514"/>
        <v>3.9440203562340903E-2</v>
      </c>
      <c r="AR81" s="400">
        <f t="shared" si="514"/>
        <v>-6.1881188118811936E-2</v>
      </c>
      <c r="AS81" s="400">
        <f t="shared" si="514"/>
        <v>-0.14536340852130325</v>
      </c>
      <c r="AT81" s="400">
        <f t="shared" si="514"/>
        <v>-0.20304568527918787</v>
      </c>
      <c r="AU81" s="400">
        <f t="shared" si="514"/>
        <v>-0.23011015911872701</v>
      </c>
      <c r="AV81" s="400">
        <f t="shared" si="514"/>
        <v>-0.13984168865435354</v>
      </c>
      <c r="AW81" s="409">
        <f t="shared" si="514"/>
        <v>-9.2375366568914985E-2</v>
      </c>
      <c r="AX81" s="409">
        <f t="shared" si="514"/>
        <v>-0.10828025477707004</v>
      </c>
      <c r="AY81" s="409">
        <f t="shared" si="514"/>
        <v>-0.12559618441971387</v>
      </c>
      <c r="AZ81" s="409">
        <f t="shared" si="514"/>
        <v>-0.11503067484662577</v>
      </c>
      <c r="BA81" s="410">
        <f t="shared" si="514"/>
        <v>-0.12439418416801296</v>
      </c>
      <c r="BB81" s="410">
        <f t="shared" si="514"/>
        <v>2.857142857142847E-2</v>
      </c>
      <c r="BC81" s="410">
        <f t="shared" si="514"/>
        <v>-4.9090909090909074E-2</v>
      </c>
      <c r="BD81" s="410">
        <f t="shared" si="514"/>
        <v>-8.8388214904679407E-2</v>
      </c>
      <c r="BE81" s="410">
        <f t="shared" si="514"/>
        <v>-0.25092250922509229</v>
      </c>
      <c r="BF81" s="410">
        <f t="shared" si="514"/>
        <v>-0.16840277777777779</v>
      </c>
      <c r="BG81" s="410">
        <f t="shared" si="514"/>
        <v>-0.24091778202676861</v>
      </c>
      <c r="BH81" s="410">
        <f t="shared" si="514"/>
        <v>-9.6958174904942962E-2</v>
      </c>
      <c r="BI81" s="410">
        <f t="shared" si="514"/>
        <v>-5.6650246305418706E-2</v>
      </c>
      <c r="BJ81" s="410">
        <f t="shared" si="514"/>
        <v>-0.23173277661795411</v>
      </c>
      <c r="BK81" s="410">
        <f t="shared" si="514"/>
        <v>-5.2896725440806036E-2</v>
      </c>
      <c r="BL81" s="410">
        <f t="shared" si="514"/>
        <v>-0.15578947368421048</v>
      </c>
      <c r="BM81" s="410">
        <f t="shared" si="514"/>
        <v>-6.2663185378590058E-2</v>
      </c>
      <c r="BN81" s="410">
        <f t="shared" si="514"/>
        <v>-0.11413043478260865</v>
      </c>
      <c r="BO81" s="410">
        <f t="shared" si="514"/>
        <v>5.3191489361701372E-3</v>
      </c>
      <c r="BP81" s="410">
        <f t="shared" si="514"/>
        <v>-0.1645885286783042</v>
      </c>
      <c r="BQ81" s="410">
        <f t="shared" si="514"/>
        <v>-4.1782729805013963E-2</v>
      </c>
      <c r="BR81" s="410">
        <f t="shared" si="514"/>
        <v>-5.8282208588957052E-2</v>
      </c>
      <c r="BS81" s="410">
        <f t="shared" ref="BS81:BZ81" si="515">BS29/BO29-1</f>
        <v>-0.17989417989417988</v>
      </c>
      <c r="BT81" s="410">
        <f t="shared" si="515"/>
        <v>-4.7761194029850795E-2</v>
      </c>
      <c r="BU81" s="410">
        <f t="shared" si="515"/>
        <v>-9.9999999999999978E-2</v>
      </c>
      <c r="BV81" s="410">
        <f t="shared" si="515"/>
        <v>-9.9999999999999978E-2</v>
      </c>
      <c r="BW81" s="410">
        <f t="shared" si="515"/>
        <v>-9.9999999999999978E-2</v>
      </c>
      <c r="BX81" s="410">
        <f t="shared" si="515"/>
        <v>-9.9999999999999978E-2</v>
      </c>
      <c r="BY81" s="410">
        <f t="shared" si="515"/>
        <v>-9.9999999999999978E-2</v>
      </c>
      <c r="BZ81" s="410">
        <f t="shared" si="515"/>
        <v>-9.9999999999999978E-2</v>
      </c>
      <c r="CA81" s="410"/>
      <c r="CB81" s="410"/>
      <c r="CC81" s="410"/>
      <c r="CD81" s="410"/>
      <c r="CE81" s="410"/>
      <c r="CF81" s="410"/>
      <c r="CG81" s="410"/>
      <c r="CH81" s="410"/>
      <c r="CI81" s="410"/>
      <c r="CJ81" s="410"/>
      <c r="CK81" s="410"/>
      <c r="CL81" s="410"/>
      <c r="CM81" s="410"/>
      <c r="CN81" s="410"/>
      <c r="CO81" s="410"/>
      <c r="CP81" s="410"/>
      <c r="CQ81" s="410"/>
      <c r="CR81" s="410"/>
      <c r="CS81" s="410"/>
      <c r="CT81" s="410"/>
      <c r="CU81" s="410"/>
      <c r="CV81" s="410"/>
      <c r="CW81" s="410"/>
      <c r="CX81" s="410"/>
      <c r="CY81" s="410"/>
      <c r="CZ81" s="410"/>
      <c r="DA81" s="410"/>
      <c r="DB81" s="410"/>
      <c r="DC81" s="410"/>
      <c r="DD81" s="410"/>
      <c r="DE81" s="410"/>
      <c r="DF81" s="410"/>
      <c r="DH81" s="315"/>
      <c r="DI81" s="315"/>
      <c r="DJ81" s="315"/>
      <c r="DK81" s="315"/>
      <c r="DL81" s="315"/>
      <c r="DM81" s="316"/>
      <c r="DN81" s="316"/>
      <c r="DO81" s="316">
        <f t="shared" ref="DO81:EQ81" si="516">DO29/DN29-1</f>
        <v>0.20094562647754133</v>
      </c>
      <c r="DP81" s="316">
        <f t="shared" si="516"/>
        <v>0.1417322834645669</v>
      </c>
      <c r="DQ81" s="316">
        <f t="shared" si="516"/>
        <v>0.29224137931034488</v>
      </c>
      <c r="DR81" s="316">
        <f t="shared" si="516"/>
        <v>0.39693128752501661</v>
      </c>
      <c r="DS81" s="316">
        <f t="shared" si="516"/>
        <v>0.29369627507163321</v>
      </c>
      <c r="DT81" s="316">
        <f t="shared" si="516"/>
        <v>0.26578073089700993</v>
      </c>
      <c r="DU81" s="316">
        <f t="shared" si="516"/>
        <v>0.24496937882764658</v>
      </c>
      <c r="DV81" s="316">
        <f t="shared" si="516"/>
        <v>-6.6760365425158064E-2</v>
      </c>
      <c r="DW81" s="316">
        <f t="shared" si="516"/>
        <v>-9.9397590361445798E-2</v>
      </c>
      <c r="DX81" s="316">
        <f t="shared" si="516"/>
        <v>-7.3578595317725703E-2</v>
      </c>
      <c r="DY81" s="316">
        <f t="shared" si="516"/>
        <v>-4.3321299638989119E-2</v>
      </c>
      <c r="DZ81" s="316">
        <f t="shared" si="516"/>
        <v>-9.2767295597484312E-2</v>
      </c>
      <c r="EA81" s="316">
        <f t="shared" si="516"/>
        <v>-0.14731369150779894</v>
      </c>
      <c r="EB81" s="316">
        <f t="shared" si="516"/>
        <v>-8.7398373983739841E-2</v>
      </c>
      <c r="EC81" s="316">
        <f t="shared" si="516"/>
        <v>-0.13853006681514479</v>
      </c>
      <c r="ED81" s="316">
        <f t="shared" si="516"/>
        <v>-0.1608066184074457</v>
      </c>
      <c r="EE81" s="316">
        <f t="shared" si="516"/>
        <v>-9.9199014171287736E-2</v>
      </c>
      <c r="EF81" s="316">
        <f t="shared" si="516"/>
        <v>-6.7031463748290054E-2</v>
      </c>
      <c r="EG81" s="316">
        <f t="shared" si="516"/>
        <v>-0.10931085043988265</v>
      </c>
      <c r="EH81" s="316">
        <f t="shared" si="516"/>
        <v>-9.9999999999999978E-2</v>
      </c>
      <c r="EI81" s="316">
        <f t="shared" si="516"/>
        <v>-9.9999999999999978E-2</v>
      </c>
      <c r="EJ81" s="316">
        <f t="shared" si="516"/>
        <v>-9.9999999999999978E-2</v>
      </c>
      <c r="EK81" s="316">
        <f t="shared" si="516"/>
        <v>-9.9999999999999978E-2</v>
      </c>
      <c r="EL81" s="316">
        <f t="shared" si="516"/>
        <v>-0.10000000000000009</v>
      </c>
      <c r="EM81" s="316">
        <f t="shared" si="516"/>
        <v>-0.23054008805222514</v>
      </c>
      <c r="EN81" s="316">
        <f t="shared" si="516"/>
        <v>-0.13224637681159424</v>
      </c>
      <c r="EO81" s="316">
        <f t="shared" si="516"/>
        <v>-1</v>
      </c>
      <c r="EP81" s="316" t="e">
        <f t="shared" si="516"/>
        <v>#DIV/0!</v>
      </c>
      <c r="EQ81" s="316" t="e">
        <f t="shared" si="516"/>
        <v>#DIV/0!</v>
      </c>
      <c r="ER81" s="316"/>
      <c r="ES81" s="316"/>
      <c r="ET81" s="316"/>
      <c r="EU81" s="316"/>
      <c r="EV81" s="316"/>
      <c r="EW81" s="316"/>
      <c r="FD81" s="404"/>
      <c r="FE81" s="404"/>
      <c r="FF81" s="405"/>
      <c r="FG81" s="360"/>
      <c r="FH81" s="404"/>
      <c r="FI81" s="404"/>
      <c r="FJ81" s="404"/>
    </row>
    <row r="82" spans="1:166" s="381" customFormat="1" ht="12.75" customHeight="1" x14ac:dyDescent="0.2">
      <c r="A82" s="229"/>
      <c r="B82" s="353" t="s">
        <v>1771</v>
      </c>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351"/>
      <c r="AF82" s="351"/>
      <c r="AG82" s="351"/>
      <c r="AH82" s="400"/>
      <c r="AI82" s="400"/>
      <c r="AJ82" s="400"/>
      <c r="AK82" s="400"/>
      <c r="AL82" s="400"/>
      <c r="AM82" s="400"/>
      <c r="AN82" s="400"/>
      <c r="AO82" s="400"/>
      <c r="AP82" s="400"/>
      <c r="AQ82" s="400"/>
      <c r="AR82" s="400"/>
      <c r="AS82" s="400"/>
      <c r="AT82" s="400"/>
      <c r="AU82" s="400"/>
      <c r="AV82" s="400"/>
      <c r="AW82" s="409"/>
      <c r="AX82" s="409"/>
      <c r="AY82" s="409"/>
      <c r="AZ82" s="409"/>
      <c r="BA82" s="410"/>
      <c r="BB82" s="410"/>
      <c r="BC82" s="410"/>
      <c r="BD82" s="410"/>
      <c r="BE82" s="410"/>
      <c r="BF82" s="410"/>
      <c r="BG82" s="410"/>
      <c r="BH82" s="410"/>
      <c r="BI82" s="410"/>
      <c r="BJ82" s="410"/>
      <c r="BK82" s="410"/>
      <c r="BL82" s="410"/>
      <c r="BM82" s="410"/>
      <c r="BN82" s="410"/>
      <c r="BO82" s="410"/>
      <c r="BP82" s="410"/>
      <c r="BQ82" s="410"/>
      <c r="BR82" s="410"/>
      <c r="BS82" s="410"/>
      <c r="BT82" s="410"/>
      <c r="BU82" s="410"/>
      <c r="BV82" s="410"/>
      <c r="BW82" s="410"/>
      <c r="BX82" s="410"/>
      <c r="BY82" s="410"/>
      <c r="BZ82" s="410"/>
      <c r="CA82" s="410"/>
      <c r="CB82" s="410"/>
      <c r="CC82" s="410"/>
      <c r="CD82" s="410"/>
      <c r="CE82" s="410"/>
      <c r="CF82" s="410"/>
      <c r="CG82" s="410"/>
      <c r="CH82" s="410"/>
      <c r="CI82" s="410"/>
      <c r="CJ82" s="410"/>
      <c r="CK82" s="410"/>
      <c r="CL82" s="410"/>
      <c r="CM82" s="410"/>
      <c r="CN82" s="410"/>
      <c r="CO82" s="410"/>
      <c r="CP82" s="410"/>
      <c r="CQ82" s="410"/>
      <c r="CR82" s="410"/>
      <c r="CS82" s="410"/>
      <c r="CT82" s="410"/>
      <c r="CU82" s="410">
        <f t="shared" ref="CU82" si="517">+CU54/CQ54-1</f>
        <v>4.4137931034482492E-3</v>
      </c>
      <c r="CV82" s="410">
        <f t="shared" ref="CV82:CX82" si="518">+CV54/CR54-1</f>
        <v>0.13319174757281549</v>
      </c>
      <c r="CW82" s="410">
        <f t="shared" si="518"/>
        <v>5.2931132612407561E-2</v>
      </c>
      <c r="CX82" s="410">
        <f t="shared" si="518"/>
        <v>1.0779436152570376E-2</v>
      </c>
      <c r="CY82" s="410">
        <f>+CY54/CU54-1</f>
        <v>-1.5105740181268867E-2</v>
      </c>
      <c r="CZ82" s="410">
        <f t="shared" ref="CZ82:DF82" si="519">+CZ54/CV54-1</f>
        <v>1.0000000000000009E-2</v>
      </c>
      <c r="DA82" s="410">
        <f t="shared" si="519"/>
        <v>1.0000000000000009E-2</v>
      </c>
      <c r="DB82" s="410">
        <f t="shared" si="519"/>
        <v>1.0000000000000009E-2</v>
      </c>
      <c r="DC82" s="410">
        <f t="shared" si="519"/>
        <v>1.0000000000000009E-2</v>
      </c>
      <c r="DD82" s="410">
        <f t="shared" si="519"/>
        <v>1.0000000000000009E-2</v>
      </c>
      <c r="DE82" s="410">
        <f t="shared" si="519"/>
        <v>1.0000000000000009E-2</v>
      </c>
      <c r="DF82" s="410">
        <f t="shared" si="519"/>
        <v>1.0000000000000009E-2</v>
      </c>
      <c r="DG82" s="412"/>
      <c r="DH82" s="315"/>
      <c r="DI82" s="315"/>
      <c r="DJ82" s="315"/>
      <c r="DK82" s="315"/>
      <c r="DL82" s="315"/>
      <c r="DM82" s="315"/>
      <c r="DN82" s="315"/>
      <c r="DO82" s="315"/>
      <c r="DP82" s="315"/>
      <c r="DQ82" s="315"/>
      <c r="DR82" s="315"/>
      <c r="DS82" s="315"/>
      <c r="DT82" s="315"/>
      <c r="DU82" s="315"/>
      <c r="DV82" s="315"/>
      <c r="DW82" s="315"/>
      <c r="DX82" s="315"/>
      <c r="DY82" s="315"/>
      <c r="DZ82" s="315"/>
      <c r="EA82" s="316"/>
      <c r="EB82" s="316"/>
      <c r="EC82" s="316"/>
      <c r="ED82" s="316"/>
      <c r="EE82" s="316"/>
      <c r="EF82" s="316"/>
      <c r="EG82" s="316"/>
      <c r="EH82" s="316"/>
      <c r="EI82" s="316"/>
      <c r="EJ82" s="316"/>
      <c r="EK82" s="316"/>
      <c r="EL82" s="316"/>
      <c r="EM82" s="316"/>
      <c r="EN82" s="316"/>
      <c r="EO82" s="316"/>
      <c r="EP82" s="316"/>
      <c r="EQ82" s="316"/>
      <c r="ER82" s="316"/>
      <c r="ES82" s="316"/>
      <c r="ET82" s="316"/>
      <c r="EU82" s="316"/>
      <c r="EV82" s="316"/>
      <c r="EW82" s="316"/>
      <c r="FD82" s="404"/>
      <c r="FE82" s="404"/>
      <c r="FF82" s="405"/>
      <c r="FG82" s="360"/>
      <c r="FH82" s="405"/>
      <c r="FI82" s="404"/>
      <c r="FJ82" s="404"/>
    </row>
    <row r="83" spans="1:166" s="381" customFormat="1" ht="12.75" customHeight="1" x14ac:dyDescent="0.2">
      <c r="A83" s="229"/>
      <c r="B83" s="353" t="s">
        <v>491</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13">
        <f t="shared" ref="AX83:BG84" si="520">AX44/AT44-1</f>
        <v>-0.16820276497695852</v>
      </c>
      <c r="AY83" s="413">
        <f t="shared" si="520"/>
        <v>-0.19999999999999996</v>
      </c>
      <c r="AZ83" s="413">
        <f t="shared" si="520"/>
        <v>-0.20892018779342725</v>
      </c>
      <c r="BA83" s="413">
        <f t="shared" si="520"/>
        <v>-0.11845730027548207</v>
      </c>
      <c r="BB83" s="413">
        <f t="shared" si="520"/>
        <v>-3.4626038781163437E-2</v>
      </c>
      <c r="BC83" s="413">
        <f t="shared" si="520"/>
        <v>5.9880239520957446E-3</v>
      </c>
      <c r="BD83" s="413">
        <f t="shared" si="520"/>
        <v>-2.8189910979228516E-2</v>
      </c>
      <c r="BE83" s="413">
        <f t="shared" si="520"/>
        <v>-6.8749999999999978E-2</v>
      </c>
      <c r="BF83" s="413">
        <f t="shared" si="520"/>
        <v>-9.7560975609756073E-2</v>
      </c>
      <c r="BG83" s="413">
        <f t="shared" si="520"/>
        <v>-5.5059523809523836E-2</v>
      </c>
      <c r="BH83" s="413">
        <f t="shared" ref="BH83:BQ84" si="521">BH44/BD44-1</f>
        <v>-0.10381679389312981</v>
      </c>
      <c r="BI83" s="413">
        <f t="shared" si="521"/>
        <v>-0.1174496644295302</v>
      </c>
      <c r="BJ83" s="413">
        <f t="shared" si="521"/>
        <v>-0.14149443561208264</v>
      </c>
      <c r="BK83" s="413">
        <f t="shared" si="521"/>
        <v>-0.24094488188976382</v>
      </c>
      <c r="BL83" s="413">
        <f t="shared" si="521"/>
        <v>-0.141396933560477</v>
      </c>
      <c r="BM83" s="413">
        <f t="shared" si="521"/>
        <v>-6.2737642585551368E-2</v>
      </c>
      <c r="BN83" s="413">
        <f t="shared" si="521"/>
        <v>-6.2962962962962998E-2</v>
      </c>
      <c r="BO83" s="413">
        <f t="shared" si="521"/>
        <v>6.4315352697095429E-2</v>
      </c>
      <c r="BP83" s="413">
        <f t="shared" si="521"/>
        <v>4.9603174603174649E-2</v>
      </c>
      <c r="BQ83" s="413">
        <f t="shared" si="521"/>
        <v>1.6227180527383478E-2</v>
      </c>
      <c r="BR83" s="413">
        <f t="shared" ref="BR83:BZ84" si="522">BR44/BN44-1</f>
        <v>5.5335968379446543E-2</v>
      </c>
      <c r="BS83" s="413">
        <f t="shared" si="522"/>
        <v>5.4580896686159841E-2</v>
      </c>
      <c r="BT83" s="413">
        <f t="shared" si="522"/>
        <v>7.1833648393194727E-2</v>
      </c>
      <c r="BU83" s="413">
        <f t="shared" si="522"/>
        <v>3.0000000000000027E-2</v>
      </c>
      <c r="BV83" s="413">
        <f t="shared" si="522"/>
        <v>3.0000000000000027E-2</v>
      </c>
      <c r="BW83" s="413">
        <f t="shared" si="522"/>
        <v>3.0000000000000027E-2</v>
      </c>
      <c r="BX83" s="413">
        <f t="shared" si="522"/>
        <v>3.0000000000000027E-2</v>
      </c>
      <c r="BY83" s="413">
        <f t="shared" si="522"/>
        <v>3.0000000000000027E-2</v>
      </c>
      <c r="BZ83" s="413">
        <f t="shared" si="522"/>
        <v>3.0000000000000027E-2</v>
      </c>
      <c r="CA83" s="413"/>
      <c r="CB83" s="413"/>
      <c r="CC83" s="413"/>
      <c r="CD83" s="413"/>
      <c r="CE83" s="413"/>
      <c r="CF83" s="413"/>
      <c r="CG83" s="413"/>
      <c r="CH83" s="413"/>
      <c r="CI83" s="413"/>
      <c r="CJ83" s="413"/>
      <c r="CK83" s="413"/>
      <c r="CL83" s="413"/>
      <c r="CM83" s="413"/>
      <c r="CN83" s="413"/>
      <c r="CO83" s="413"/>
      <c r="CP83" s="413"/>
      <c r="CQ83" s="413"/>
      <c r="CR83" s="413"/>
      <c r="CS83" s="413"/>
      <c r="CT83" s="413"/>
      <c r="CU83" s="413">
        <f t="shared" ref="CU83:CX83" si="523">+CU44/CQ44-1</f>
        <v>0.30536451169188439</v>
      </c>
      <c r="CV83" s="413">
        <f t="shared" si="523"/>
        <v>0.77288135593220342</v>
      </c>
      <c r="CW83" s="413">
        <f t="shared" si="523"/>
        <v>0.14473684210526305</v>
      </c>
      <c r="CX83" s="413">
        <f t="shared" si="523"/>
        <v>0.14109742441209416</v>
      </c>
      <c r="CY83" s="413">
        <f>+CY44/CU44-1</f>
        <v>0.15068493150684925</v>
      </c>
      <c r="CZ83" s="413">
        <f t="shared" ref="CZ83:DF83" si="524">+CZ44/CV44-1</f>
        <v>5.0000000000000044E-2</v>
      </c>
      <c r="DA83" s="413">
        <f t="shared" si="524"/>
        <v>5.0000000000000044E-2</v>
      </c>
      <c r="DB83" s="413">
        <f t="shared" si="524"/>
        <v>5.0000000000000044E-2</v>
      </c>
      <c r="DC83" s="413">
        <f t="shared" si="524"/>
        <v>5.0000000000000044E-2</v>
      </c>
      <c r="DD83" s="413">
        <f t="shared" si="524"/>
        <v>5.0000000000000044E-2</v>
      </c>
      <c r="DE83" s="413">
        <f t="shared" si="524"/>
        <v>5.0000000000000044E-2</v>
      </c>
      <c r="DF83" s="413">
        <f t="shared" si="524"/>
        <v>5.0000000000000044E-2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FD83" s="404"/>
      <c r="FE83" s="404"/>
      <c r="FF83" s="404"/>
      <c r="FG83" s="360"/>
      <c r="FH83" s="404"/>
      <c r="FI83" s="404"/>
      <c r="FJ83" s="404"/>
    </row>
    <row r="84" spans="1:166" s="381" customFormat="1" ht="12.75" customHeight="1" x14ac:dyDescent="0.2">
      <c r="A84" s="229"/>
      <c r="B84" s="353" t="s">
        <v>1331</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13">
        <f t="shared" ref="AE84:AN86" si="525">AE45/AA45-1</f>
        <v>0.13531799729364002</v>
      </c>
      <c r="AF84" s="413">
        <f t="shared" si="525"/>
        <v>0.12165775401069512</v>
      </c>
      <c r="AG84" s="413">
        <f t="shared" si="525"/>
        <v>0.10027855153203347</v>
      </c>
      <c r="AH84" s="413">
        <f t="shared" si="525"/>
        <v>0.18703241895261846</v>
      </c>
      <c r="AI84" s="413">
        <f t="shared" si="525"/>
        <v>0.18355184743742559</v>
      </c>
      <c r="AJ84" s="413">
        <f t="shared" si="525"/>
        <v>0.16805721096543502</v>
      </c>
      <c r="AK84" s="413">
        <f t="shared" si="525"/>
        <v>0.1354430379746836</v>
      </c>
      <c r="AL84" s="413">
        <f t="shared" si="525"/>
        <v>2.6260504201680579E-2</v>
      </c>
      <c r="AM84" s="413">
        <f t="shared" si="525"/>
        <v>4.6324269889224556E-2</v>
      </c>
      <c r="AN84" s="413">
        <f t="shared" si="525"/>
        <v>5.6122448979591733E-2</v>
      </c>
      <c r="AO84" s="413">
        <f t="shared" ref="AO84:AW86" si="526">AO45/AK45-1</f>
        <v>8.2497212931995634E-2</v>
      </c>
      <c r="AP84" s="413">
        <f t="shared" si="526"/>
        <v>8.4953940634595604E-2</v>
      </c>
      <c r="AQ84" s="413">
        <f t="shared" si="526"/>
        <v>0.11357074109720888</v>
      </c>
      <c r="AR84" s="413">
        <f t="shared" si="526"/>
        <v>9.661835748792269E-2</v>
      </c>
      <c r="AS84" s="413">
        <f t="shared" si="526"/>
        <v>0.11843460350154489</v>
      </c>
      <c r="AT84" s="413">
        <f t="shared" si="526"/>
        <v>0.14056603773584908</v>
      </c>
      <c r="AU84" s="413">
        <f t="shared" si="526"/>
        <v>8.2973206568712099E-2</v>
      </c>
      <c r="AV84" s="413">
        <f t="shared" si="526"/>
        <v>0.13568281938325999</v>
      </c>
      <c r="AW84" s="413">
        <f t="shared" si="526"/>
        <v>0.10036832412523022</v>
      </c>
      <c r="AX84" s="413">
        <f t="shared" si="520"/>
        <v>3.556658395368073E-2</v>
      </c>
      <c r="AY84" s="413">
        <f t="shared" si="520"/>
        <v>3.1125299281723917E-2</v>
      </c>
      <c r="AZ84" s="413">
        <f t="shared" si="520"/>
        <v>2.6377036462373882E-2</v>
      </c>
      <c r="BA84" s="413">
        <f t="shared" si="520"/>
        <v>7.4476987447698706E-2</v>
      </c>
      <c r="BB84" s="413">
        <f t="shared" si="520"/>
        <v>0.17651757188498407</v>
      </c>
      <c r="BC84" s="413">
        <f t="shared" si="520"/>
        <v>0.12538699690402466</v>
      </c>
      <c r="BD84" s="413">
        <f t="shared" si="520"/>
        <v>3.9304610733182255E-2</v>
      </c>
      <c r="BE84" s="413">
        <f t="shared" si="520"/>
        <v>1.947040498442365E-2</v>
      </c>
      <c r="BF84" s="413">
        <f t="shared" si="520"/>
        <v>-1.7651052274270218E-2</v>
      </c>
      <c r="BG84" s="413">
        <f t="shared" si="520"/>
        <v>3.3700137551581744E-2</v>
      </c>
      <c r="BH84" s="413">
        <f t="shared" si="521"/>
        <v>6.8363636363636404E-2</v>
      </c>
      <c r="BI84" s="413">
        <f t="shared" si="521"/>
        <v>5.7295645530939687E-2</v>
      </c>
      <c r="BJ84" s="413">
        <f t="shared" si="521"/>
        <v>4.146510020732519E-3</v>
      </c>
      <c r="BK84" s="413">
        <f t="shared" si="521"/>
        <v>-6.6533599467730742E-3</v>
      </c>
      <c r="BL84" s="413">
        <f t="shared" si="521"/>
        <v>0.10823689584751528</v>
      </c>
      <c r="BM84" s="413">
        <f t="shared" si="521"/>
        <v>0.65462427745664731</v>
      </c>
      <c r="BN84" s="413">
        <f t="shared" si="521"/>
        <v>0.64349621472814866</v>
      </c>
      <c r="BO84" s="413">
        <f t="shared" si="521"/>
        <v>0.59745478901540516</v>
      </c>
      <c r="BP84" s="413">
        <f t="shared" si="521"/>
        <v>0.46498771498771507</v>
      </c>
      <c r="BQ84" s="413">
        <f t="shared" si="521"/>
        <v>-3.0567685589519833E-3</v>
      </c>
      <c r="BR84" s="413">
        <f t="shared" si="522"/>
        <v>2.8475711892797406E-2</v>
      </c>
      <c r="BS84" s="413">
        <f t="shared" si="522"/>
        <v>1.5094339622641506E-2</v>
      </c>
      <c r="BT84" s="413">
        <f t="shared" si="522"/>
        <v>3.5220125786163514E-2</v>
      </c>
      <c r="BU84" s="413">
        <f t="shared" si="522"/>
        <v>2.0000000000000018E-2</v>
      </c>
      <c r="BV84" s="413">
        <f t="shared" si="522"/>
        <v>2.0000000000000018E-2</v>
      </c>
      <c r="BW84" s="413">
        <f t="shared" si="522"/>
        <v>2.0000000000000018E-2</v>
      </c>
      <c r="BX84" s="413">
        <f t="shared" si="522"/>
        <v>2.0000000000000018E-2</v>
      </c>
      <c r="BY84" s="413">
        <f t="shared" si="522"/>
        <v>2.0000000000000018E-2</v>
      </c>
      <c r="BZ84" s="413">
        <f t="shared" si="522"/>
        <v>2.0000000000000018E-2</v>
      </c>
      <c r="CA84" s="413"/>
      <c r="CB84" s="413"/>
      <c r="CC84" s="413"/>
      <c r="CD84" s="413"/>
      <c r="CE84" s="413"/>
      <c r="CF84" s="413"/>
      <c r="CG84" s="413"/>
      <c r="CH84" s="413"/>
      <c r="CI84" s="413"/>
      <c r="CJ84" s="413"/>
      <c r="CK84" s="413"/>
      <c r="CL84" s="413"/>
      <c r="CM84" s="413"/>
      <c r="CN84" s="413"/>
      <c r="CO84" s="413"/>
      <c r="CP84" s="413"/>
      <c r="CQ84" s="413"/>
      <c r="CR84" s="413"/>
      <c r="CS84" s="413"/>
      <c r="CT84" s="413"/>
      <c r="CU84" s="413">
        <f t="shared" ref="CU84:CX84" si="527">+CU45/CQ45-1</f>
        <v>3.6800785083415111E-2</v>
      </c>
      <c r="CV84" s="413">
        <f t="shared" si="527"/>
        <v>0.53480358373535486</v>
      </c>
      <c r="CW84" s="413">
        <f t="shared" si="527"/>
        <v>4.8007681228996457E-3</v>
      </c>
      <c r="CX84" s="413">
        <f t="shared" si="527"/>
        <v>-1.6430853491556374E-2</v>
      </c>
      <c r="CY84" s="413">
        <f>+CY45/CU45-1</f>
        <v>3.5494557501183133E-2</v>
      </c>
      <c r="CZ84" s="413">
        <f t="shared" ref="CZ84:DF84" si="528">+CZ45/CV45-1</f>
        <v>2.0000000000000018E-2</v>
      </c>
      <c r="DA84" s="413">
        <f t="shared" si="528"/>
        <v>2.0000000000000018E-2</v>
      </c>
      <c r="DB84" s="413">
        <f t="shared" si="528"/>
        <v>2.0000000000000018E-2</v>
      </c>
      <c r="DC84" s="413">
        <f t="shared" si="528"/>
        <v>2.0000000000000018E-2</v>
      </c>
      <c r="DD84" s="413">
        <f t="shared" si="528"/>
        <v>2.0000000000000018E-2</v>
      </c>
      <c r="DE84" s="413">
        <f t="shared" si="528"/>
        <v>2.0000000000000018E-2</v>
      </c>
      <c r="DF84" s="413">
        <f t="shared" si="528"/>
        <v>2.0000000000000018E-2</v>
      </c>
      <c r="DG84" s="412"/>
      <c r="DH84" s="315"/>
      <c r="DI84" s="315"/>
      <c r="DJ84" s="315"/>
      <c r="DK84" s="315"/>
      <c r="DL84" s="315"/>
      <c r="DM84" s="315"/>
      <c r="DN84" s="315"/>
      <c r="DO84" s="315"/>
      <c r="DP84" s="315"/>
      <c r="DQ84" s="315"/>
      <c r="DR84" s="315"/>
      <c r="DS84" s="316">
        <f t="shared" ref="DS84:EB84" si="529">DS45/DR45-1</f>
        <v>3.7121644774414708E-2</v>
      </c>
      <c r="DT84" s="316">
        <f t="shared" si="529"/>
        <v>0.13105726872246692</v>
      </c>
      <c r="DU84" s="316">
        <f t="shared" si="529"/>
        <v>0.23515092502434265</v>
      </c>
      <c r="DV84" s="316">
        <f t="shared" si="529"/>
        <v>0.18525817895151753</v>
      </c>
      <c r="DW84" s="316">
        <f t="shared" si="529"/>
        <v>0.13734619221815758</v>
      </c>
      <c r="DX84" s="316">
        <f t="shared" si="529"/>
        <v>0.12485380116959055</v>
      </c>
      <c r="DY84" s="316">
        <f t="shared" si="529"/>
        <v>6.7065245645957949E-2</v>
      </c>
      <c r="DZ84" s="316">
        <f t="shared" si="529"/>
        <v>0.1174177831912302</v>
      </c>
      <c r="EA84" s="316">
        <f t="shared" si="529"/>
        <v>8.7638979725310762E-2</v>
      </c>
      <c r="EB84" s="316">
        <f t="shared" si="529"/>
        <v>7.6768891561435071E-2</v>
      </c>
      <c r="EC84" s="316"/>
      <c r="ED84" s="316"/>
      <c r="EE84" s="316"/>
      <c r="EF84" s="316"/>
      <c r="EG84" s="316"/>
      <c r="EH84" s="316"/>
      <c r="EI84" s="316"/>
      <c r="EJ84" s="316"/>
      <c r="EK84" s="316"/>
      <c r="EL84" s="316"/>
      <c r="EM84" s="316"/>
      <c r="FD84" s="404"/>
      <c r="FE84" s="404"/>
      <c r="FF84" s="404"/>
      <c r="FG84" s="360"/>
      <c r="FH84" s="405"/>
      <c r="FI84" s="404"/>
      <c r="FJ84" s="404"/>
    </row>
    <row r="85" spans="1:166" s="381" customFormat="1" ht="12.75" customHeight="1" x14ac:dyDescent="0.2">
      <c r="A85" s="229"/>
      <c r="B85" s="353" t="s">
        <v>131</v>
      </c>
      <c r="C85" s="408"/>
      <c r="D85" s="408"/>
      <c r="E85" s="408"/>
      <c r="F85" s="408"/>
      <c r="G85" s="413">
        <f t="shared" ref="G85:P86" si="530">G46/C46-1</f>
        <v>4.0000000000000036E-2</v>
      </c>
      <c r="H85" s="413">
        <f t="shared" si="530"/>
        <v>3.0000000000000027E-2</v>
      </c>
      <c r="I85" s="413">
        <f t="shared" si="530"/>
        <v>4.0000000000000036E-2</v>
      </c>
      <c r="J85" s="413">
        <f t="shared" si="530"/>
        <v>0.12698412698412698</v>
      </c>
      <c r="K85" s="413">
        <f t="shared" si="530"/>
        <v>0.20906801007556686</v>
      </c>
      <c r="L85" s="413">
        <f t="shared" si="530"/>
        <v>0.20253164556962022</v>
      </c>
      <c r="M85" s="413">
        <f t="shared" si="530"/>
        <v>0.2005141388174807</v>
      </c>
      <c r="N85" s="413">
        <f t="shared" si="530"/>
        <v>0.1619718309859155</v>
      </c>
      <c r="O85" s="413">
        <f t="shared" si="530"/>
        <v>4.1666666666666519E-3</v>
      </c>
      <c r="P85" s="413">
        <f t="shared" si="530"/>
        <v>7.1578947368420964E-2</v>
      </c>
      <c r="Q85" s="413">
        <f t="shared" ref="Q85:Z86" si="531">Q46/M46-1</f>
        <v>3.2119914346895095E-2</v>
      </c>
      <c r="R85" s="413">
        <f t="shared" si="531"/>
        <v>1.6161616161616266E-2</v>
      </c>
      <c r="S85" s="413">
        <f t="shared" si="531"/>
        <v>7.6763485477178373E-2</v>
      </c>
      <c r="T85" s="413">
        <f t="shared" si="531"/>
        <v>4.1257367387033339E-2</v>
      </c>
      <c r="U85" s="413">
        <f t="shared" si="531"/>
        <v>0.10373443983402497</v>
      </c>
      <c r="V85" s="413">
        <f t="shared" si="531"/>
        <v>0.22862823061630211</v>
      </c>
      <c r="W85" s="413">
        <f t="shared" si="531"/>
        <v>8.6705202312138629E-2</v>
      </c>
      <c r="X85" s="413">
        <f t="shared" si="531"/>
        <v>0.14339622641509431</v>
      </c>
      <c r="Y85" s="413">
        <f t="shared" si="531"/>
        <v>0.12030075187969924</v>
      </c>
      <c r="Z85" s="413">
        <f t="shared" si="531"/>
        <v>3.2362459546926292E-3</v>
      </c>
      <c r="AA85" s="413">
        <f t="shared" ref="AA85:AD86" si="532">AA46/W46-1</f>
        <v>0.11524822695035453</v>
      </c>
      <c r="AB85" s="413">
        <f t="shared" si="532"/>
        <v>0.11056105610561051</v>
      </c>
      <c r="AC85" s="413">
        <f t="shared" si="532"/>
        <v>7.3825503355704702E-2</v>
      </c>
      <c r="AD85" s="413">
        <f t="shared" si="532"/>
        <v>0.12419354838709684</v>
      </c>
      <c r="AE85" s="413">
        <f t="shared" si="525"/>
        <v>8.2670906200317917E-2</v>
      </c>
      <c r="AF85" s="413">
        <f t="shared" si="525"/>
        <v>6.3893016344725106E-2</v>
      </c>
      <c r="AG85" s="413">
        <f t="shared" si="525"/>
        <v>7.3437500000000044E-2</v>
      </c>
      <c r="AH85" s="413">
        <f t="shared" si="525"/>
        <v>8.0344332855093237E-2</v>
      </c>
      <c r="AI85" s="413">
        <f t="shared" si="525"/>
        <v>0.15565345080763593</v>
      </c>
      <c r="AJ85" s="413">
        <f t="shared" si="525"/>
        <v>0.11452513966480438</v>
      </c>
      <c r="AK85" s="413">
        <f t="shared" si="525"/>
        <v>8.4425036390101793E-2</v>
      </c>
      <c r="AL85" s="413">
        <f t="shared" si="525"/>
        <v>2.1248339973439556E-2</v>
      </c>
      <c r="AM85" s="413">
        <f t="shared" si="525"/>
        <v>-1.6518424396442133E-2</v>
      </c>
      <c r="AN85" s="413">
        <f t="shared" si="525"/>
        <v>2.2556390977443552E-2</v>
      </c>
      <c r="AO85" s="413">
        <f t="shared" si="526"/>
        <v>6.8456375838926276E-2</v>
      </c>
      <c r="AP85" s="413">
        <f t="shared" si="526"/>
        <v>7.5422626788036462E-2</v>
      </c>
      <c r="AQ85" s="413">
        <f t="shared" si="526"/>
        <v>0.12403100775193798</v>
      </c>
      <c r="AR85" s="413">
        <f t="shared" si="526"/>
        <v>0.10416666666666674</v>
      </c>
      <c r="AS85" s="413">
        <f t="shared" si="526"/>
        <v>0.10175879396984921</v>
      </c>
      <c r="AT85" s="413">
        <f t="shared" si="526"/>
        <v>0.14147521160822252</v>
      </c>
      <c r="AU85" s="413">
        <f t="shared" si="526"/>
        <v>8.6206896551724199E-2</v>
      </c>
      <c r="AV85" s="413">
        <f t="shared" si="526"/>
        <v>0.13207547169811318</v>
      </c>
      <c r="AW85" s="413">
        <f t="shared" si="526"/>
        <v>9.1220068415051259E-2</v>
      </c>
      <c r="AX85" s="413">
        <f t="shared" ref="AX85:BJ86" si="533">AX46/AT46-1</f>
        <v>-2.754237288135597E-2</v>
      </c>
      <c r="AY85" s="413">
        <f t="shared" si="533"/>
        <v>8.4656084656085095E-3</v>
      </c>
      <c r="AZ85" s="413">
        <f t="shared" si="533"/>
        <v>2.0588235294117574E-2</v>
      </c>
      <c r="BA85" s="413">
        <f t="shared" si="533"/>
        <v>6.478578892372E-2</v>
      </c>
      <c r="BB85" s="413">
        <f t="shared" si="533"/>
        <v>0.20806100217864931</v>
      </c>
      <c r="BC85" s="413">
        <f t="shared" si="533"/>
        <v>0.20356768100734524</v>
      </c>
      <c r="BD85" s="413">
        <f t="shared" si="533"/>
        <v>8.7415946205571471E-2</v>
      </c>
      <c r="BE85" s="413">
        <f t="shared" si="533"/>
        <v>5.201177625122666E-2</v>
      </c>
      <c r="BF85" s="413">
        <f t="shared" si="533"/>
        <v>3.8773669972948621E-2</v>
      </c>
      <c r="BG85" s="413">
        <f t="shared" si="533"/>
        <v>4.0104620749781938E-2</v>
      </c>
      <c r="BH85" s="413">
        <f t="shared" si="533"/>
        <v>0.11042402826855113</v>
      </c>
      <c r="BI85" s="413">
        <f t="shared" si="533"/>
        <v>0.10727611940298498</v>
      </c>
      <c r="BJ85" s="413">
        <f t="shared" si="533"/>
        <v>7.03125E-2</v>
      </c>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c r="CN85" s="413"/>
      <c r="CO85" s="413"/>
      <c r="CP85" s="413"/>
      <c r="CQ85" s="413"/>
      <c r="CR85" s="413"/>
      <c r="CS85" s="413"/>
      <c r="CT85" s="413"/>
      <c r="CU85" s="413">
        <f t="shared" ref="CU85:CX86" si="534">CU48/CQ48-1</f>
        <v>0.17932489451476785</v>
      </c>
      <c r="CV85" s="413">
        <f t="shared" si="534"/>
        <v>0.50709677419354837</v>
      </c>
      <c r="CW85" s="413">
        <f t="shared" si="534"/>
        <v>0.14399999999999991</v>
      </c>
      <c r="CX85" s="413">
        <f t="shared" si="534"/>
        <v>6.8100358422939156E-2</v>
      </c>
      <c r="CY85" s="413">
        <f>CY48/CU48-1</f>
        <v>2.5044722719141266E-2</v>
      </c>
      <c r="CZ85" s="413">
        <f t="shared" ref="CZ85:DF86" si="535">CZ48/CV48-1</f>
        <v>2.0000000000000018E-2</v>
      </c>
      <c r="DA85" s="413">
        <f t="shared" si="535"/>
        <v>2.0000000000000018E-2</v>
      </c>
      <c r="DB85" s="413">
        <f t="shared" si="535"/>
        <v>2.0000000000000018E-2</v>
      </c>
      <c r="DC85" s="413">
        <f t="shared" si="535"/>
        <v>2.0000000000000018E-2</v>
      </c>
      <c r="DD85" s="413">
        <f t="shared" si="535"/>
        <v>2.0000000000000018E-2</v>
      </c>
      <c r="DE85" s="413">
        <f t="shared" si="535"/>
        <v>2.0000000000000018E-2</v>
      </c>
      <c r="DF85" s="413">
        <f t="shared" si="535"/>
        <v>2.0000000000000018E-2</v>
      </c>
      <c r="DG85" s="412"/>
      <c r="DH85" s="315"/>
      <c r="DI85" s="315"/>
      <c r="DJ85" s="315"/>
      <c r="DK85" s="315"/>
      <c r="DL85" s="315"/>
      <c r="DM85" s="315"/>
      <c r="DN85" s="315"/>
      <c r="DO85" s="315"/>
      <c r="DP85" s="316">
        <f t="shared" ref="DP85:DR86" si="536">DP46/DO46-1</f>
        <v>0</v>
      </c>
      <c r="DQ85" s="316">
        <f t="shared" si="536"/>
        <v>5.3770491803278642E-2</v>
      </c>
      <c r="DR85" s="316">
        <f t="shared" si="536"/>
        <v>0.20472930927193533</v>
      </c>
      <c r="DS85" s="316">
        <f t="shared" ref="DS85:EB85" si="537">DS46/DR46-1</f>
        <v>2.0661157024793431E-2</v>
      </c>
      <c r="DT85" s="316">
        <f t="shared" si="537"/>
        <v>0.11285425101214575</v>
      </c>
      <c r="DU85" s="316">
        <f t="shared" si="537"/>
        <v>8.5038653933606101E-2</v>
      </c>
      <c r="DV85" s="316">
        <f t="shared" si="537"/>
        <v>0.10603520536462696</v>
      </c>
      <c r="DW85" s="316">
        <f t="shared" si="537"/>
        <v>7.5028419856006057E-2</v>
      </c>
      <c r="DX85" s="316">
        <f t="shared" si="537"/>
        <v>9.2351075079309064E-2</v>
      </c>
      <c r="DY85" s="316">
        <f t="shared" si="537"/>
        <v>3.6786060019361022E-2</v>
      </c>
      <c r="DZ85" s="316">
        <f t="shared" si="537"/>
        <v>0.11795829442888262</v>
      </c>
      <c r="EA85" s="316">
        <f t="shared" si="537"/>
        <v>6.9042316258351999E-2</v>
      </c>
      <c r="EB85" s="316">
        <f t="shared" si="537"/>
        <v>7.3437500000000044E-2</v>
      </c>
      <c r="EC85" s="316">
        <f t="shared" ref="EC85:EI86" si="538">EC46/EB46-1</f>
        <v>9.243085880640467E-2</v>
      </c>
      <c r="ED85" s="316">
        <f t="shared" si="538"/>
        <v>8.1501221407950242E-2</v>
      </c>
      <c r="EE85" s="316">
        <f t="shared" si="538"/>
        <v>-1</v>
      </c>
      <c r="EF85" s="316" t="e">
        <f t="shared" si="538"/>
        <v>#DIV/0!</v>
      </c>
      <c r="EG85" s="316" t="e">
        <f t="shared" si="538"/>
        <v>#DIV/0!</v>
      </c>
      <c r="EH85" s="316" t="e">
        <f t="shared" si="538"/>
        <v>#DIV/0!</v>
      </c>
      <c r="EI85" s="316" t="e">
        <f t="shared" si="538"/>
        <v>#DIV/0!</v>
      </c>
      <c r="EJ85" s="316"/>
      <c r="EK85" s="316"/>
      <c r="EL85" s="316"/>
      <c r="EM85" s="316"/>
      <c r="FD85" s="404"/>
      <c r="FE85" s="404"/>
      <c r="FF85" s="404"/>
      <c r="FG85" s="360"/>
      <c r="FH85" s="404"/>
      <c r="FI85" s="404"/>
      <c r="FJ85" s="404"/>
    </row>
    <row r="86" spans="1:166" s="381" customFormat="1" ht="12.75" customHeight="1" x14ac:dyDescent="0.2">
      <c r="A86" s="229"/>
      <c r="B86" s="353" t="s">
        <v>130</v>
      </c>
      <c r="C86" s="408"/>
      <c r="D86" s="408"/>
      <c r="E86" s="408"/>
      <c r="F86" s="408"/>
      <c r="G86" s="413">
        <f t="shared" si="530"/>
        <v>0.15999999999999992</v>
      </c>
      <c r="H86" s="413">
        <f t="shared" si="530"/>
        <v>0.16999999999999993</v>
      </c>
      <c r="I86" s="413">
        <f t="shared" si="530"/>
        <v>0.16999999999999993</v>
      </c>
      <c r="J86" s="413">
        <f t="shared" si="530"/>
        <v>0.2234848484848484</v>
      </c>
      <c r="K86" s="413">
        <f t="shared" si="530"/>
        <v>0.50352112676056349</v>
      </c>
      <c r="L86" s="413">
        <f t="shared" si="530"/>
        <v>0.48620689655172411</v>
      </c>
      <c r="M86" s="413">
        <f t="shared" si="530"/>
        <v>0.46101694915254243</v>
      </c>
      <c r="N86" s="413">
        <f t="shared" si="530"/>
        <v>0.39318885448916419</v>
      </c>
      <c r="O86" s="413">
        <f t="shared" si="530"/>
        <v>4.9180327868852514E-2</v>
      </c>
      <c r="P86" s="413">
        <f t="shared" si="530"/>
        <v>7.4245939675174011E-2</v>
      </c>
      <c r="Q86" s="413">
        <f t="shared" si="531"/>
        <v>3.7122969837587005E-2</v>
      </c>
      <c r="R86" s="413">
        <f t="shared" si="531"/>
        <v>7.1111111111111125E-2</v>
      </c>
      <c r="S86" s="413">
        <f t="shared" si="531"/>
        <v>6.0267857142857206E-2</v>
      </c>
      <c r="T86" s="413">
        <f t="shared" si="531"/>
        <v>7.7753779697624203E-2</v>
      </c>
      <c r="U86" s="413">
        <f t="shared" si="531"/>
        <v>0.12527964205816544</v>
      </c>
      <c r="V86" s="413">
        <f t="shared" si="531"/>
        <v>8.5062240663900335E-2</v>
      </c>
      <c r="W86" s="413">
        <f t="shared" si="531"/>
        <v>9.6842105263157841E-2</v>
      </c>
      <c r="X86" s="413">
        <f t="shared" si="531"/>
        <v>0.1523046092184368</v>
      </c>
      <c r="Y86" s="413">
        <f t="shared" si="531"/>
        <v>0.13518886679920472</v>
      </c>
      <c r="Z86" s="413">
        <f t="shared" si="531"/>
        <v>0.19502868068833656</v>
      </c>
      <c r="AA86" s="413">
        <f t="shared" si="532"/>
        <v>0.19577735124760087</v>
      </c>
      <c r="AB86" s="413">
        <f t="shared" si="532"/>
        <v>0.1286956521739131</v>
      </c>
      <c r="AC86" s="413">
        <f t="shared" si="532"/>
        <v>8.9316987740805542E-2</v>
      </c>
      <c r="AD86" s="413">
        <f t="shared" si="532"/>
        <v>0.10880000000000001</v>
      </c>
      <c r="AE86" s="413">
        <f t="shared" si="525"/>
        <v>6.7415730337078594E-2</v>
      </c>
      <c r="AF86" s="413">
        <f t="shared" si="525"/>
        <v>9.3990755007704152E-2</v>
      </c>
      <c r="AG86" s="413">
        <f t="shared" si="525"/>
        <v>8.0385852090032239E-2</v>
      </c>
      <c r="AH86" s="413">
        <f t="shared" si="525"/>
        <v>0.15728715728715725</v>
      </c>
      <c r="AI86" s="413">
        <f t="shared" si="525"/>
        <v>0.15338345864661651</v>
      </c>
      <c r="AJ86" s="413">
        <f t="shared" si="525"/>
        <v>0.10563380281690149</v>
      </c>
      <c r="AK86" s="413">
        <f t="shared" si="525"/>
        <v>7.5892857142857206E-2</v>
      </c>
      <c r="AL86" s="413">
        <f t="shared" si="525"/>
        <v>2.6184538653366562E-2</v>
      </c>
      <c r="AM86" s="413">
        <f t="shared" si="525"/>
        <v>3.5202086049543668E-2</v>
      </c>
      <c r="AN86" s="413">
        <f t="shared" si="525"/>
        <v>9.1719745222929916E-2</v>
      </c>
      <c r="AO86" s="413">
        <f t="shared" si="526"/>
        <v>0.14246196403872746</v>
      </c>
      <c r="AP86" s="413">
        <f t="shared" si="526"/>
        <v>9.3560145808019524E-2</v>
      </c>
      <c r="AQ86" s="413">
        <f t="shared" si="526"/>
        <v>0.12216624685138533</v>
      </c>
      <c r="AR86" s="413">
        <f t="shared" si="526"/>
        <v>0.11668611435239207</v>
      </c>
      <c r="AS86" s="413">
        <f t="shared" si="526"/>
        <v>0.116222760290557</v>
      </c>
      <c r="AT86" s="413">
        <f t="shared" si="526"/>
        <v>0.18222222222222229</v>
      </c>
      <c r="AU86" s="413">
        <f t="shared" si="526"/>
        <v>0.12570145903479246</v>
      </c>
      <c r="AV86" s="413">
        <f t="shared" si="526"/>
        <v>0.17450365726227801</v>
      </c>
      <c r="AW86" s="413">
        <f t="shared" si="526"/>
        <v>0.13015184381778733</v>
      </c>
      <c r="AX86" s="413">
        <f t="shared" si="533"/>
        <v>4.9812030075187863E-2</v>
      </c>
      <c r="AY86" s="413">
        <f t="shared" si="533"/>
        <v>1.1964107676968982E-2</v>
      </c>
      <c r="AZ86" s="413">
        <f t="shared" si="533"/>
        <v>-8.0071174377224219E-3</v>
      </c>
      <c r="BA86" s="413">
        <f t="shared" si="533"/>
        <v>6.1420345489443307E-2</v>
      </c>
      <c r="BB86" s="413">
        <f t="shared" si="533"/>
        <v>0.12444046553267674</v>
      </c>
      <c r="BC86" s="413">
        <f t="shared" si="533"/>
        <v>0.15073891625615765</v>
      </c>
      <c r="BD86" s="413">
        <f t="shared" si="533"/>
        <v>7.2645739910313978E-2</v>
      </c>
      <c r="BE86" s="413">
        <f t="shared" si="533"/>
        <v>2.8028933092224317E-2</v>
      </c>
      <c r="BF86" s="413">
        <f t="shared" si="533"/>
        <v>7.9617834394896114E-4</v>
      </c>
      <c r="BG86" s="413">
        <f t="shared" si="533"/>
        <v>4.5376712328767166E-2</v>
      </c>
      <c r="BH86" s="413">
        <f t="shared" si="533"/>
        <v>8.2775919732441361E-2</v>
      </c>
      <c r="BI86" s="413">
        <f t="shared" si="533"/>
        <v>8.267370272647323E-2</v>
      </c>
      <c r="BJ86" s="413">
        <f t="shared" si="533"/>
        <v>6.0461416070007878E-2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c r="CN86" s="413"/>
      <c r="CO86" s="413"/>
      <c r="CP86" s="413"/>
      <c r="CQ86" s="413"/>
      <c r="CR86" s="413"/>
      <c r="CS86" s="413"/>
      <c r="CT86" s="413"/>
      <c r="CU86" s="413">
        <f t="shared" si="534"/>
        <v>8.759757155247172E-2</v>
      </c>
      <c r="CV86" s="413">
        <f t="shared" si="534"/>
        <v>0.74709677419354836</v>
      </c>
      <c r="CW86" s="413">
        <f t="shared" si="534"/>
        <v>9.461805555555558E-2</v>
      </c>
      <c r="CX86" s="413">
        <f t="shared" si="534"/>
        <v>6.8597560975609539E-3</v>
      </c>
      <c r="CY86" s="413">
        <f t="shared" ref="CY86" si="539">CY49/CU49-1</f>
        <v>2.7113237639553533E-2</v>
      </c>
      <c r="CZ86" s="413">
        <f t="shared" si="535"/>
        <v>2.0000000000000018E-2</v>
      </c>
      <c r="DA86" s="413">
        <f t="shared" si="535"/>
        <v>2.0000000000000018E-2</v>
      </c>
      <c r="DB86" s="413">
        <f t="shared" si="535"/>
        <v>2.0000000000000018E-2</v>
      </c>
      <c r="DC86" s="413">
        <f t="shared" si="535"/>
        <v>2.0000000000000018E-2</v>
      </c>
      <c r="DD86" s="413">
        <f t="shared" si="535"/>
        <v>2.0000000000000018E-2</v>
      </c>
      <c r="DE86" s="413">
        <f t="shared" si="535"/>
        <v>2.0000000000000018E-2</v>
      </c>
      <c r="DF86" s="413">
        <f t="shared" si="535"/>
        <v>2.0000000000000018E-2</v>
      </c>
      <c r="DG86" s="412"/>
      <c r="DH86" s="315"/>
      <c r="DI86" s="315"/>
      <c r="DJ86" s="315"/>
      <c r="DK86" s="315"/>
      <c r="DL86" s="315"/>
      <c r="DM86" s="315"/>
      <c r="DN86" s="315"/>
      <c r="DO86" s="315"/>
      <c r="DP86" s="316">
        <f t="shared" si="536"/>
        <v>0.15999999999999992</v>
      </c>
      <c r="DQ86" s="316">
        <f t="shared" si="536"/>
        <v>0.18156959256220939</v>
      </c>
      <c r="DR86" s="316">
        <f t="shared" si="536"/>
        <v>0.45889261744966436</v>
      </c>
      <c r="DS86" s="316">
        <f t="shared" ref="DS86:EB86" si="540">DS47/DR47-1</f>
        <v>5.8079355951696332E-2</v>
      </c>
      <c r="DT86" s="316">
        <f t="shared" si="540"/>
        <v>8.6956521739130377E-2</v>
      </c>
      <c r="DU86" s="316">
        <f t="shared" si="540"/>
        <v>0.14599999999999991</v>
      </c>
      <c r="DV86" s="316">
        <f t="shared" si="540"/>
        <v>0.12870855148342053</v>
      </c>
      <c r="DW86" s="316">
        <f t="shared" si="540"/>
        <v>0.10127560881329734</v>
      </c>
      <c r="DX86" s="316">
        <f t="shared" si="540"/>
        <v>8.7399087399087305E-2</v>
      </c>
      <c r="DY86" s="316">
        <f t="shared" si="540"/>
        <v>9.0058102001291163E-2</v>
      </c>
      <c r="DZ86" s="316">
        <f t="shared" si="540"/>
        <v>0.13532721350310917</v>
      </c>
      <c r="EA86" s="316">
        <f t="shared" si="540"/>
        <v>0.11789254042775177</v>
      </c>
      <c r="EB86" s="316">
        <f t="shared" si="540"/>
        <v>4.8063462435837589E-2</v>
      </c>
      <c r="EC86" s="316">
        <f t="shared" si="538"/>
        <v>5.9216384683882461E-2</v>
      </c>
      <c r="ED86" s="316">
        <f t="shared" si="538"/>
        <v>6.767549390500216E-2</v>
      </c>
      <c r="EE86" s="316">
        <f t="shared" si="538"/>
        <v>-1</v>
      </c>
      <c r="EF86" s="316" t="e">
        <f t="shared" si="538"/>
        <v>#DIV/0!</v>
      </c>
      <c r="EG86" s="316" t="e">
        <f t="shared" si="538"/>
        <v>#DIV/0!</v>
      </c>
      <c r="EH86" s="316" t="e">
        <f t="shared" si="538"/>
        <v>#DIV/0!</v>
      </c>
      <c r="EI86" s="316" t="e">
        <f t="shared" si="538"/>
        <v>#DIV/0!</v>
      </c>
      <c r="EJ86" s="316"/>
      <c r="EK86" s="316"/>
      <c r="EL86" s="316"/>
      <c r="EM86" s="316"/>
      <c r="FD86" s="404"/>
      <c r="FE86" s="404"/>
      <c r="FF86" s="405"/>
      <c r="FG86" s="360"/>
      <c r="FH86" s="405"/>
      <c r="FI86" s="404"/>
      <c r="FJ86" s="404"/>
    </row>
    <row r="87" spans="1:166" s="381" customFormat="1" ht="12.75" customHeight="1" x14ac:dyDescent="0.2">
      <c r="A87" s="229"/>
      <c r="B87" s="353" t="s">
        <v>127</v>
      </c>
      <c r="C87" s="408"/>
      <c r="D87" s="408"/>
      <c r="E87" s="408"/>
      <c r="F87" s="408"/>
      <c r="G87" s="413">
        <f t="shared" ref="G87:P89" si="541">G50/C50-1</f>
        <v>0.10000000000000009</v>
      </c>
      <c r="H87" s="413">
        <f t="shared" si="541"/>
        <v>-5.0000000000000044E-2</v>
      </c>
      <c r="I87" s="413">
        <f t="shared" si="541"/>
        <v>8.0000000000000071E-2</v>
      </c>
      <c r="J87" s="413">
        <f t="shared" si="541"/>
        <v>0.14342629482071723</v>
      </c>
      <c r="K87" s="413">
        <f t="shared" si="541"/>
        <v>0.1206896551724137</v>
      </c>
      <c r="L87" s="413">
        <f t="shared" si="541"/>
        <v>0.12844036697247696</v>
      </c>
      <c r="M87" s="413">
        <f t="shared" si="541"/>
        <v>7.6628352490422103E-3</v>
      </c>
      <c r="N87" s="413">
        <f t="shared" si="541"/>
        <v>-4.5296167247386721E-2</v>
      </c>
      <c r="O87" s="413">
        <f t="shared" si="541"/>
        <v>-0.10384615384615381</v>
      </c>
      <c r="P87" s="413">
        <f t="shared" si="541"/>
        <v>2.4390243902439046E-2</v>
      </c>
      <c r="Q87" s="413">
        <f t="shared" ref="Q87:Z89" si="542">Q50/M50-1</f>
        <v>-3.4220532319391594E-2</v>
      </c>
      <c r="R87" s="413">
        <f t="shared" si="542"/>
        <v>-9.1240875912408814E-2</v>
      </c>
      <c r="S87" s="413">
        <f t="shared" si="542"/>
        <v>0.12875536480686689</v>
      </c>
      <c r="T87" s="413">
        <f t="shared" si="542"/>
        <v>5.555555555555558E-2</v>
      </c>
      <c r="U87" s="413">
        <f t="shared" si="542"/>
        <v>0.15354330708661412</v>
      </c>
      <c r="V87" s="413">
        <f t="shared" si="542"/>
        <v>0.14457831325301207</v>
      </c>
      <c r="W87" s="413">
        <f t="shared" si="542"/>
        <v>0.209125475285171</v>
      </c>
      <c r="X87" s="413">
        <f t="shared" si="542"/>
        <v>0.3270676691729324</v>
      </c>
      <c r="Y87" s="413">
        <f t="shared" si="542"/>
        <v>0.10580204778156999</v>
      </c>
      <c r="Z87" s="413">
        <f t="shared" si="542"/>
        <v>0.21754385964912282</v>
      </c>
      <c r="AA87" s="413">
        <f t="shared" ref="AA87:AJ89" si="543">AA50/W50-1</f>
        <v>9.4339622641509413E-2</v>
      </c>
      <c r="AB87" s="413">
        <f t="shared" si="543"/>
        <v>-6.5155807365439133E-2</v>
      </c>
      <c r="AC87" s="413">
        <f t="shared" si="543"/>
        <v>0.11728395061728403</v>
      </c>
      <c r="AD87" s="413">
        <f t="shared" si="543"/>
        <v>0.11527377521613835</v>
      </c>
      <c r="AE87" s="413">
        <f t="shared" si="543"/>
        <v>0.14942528735632177</v>
      </c>
      <c r="AF87" s="413">
        <f t="shared" si="543"/>
        <v>0.27272727272727271</v>
      </c>
      <c r="AG87" s="413">
        <f t="shared" si="543"/>
        <v>0.16022099447513805</v>
      </c>
      <c r="AH87" s="413">
        <f t="shared" si="543"/>
        <v>0.19121447028423777</v>
      </c>
      <c r="AI87" s="413">
        <f t="shared" si="543"/>
        <v>0.25249999999999995</v>
      </c>
      <c r="AJ87" s="413">
        <f t="shared" si="543"/>
        <v>0.12857142857142856</v>
      </c>
      <c r="AK87" s="413">
        <f t="shared" ref="AK87:AT89" si="544">AK50/AG50-1</f>
        <v>0.10000000000000009</v>
      </c>
      <c r="AL87" s="413">
        <f t="shared" si="544"/>
        <v>2.6030368763557465E-2</v>
      </c>
      <c r="AM87" s="413">
        <f t="shared" si="544"/>
        <v>5.9880239520957446E-3</v>
      </c>
      <c r="AN87" s="413">
        <f t="shared" si="544"/>
        <v>0.10126582278481022</v>
      </c>
      <c r="AO87" s="413">
        <f t="shared" si="544"/>
        <v>9.3073593073593086E-2</v>
      </c>
      <c r="AP87" s="413">
        <f t="shared" si="544"/>
        <v>0.14587737843551807</v>
      </c>
      <c r="AQ87" s="413">
        <f t="shared" si="544"/>
        <v>8.9285714285714191E-2</v>
      </c>
      <c r="AR87" s="413">
        <f t="shared" si="544"/>
        <v>0.14176245210727978</v>
      </c>
      <c r="AS87" s="413">
        <f t="shared" si="544"/>
        <v>0.15841584158415833</v>
      </c>
      <c r="AT87" s="413">
        <f t="shared" si="544"/>
        <v>0.18634686346863472</v>
      </c>
      <c r="AU87" s="413">
        <f t="shared" ref="AU87:BD89" si="545">AU50/AQ50-1</f>
        <v>0.12021857923497259</v>
      </c>
      <c r="AV87" s="413">
        <f t="shared" si="545"/>
        <v>0.13087248322147649</v>
      </c>
      <c r="AW87" s="413">
        <f t="shared" si="545"/>
        <v>0.14017094017094012</v>
      </c>
      <c r="AX87" s="413">
        <f t="shared" si="545"/>
        <v>-9.9533437013996862E-2</v>
      </c>
      <c r="AY87" s="413">
        <f t="shared" si="545"/>
        <v>-0.12032520325203255</v>
      </c>
      <c r="AZ87" s="413">
        <f t="shared" si="545"/>
        <v>-9.4955489614243271E-2</v>
      </c>
      <c r="BA87" s="413">
        <f t="shared" si="545"/>
        <v>-4.9475262368815609E-2</v>
      </c>
      <c r="BB87" s="413">
        <f t="shared" si="545"/>
        <v>0.1312607944732298</v>
      </c>
      <c r="BC87" s="413">
        <f t="shared" si="545"/>
        <v>0.10351201478743066</v>
      </c>
      <c r="BD87" s="413">
        <f t="shared" si="545"/>
        <v>9.8360655737705915E-3</v>
      </c>
      <c r="BE87" s="413">
        <f t="shared" ref="BE87:BM89" si="546">BE50/BA50-1</f>
        <v>-3.3123028391167209E-2</v>
      </c>
      <c r="BF87" s="413">
        <f t="shared" si="546"/>
        <v>-1.6793893129770976E-2</v>
      </c>
      <c r="BG87" s="413">
        <f t="shared" si="546"/>
        <v>6.7001675041876041E-2</v>
      </c>
      <c r="BH87" s="413">
        <f t="shared" si="546"/>
        <v>0.10551948051948057</v>
      </c>
      <c r="BI87" s="413">
        <f t="shared" si="546"/>
        <v>8.3197389885807604E-2</v>
      </c>
      <c r="BJ87" s="413">
        <f t="shared" si="546"/>
        <v>4.0372670807453437E-2</v>
      </c>
      <c r="BK87" s="413">
        <f t="shared" si="546"/>
        <v>5.180533751962324E-2</v>
      </c>
      <c r="BL87" s="413">
        <f t="shared" si="546"/>
        <v>-1.1747430249632873E-2</v>
      </c>
      <c r="BM87" s="413">
        <f t="shared" si="546"/>
        <v>-5.2710843373493965E-2</v>
      </c>
      <c r="BN87" s="413">
        <f t="shared" ref="BN87:BR87" si="547">BN50/BJ50-1</f>
        <v>-3.8805970149253688E-2</v>
      </c>
      <c r="BO87" s="413">
        <f t="shared" si="547"/>
        <v>-0.10447761194029848</v>
      </c>
      <c r="BP87" s="413">
        <f t="shared" si="547"/>
        <v>-0.12481426448736999</v>
      </c>
      <c r="BQ87" s="413">
        <f t="shared" si="547"/>
        <v>-0.11446740858505566</v>
      </c>
      <c r="BR87" s="413">
        <f t="shared" si="547"/>
        <v>-0.12577639751552794</v>
      </c>
      <c r="BS87" s="413">
        <f t="shared" ref="BS87:BZ89" si="548">BS50/BO50-1</f>
        <v>-0.14666666666666661</v>
      </c>
      <c r="BT87" s="413">
        <f t="shared" si="548"/>
        <v>-5.2631578947368474E-2</v>
      </c>
      <c r="BU87" s="413">
        <f t="shared" si="548"/>
        <v>-5.0000000000000044E-2</v>
      </c>
      <c r="BV87" s="413">
        <f t="shared" si="548"/>
        <v>-4.9999999999999933E-2</v>
      </c>
      <c r="BW87" s="413">
        <f t="shared" si="548"/>
        <v>-5.0000000000000044E-2</v>
      </c>
      <c r="BX87" s="413">
        <f t="shared" si="548"/>
        <v>-4.9999999999999933E-2</v>
      </c>
      <c r="BY87" s="413">
        <f t="shared" si="548"/>
        <v>-5.0000000000000044E-2</v>
      </c>
      <c r="BZ87" s="413">
        <f t="shared" si="548"/>
        <v>-5.0000000000000044E-2</v>
      </c>
      <c r="CA87" s="413"/>
      <c r="CB87" s="413"/>
      <c r="CC87" s="413"/>
      <c r="CD87" s="413"/>
      <c r="CE87" s="413"/>
      <c r="CF87" s="413"/>
      <c r="CG87" s="413"/>
      <c r="CH87" s="413"/>
      <c r="CI87" s="413"/>
      <c r="CJ87" s="413"/>
      <c r="CK87" s="413"/>
      <c r="CL87" s="413"/>
      <c r="CM87" s="413"/>
      <c r="CN87" s="413"/>
      <c r="CO87" s="413"/>
      <c r="CP87" s="413"/>
      <c r="CQ87" s="413"/>
      <c r="CR87" s="413"/>
      <c r="CS87" s="413"/>
      <c r="CT87" s="413"/>
      <c r="CU87" s="413"/>
      <c r="CV87" s="413"/>
      <c r="CW87" s="413"/>
      <c r="CX87" s="413"/>
      <c r="CY87" s="413"/>
      <c r="CZ87" s="413"/>
      <c r="DA87" s="413"/>
      <c r="DB87" s="413"/>
      <c r="DC87" s="413"/>
      <c r="DD87" s="413"/>
      <c r="DE87" s="413"/>
      <c r="DF87" s="413"/>
      <c r="DG87" s="412"/>
      <c r="DH87" s="315"/>
      <c r="DI87" s="315"/>
      <c r="DJ87" s="315"/>
      <c r="DK87" s="315"/>
      <c r="DL87" s="315"/>
      <c r="DM87" s="315"/>
      <c r="DN87" s="315"/>
      <c r="DO87" s="315"/>
      <c r="DP87" s="316">
        <f t="shared" ref="DP87:EI87" si="549">DP50/DO50-1</f>
        <v>0.14999999999999991</v>
      </c>
      <c r="DQ87" s="316">
        <f t="shared" si="549"/>
        <v>6.9611057361945283E-2</v>
      </c>
      <c r="DR87" s="316">
        <f t="shared" si="549"/>
        <v>4.5090180360721543E-2</v>
      </c>
      <c r="DS87" s="316">
        <f t="shared" si="549"/>
        <v>-5.2732502396931946E-2</v>
      </c>
      <c r="DT87" s="316">
        <f t="shared" si="549"/>
        <v>0.12044534412955477</v>
      </c>
      <c r="DU87" s="316">
        <f t="shared" si="549"/>
        <v>0.21228545618789529</v>
      </c>
      <c r="DV87" s="316">
        <f t="shared" si="549"/>
        <v>6.3338301043219136E-2</v>
      </c>
      <c r="DW87" s="316">
        <f t="shared" si="549"/>
        <v>0.19201121233356688</v>
      </c>
      <c r="DX87" s="316">
        <f t="shared" si="549"/>
        <v>0.12286890064667833</v>
      </c>
      <c r="DY87" s="316">
        <f t="shared" si="549"/>
        <v>8.534031413612575E-2</v>
      </c>
      <c r="DZ87" s="316">
        <f t="shared" si="549"/>
        <v>0.14471780028943559</v>
      </c>
      <c r="EA87" s="316">
        <f t="shared" si="549"/>
        <v>6.8268015170670049E-2</v>
      </c>
      <c r="EB87" s="316">
        <f t="shared" si="549"/>
        <v>-3.7475345167652829E-2</v>
      </c>
      <c r="EC87" s="316">
        <f t="shared" si="549"/>
        <v>1.2295081967213184E-2</v>
      </c>
      <c r="ED87" s="316">
        <f t="shared" si="549"/>
        <v>7.3684210526315796E-2</v>
      </c>
      <c r="EE87" s="316">
        <f t="shared" si="549"/>
        <v>-1.3574660633484115E-2</v>
      </c>
      <c r="EF87" s="316">
        <f t="shared" si="549"/>
        <v>-0.11735474006116209</v>
      </c>
      <c r="EG87" s="316">
        <f t="shared" si="549"/>
        <v>-5.0000000000000044E-3</v>
      </c>
      <c r="EH87" s="316">
        <f t="shared" si="549"/>
        <v>-5.0000000000000044E-3</v>
      </c>
      <c r="EI87" s="316">
        <f t="shared" si="549"/>
        <v>-5.0000000000001155E-3</v>
      </c>
      <c r="EJ87" s="316"/>
      <c r="EK87" s="316"/>
      <c r="EL87" s="316"/>
      <c r="EM87" s="316"/>
      <c r="FD87" s="404"/>
      <c r="FE87" s="404"/>
      <c r="FF87" s="405"/>
      <c r="FG87" s="360"/>
      <c r="FH87" s="404"/>
      <c r="FI87" s="404"/>
      <c r="FJ87" s="404"/>
    </row>
    <row r="88" spans="1:166" s="381" customFormat="1" ht="12.75" customHeight="1" x14ac:dyDescent="0.2">
      <c r="A88" s="229"/>
      <c r="B88" s="353" t="s">
        <v>129</v>
      </c>
      <c r="C88" s="408"/>
      <c r="D88" s="408"/>
      <c r="E88" s="408"/>
      <c r="F88" s="408"/>
      <c r="G88" s="413">
        <f t="shared" si="541"/>
        <v>-6.0000000000000053E-2</v>
      </c>
      <c r="H88" s="413">
        <f t="shared" si="541"/>
        <v>-8.0000000000000071E-2</v>
      </c>
      <c r="I88" s="413">
        <f t="shared" si="541"/>
        <v>-6.0000000000000053E-2</v>
      </c>
      <c r="J88" s="413">
        <f t="shared" si="541"/>
        <v>1.0638297872340496E-2</v>
      </c>
      <c r="K88" s="413">
        <f t="shared" si="541"/>
        <v>-2.5000000000000022E-2</v>
      </c>
      <c r="L88" s="413">
        <f t="shared" si="541"/>
        <v>0</v>
      </c>
      <c r="M88" s="413">
        <f t="shared" si="541"/>
        <v>8.9285714285713969E-3</v>
      </c>
      <c r="N88" s="413">
        <f t="shared" si="541"/>
        <v>-0.15438596491228074</v>
      </c>
      <c r="O88" s="413">
        <f t="shared" si="541"/>
        <v>6.4102564102564097E-2</v>
      </c>
      <c r="P88" s="413">
        <f t="shared" si="541"/>
        <v>4.6025104602510414E-2</v>
      </c>
      <c r="Q88" s="413">
        <f t="shared" si="542"/>
        <v>5.3097345132743445E-2</v>
      </c>
      <c r="R88" s="413">
        <f t="shared" si="542"/>
        <v>0</v>
      </c>
      <c r="S88" s="413">
        <f t="shared" si="542"/>
        <v>5.6224899598393607E-2</v>
      </c>
      <c r="T88" s="413">
        <f t="shared" si="542"/>
        <v>1.6000000000000014E-2</v>
      </c>
      <c r="U88" s="413">
        <f t="shared" si="542"/>
        <v>6.7226890756302504E-2</v>
      </c>
      <c r="V88" s="413">
        <f t="shared" si="542"/>
        <v>4.5643153526971014E-2</v>
      </c>
      <c r="W88" s="413">
        <f t="shared" si="542"/>
        <v>2.281368821292773E-2</v>
      </c>
      <c r="X88" s="413">
        <f t="shared" si="542"/>
        <v>5.9055118110236116E-2</v>
      </c>
      <c r="Y88" s="413">
        <f t="shared" si="542"/>
        <v>7.8740157480315043E-2</v>
      </c>
      <c r="Z88" s="413">
        <f t="shared" si="542"/>
        <v>0.11904761904761907</v>
      </c>
      <c r="AA88" s="413">
        <f t="shared" si="543"/>
        <v>6.3197026022304925E-2</v>
      </c>
      <c r="AB88" s="413">
        <f t="shared" si="543"/>
        <v>9.2936802973977661E-2</v>
      </c>
      <c r="AC88" s="413">
        <f t="shared" si="543"/>
        <v>4.7445255474452663E-2</v>
      </c>
      <c r="AD88" s="413">
        <f t="shared" si="543"/>
        <v>9.5744680851063801E-2</v>
      </c>
      <c r="AE88" s="413">
        <f t="shared" si="543"/>
        <v>5.9440559440559371E-2</v>
      </c>
      <c r="AF88" s="413">
        <f t="shared" si="543"/>
        <v>7.8231292517006779E-2</v>
      </c>
      <c r="AG88" s="413">
        <f t="shared" si="543"/>
        <v>7.6655052264808399E-2</v>
      </c>
      <c r="AH88" s="413">
        <f t="shared" si="543"/>
        <v>0.11326860841423958</v>
      </c>
      <c r="AI88" s="413">
        <f t="shared" si="543"/>
        <v>0.1716171617161717</v>
      </c>
      <c r="AJ88" s="413">
        <f t="shared" si="543"/>
        <v>0.15457413249211349</v>
      </c>
      <c r="AK88" s="413">
        <f t="shared" si="544"/>
        <v>0.11003236245954695</v>
      </c>
      <c r="AL88" s="413">
        <f t="shared" si="544"/>
        <v>0</v>
      </c>
      <c r="AM88" s="413">
        <f t="shared" si="544"/>
        <v>4.2253521126760507E-2</v>
      </c>
      <c r="AN88" s="413">
        <f t="shared" si="544"/>
        <v>5.464480874316946E-3</v>
      </c>
      <c r="AO88" s="413">
        <f t="shared" si="544"/>
        <v>4.9562682215743337E-2</v>
      </c>
      <c r="AP88" s="413">
        <f t="shared" si="544"/>
        <v>0.13372093023255816</v>
      </c>
      <c r="AQ88" s="413">
        <f t="shared" si="544"/>
        <v>6.2162162162162193E-2</v>
      </c>
      <c r="AR88" s="413">
        <f t="shared" si="544"/>
        <v>0.10326086956521729</v>
      </c>
      <c r="AS88" s="413">
        <f t="shared" si="544"/>
        <v>0.12222222222222223</v>
      </c>
      <c r="AT88" s="413">
        <f t="shared" si="544"/>
        <v>0.1692307692307693</v>
      </c>
      <c r="AU88" s="413">
        <f t="shared" si="545"/>
        <v>0.12722646310432562</v>
      </c>
      <c r="AV88" s="413">
        <f t="shared" si="545"/>
        <v>0.17241379310344818</v>
      </c>
      <c r="AW88" s="413">
        <f t="shared" si="545"/>
        <v>0.16336633663366329</v>
      </c>
      <c r="AX88" s="413">
        <f t="shared" si="545"/>
        <v>-8.7719298245614308E-3</v>
      </c>
      <c r="AY88" s="413">
        <f t="shared" si="545"/>
        <v>5.4176072234763062E-2</v>
      </c>
      <c r="AZ88" s="413">
        <f t="shared" si="545"/>
        <v>3.7815126050420256E-2</v>
      </c>
      <c r="BA88" s="413">
        <f t="shared" si="545"/>
        <v>6.5957446808510678E-2</v>
      </c>
      <c r="BB88" s="413">
        <f t="shared" si="545"/>
        <v>0.1084070796460177</v>
      </c>
      <c r="BC88" s="413">
        <f t="shared" si="545"/>
        <v>0.12419700214132767</v>
      </c>
      <c r="BD88" s="413">
        <f t="shared" si="545"/>
        <v>0</v>
      </c>
      <c r="BE88" s="413">
        <f t="shared" si="546"/>
        <v>-5.9880239520958556E-3</v>
      </c>
      <c r="BF88" s="413">
        <f t="shared" si="546"/>
        <v>6.9860279441117834E-2</v>
      </c>
      <c r="BG88" s="413">
        <f t="shared" si="546"/>
        <v>-7.6190476190476364E-3</v>
      </c>
      <c r="BH88" s="413">
        <f t="shared" si="546"/>
        <v>0.11336032388663964</v>
      </c>
      <c r="BI88" s="413">
        <f t="shared" si="546"/>
        <v>8.2329317269076219E-2</v>
      </c>
      <c r="BJ88" s="413">
        <f t="shared" si="546"/>
        <v>3.3582089552238736E-2</v>
      </c>
      <c r="BK88" s="413">
        <f t="shared" si="546"/>
        <v>-1.7274472168905985E-2</v>
      </c>
      <c r="BL88" s="413">
        <f t="shared" si="546"/>
        <v>-6.5454545454545432E-2</v>
      </c>
      <c r="BM88" s="413">
        <f t="shared" si="546"/>
        <v>-4.8237476808905333E-2</v>
      </c>
      <c r="BN88" s="413">
        <f t="shared" ref="BN88:BR88" si="550">BN51/BJ51-1</f>
        <v>-4.3321299638989119E-2</v>
      </c>
      <c r="BO88" s="413">
        <f t="shared" si="550"/>
        <v>-6.8359375E-2</v>
      </c>
      <c r="BP88" s="413">
        <f t="shared" si="550"/>
        <v>-6.0311284046692615E-2</v>
      </c>
      <c r="BQ88" s="413">
        <f t="shared" si="550"/>
        <v>-0.10526315789473684</v>
      </c>
      <c r="BR88" s="413">
        <f t="shared" si="550"/>
        <v>-0.12075471698113205</v>
      </c>
      <c r="BS88" s="413">
        <f t="shared" si="548"/>
        <v>-7.1278825995807149E-2</v>
      </c>
      <c r="BT88" s="413">
        <f t="shared" si="548"/>
        <v>-4.554865424430643E-2</v>
      </c>
      <c r="BU88" s="413">
        <f t="shared" si="548"/>
        <v>-1</v>
      </c>
      <c r="BV88" s="413">
        <f t="shared" si="548"/>
        <v>-1</v>
      </c>
      <c r="BW88" s="413">
        <f t="shared" si="548"/>
        <v>-1</v>
      </c>
      <c r="BX88" s="413">
        <f t="shared" si="548"/>
        <v>-1</v>
      </c>
      <c r="BY88" s="413" t="e">
        <f t="shared" si="548"/>
        <v>#DIV/0!</v>
      </c>
      <c r="BZ88" s="413" t="e">
        <f t="shared" si="548"/>
        <v>#DIV/0!</v>
      </c>
      <c r="CA88" s="413"/>
      <c r="CB88" s="413"/>
      <c r="CC88" s="413"/>
      <c r="CD88" s="413"/>
      <c r="CE88" s="413"/>
      <c r="CF88" s="413"/>
      <c r="CG88" s="413"/>
      <c r="CH88" s="413"/>
      <c r="CI88" s="413"/>
      <c r="CJ88" s="413"/>
      <c r="CK88" s="413"/>
      <c r="CL88" s="413"/>
      <c r="CM88" s="413"/>
      <c r="CN88" s="413"/>
      <c r="CO88" s="413"/>
      <c r="CP88" s="413"/>
      <c r="CQ88" s="413"/>
      <c r="CR88" s="413"/>
      <c r="CS88" s="413"/>
      <c r="CT88" s="413"/>
      <c r="CU88" s="413"/>
      <c r="CV88" s="413"/>
      <c r="CW88" s="413"/>
      <c r="CX88" s="413"/>
      <c r="CY88" s="413"/>
      <c r="CZ88" s="413"/>
      <c r="DA88" s="413"/>
      <c r="DB88" s="413"/>
      <c r="DC88" s="413"/>
      <c r="DD88" s="413"/>
      <c r="DE88" s="413"/>
      <c r="DF88" s="413"/>
      <c r="DG88" s="412"/>
      <c r="DH88" s="315"/>
      <c r="DI88" s="315"/>
      <c r="DJ88" s="315"/>
      <c r="DK88" s="315"/>
      <c r="DL88" s="315"/>
      <c r="DM88" s="315"/>
      <c r="DN88" s="315"/>
      <c r="DO88" s="315"/>
      <c r="DP88" s="316">
        <f t="shared" ref="DP88:EI88" si="551">DP51/DO51-1</f>
        <v>-4.0000000000000147E-2</v>
      </c>
      <c r="DQ88" s="316">
        <f t="shared" si="551"/>
        <v>-5.0000000000000044E-2</v>
      </c>
      <c r="DR88" s="316">
        <f t="shared" si="551"/>
        <v>-4.8582995951417018E-2</v>
      </c>
      <c r="DS88" s="316">
        <f t="shared" si="551"/>
        <v>4.042553191489362E-2</v>
      </c>
      <c r="DT88" s="316">
        <f t="shared" si="551"/>
        <v>4.6012269938650263E-2</v>
      </c>
      <c r="DU88" s="316">
        <f t="shared" si="551"/>
        <v>6.9403714565004826E-2</v>
      </c>
      <c r="DV88" s="316">
        <f t="shared" si="551"/>
        <v>7.4954296160877565E-2</v>
      </c>
      <c r="DW88" s="316">
        <f t="shared" si="551"/>
        <v>8.2482993197278809E-2</v>
      </c>
      <c r="DX88" s="316">
        <f t="shared" si="551"/>
        <v>0.10604870384917509</v>
      </c>
      <c r="DY88" s="316">
        <f t="shared" si="551"/>
        <v>5.6818181818181879E-2</v>
      </c>
      <c r="DZ88" s="316">
        <f t="shared" si="551"/>
        <v>0.11491935483870974</v>
      </c>
      <c r="EA88" s="316">
        <f t="shared" si="551"/>
        <v>0.10970464135021096</v>
      </c>
      <c r="EB88" s="316">
        <f t="shared" si="551"/>
        <v>6.6268332428028209E-2</v>
      </c>
      <c r="EC88" s="316">
        <f t="shared" si="551"/>
        <v>4.5848191543555794E-2</v>
      </c>
      <c r="ED88" s="316">
        <f t="shared" si="551"/>
        <v>5.4067218704335174E-2</v>
      </c>
      <c r="EE88" s="316">
        <f t="shared" si="551"/>
        <v>-4.3900184842883494E-2</v>
      </c>
      <c r="EF88" s="316">
        <f t="shared" si="551"/>
        <v>-8.8931851135814366E-2</v>
      </c>
      <c r="EG88" s="316">
        <f t="shared" si="551"/>
        <v>-5.0000000000000044E-3</v>
      </c>
      <c r="EH88" s="316">
        <f t="shared" si="551"/>
        <v>-4.9999999999998934E-3</v>
      </c>
      <c r="EI88" s="316">
        <f t="shared" si="551"/>
        <v>-5.0000000000000044E-3</v>
      </c>
      <c r="EJ88" s="316"/>
      <c r="EK88" s="316"/>
      <c r="EL88" s="316"/>
      <c r="EM88" s="316"/>
      <c r="FD88" s="404"/>
      <c r="FE88" s="404"/>
      <c r="FF88" s="405"/>
      <c r="FG88" s="360"/>
      <c r="FH88" s="405"/>
      <c r="FI88" s="404"/>
      <c r="FJ88" s="404"/>
    </row>
    <row r="89" spans="1:166" s="381" customFormat="1" ht="12.75" customHeight="1" x14ac:dyDescent="0.2">
      <c r="A89" s="229"/>
      <c r="B89" s="353" t="s">
        <v>132</v>
      </c>
      <c r="C89" s="408"/>
      <c r="D89" s="408"/>
      <c r="E89" s="408"/>
      <c r="F89" s="408"/>
      <c r="G89" s="413">
        <f t="shared" si="541"/>
        <v>3.0000000000000027E-2</v>
      </c>
      <c r="H89" s="413">
        <f t="shared" si="541"/>
        <v>0</v>
      </c>
      <c r="I89" s="413">
        <f t="shared" si="541"/>
        <v>-1.8333333333333313E-2</v>
      </c>
      <c r="J89" s="413">
        <f t="shared" si="541"/>
        <v>6.7961165048543659E-2</v>
      </c>
      <c r="K89" s="413">
        <f t="shared" si="541"/>
        <v>6.7632850241545972E-2</v>
      </c>
      <c r="L89" s="413">
        <f t="shared" si="541"/>
        <v>0.11428571428571432</v>
      </c>
      <c r="M89" s="413">
        <f t="shared" si="541"/>
        <v>0.14746543778801846</v>
      </c>
      <c r="N89" s="413">
        <f t="shared" si="541"/>
        <v>5.9090909090909083E-2</v>
      </c>
      <c r="O89" s="413">
        <f t="shared" si="541"/>
        <v>9.5022624434389247E-2</v>
      </c>
      <c r="P89" s="413">
        <f t="shared" si="541"/>
        <v>8.9743589743589647E-2</v>
      </c>
      <c r="Q89" s="413">
        <f t="shared" si="542"/>
        <v>0.10040160642570273</v>
      </c>
      <c r="R89" s="413">
        <f t="shared" si="542"/>
        <v>0.11587982832618016</v>
      </c>
      <c r="S89" s="413">
        <f t="shared" si="542"/>
        <v>9.0909090909090828E-2</v>
      </c>
      <c r="T89" s="413">
        <f t="shared" si="542"/>
        <v>3.9215686274509887E-2</v>
      </c>
      <c r="U89" s="413">
        <f t="shared" si="542"/>
        <v>2.9197080291970767E-2</v>
      </c>
      <c r="V89" s="413">
        <f t="shared" si="542"/>
        <v>-3.0769230769230771E-2</v>
      </c>
      <c r="W89" s="413">
        <f t="shared" si="542"/>
        <v>2.2727272727272707E-2</v>
      </c>
      <c r="X89" s="413">
        <f t="shared" si="542"/>
        <v>8.679245283018866E-2</v>
      </c>
      <c r="Y89" s="413">
        <f t="shared" si="542"/>
        <v>0.1063829787234043</v>
      </c>
      <c r="Z89" s="413">
        <f t="shared" si="542"/>
        <v>0.18253968253968256</v>
      </c>
      <c r="AA89" s="413">
        <f t="shared" si="543"/>
        <v>0.11111111111111116</v>
      </c>
      <c r="AB89" s="413">
        <f t="shared" si="543"/>
        <v>0.10069444444444442</v>
      </c>
      <c r="AC89" s="413">
        <f t="shared" si="543"/>
        <v>9.6153846153846256E-2</v>
      </c>
      <c r="AD89" s="413">
        <f t="shared" si="543"/>
        <v>0.13758389261744974</v>
      </c>
      <c r="AE89" s="413">
        <f t="shared" si="543"/>
        <v>0.17999999999999994</v>
      </c>
      <c r="AF89" s="413">
        <f t="shared" si="543"/>
        <v>0.18927444794952675</v>
      </c>
      <c r="AG89" s="413">
        <f t="shared" si="543"/>
        <v>0.14619883040935666</v>
      </c>
      <c r="AH89" s="413">
        <f t="shared" si="543"/>
        <v>0.20058997050147487</v>
      </c>
      <c r="AI89" s="413">
        <f t="shared" si="543"/>
        <v>0.14971751412429368</v>
      </c>
      <c r="AJ89" s="413">
        <f t="shared" si="543"/>
        <v>0.12997347480106103</v>
      </c>
      <c r="AK89" s="413">
        <f t="shared" si="544"/>
        <v>0.13010204081632648</v>
      </c>
      <c r="AL89" s="413">
        <f t="shared" si="544"/>
        <v>2.7027027027026973E-2</v>
      </c>
      <c r="AM89" s="413">
        <f t="shared" si="544"/>
        <v>8.3538083538083452E-2</v>
      </c>
      <c r="AN89" s="413">
        <f t="shared" si="544"/>
        <v>0.11267605633802824</v>
      </c>
      <c r="AO89" s="413">
        <f t="shared" si="544"/>
        <v>0.1128668171557563</v>
      </c>
      <c r="AP89" s="413">
        <f t="shared" si="544"/>
        <v>0.12679425837320579</v>
      </c>
      <c r="AQ89" s="413">
        <f t="shared" si="544"/>
        <v>0.16326530612244894</v>
      </c>
      <c r="AR89" s="413">
        <f t="shared" si="544"/>
        <v>0.16666666666666674</v>
      </c>
      <c r="AS89" s="413">
        <f t="shared" si="544"/>
        <v>0.17038539553752541</v>
      </c>
      <c r="AT89" s="413">
        <f t="shared" si="544"/>
        <v>0.20169851380042458</v>
      </c>
      <c r="AU89" s="413">
        <f t="shared" si="545"/>
        <v>0.18323586744639386</v>
      </c>
      <c r="AV89" s="413">
        <f t="shared" si="545"/>
        <v>0.15551537070524413</v>
      </c>
      <c r="AW89" s="413">
        <f t="shared" si="545"/>
        <v>0.12998266897746968</v>
      </c>
      <c r="AX89" s="413">
        <f t="shared" si="545"/>
        <v>6.360424028268552E-2</v>
      </c>
      <c r="AY89" s="413">
        <f t="shared" si="545"/>
        <v>-1.3179571663920919E-2</v>
      </c>
      <c r="AZ89" s="413">
        <f t="shared" si="545"/>
        <v>-1.4084507042253502E-2</v>
      </c>
      <c r="BA89" s="413">
        <f t="shared" si="545"/>
        <v>1.0736196319018454E-2</v>
      </c>
      <c r="BB89" s="413">
        <f t="shared" si="545"/>
        <v>2.6578073089700949E-2</v>
      </c>
      <c r="BC89" s="413">
        <f t="shared" si="545"/>
        <v>0.10851419031719534</v>
      </c>
      <c r="BD89" s="413">
        <f t="shared" si="545"/>
        <v>5.0793650793650835E-2</v>
      </c>
      <c r="BE89" s="413">
        <f t="shared" si="546"/>
        <v>5.4628224582701002E-2</v>
      </c>
      <c r="BF89" s="413">
        <f t="shared" si="546"/>
        <v>6.6343042071197456E-2</v>
      </c>
      <c r="BG89" s="413">
        <f t="shared" si="546"/>
        <v>8.7349397590361422E-2</v>
      </c>
      <c r="BH89" s="413">
        <f t="shared" si="546"/>
        <v>0.10574018126888207</v>
      </c>
      <c r="BI89" s="413">
        <f t="shared" si="546"/>
        <v>8.2014388489208612E-2</v>
      </c>
      <c r="BJ89" s="413">
        <f t="shared" si="546"/>
        <v>7.7389984825493086E-2</v>
      </c>
      <c r="BK89" s="413">
        <f t="shared" si="546"/>
        <v>4.8476454293628901E-2</v>
      </c>
      <c r="BL89" s="413">
        <f t="shared" si="546"/>
        <v>-2.732240437158473E-3</v>
      </c>
      <c r="BM89" s="413">
        <f t="shared" si="546"/>
        <v>1.5957446808510634E-2</v>
      </c>
      <c r="BN89" s="413">
        <f t="shared" ref="BN89:BR89" si="552">BN52/BJ52-1</f>
        <v>4.9295774647887258E-2</v>
      </c>
      <c r="BO89" s="413">
        <f t="shared" si="552"/>
        <v>-2.2457067371202122E-2</v>
      </c>
      <c r="BP89" s="413">
        <f t="shared" si="552"/>
        <v>0</v>
      </c>
      <c r="BQ89" s="413">
        <f t="shared" si="552"/>
        <v>-2.0942408376963373E-2</v>
      </c>
      <c r="BR89" s="413">
        <f t="shared" si="552"/>
        <v>-3.4899328859060441E-2</v>
      </c>
      <c r="BS89" s="413">
        <f t="shared" si="548"/>
        <v>2.8378378378378422E-2</v>
      </c>
      <c r="BT89" s="413">
        <f t="shared" si="548"/>
        <v>-3.150684931506853E-2</v>
      </c>
      <c r="BU89" s="413">
        <f t="shared" si="548"/>
        <v>-4.9999999999999933E-2</v>
      </c>
      <c r="BV89" s="413">
        <f t="shared" si="548"/>
        <v>-5.0000000000000044E-2</v>
      </c>
      <c r="BW89" s="413">
        <f t="shared" si="548"/>
        <v>-5.0000000000000044E-2</v>
      </c>
      <c r="BX89" s="413">
        <f t="shared" si="548"/>
        <v>-5.0000000000000044E-2</v>
      </c>
      <c r="BY89" s="413">
        <f t="shared" si="548"/>
        <v>-5.0000000000000155E-2</v>
      </c>
      <c r="BZ89" s="413">
        <f t="shared" si="548"/>
        <v>-5.0000000000000044E-2</v>
      </c>
      <c r="CA89" s="413"/>
      <c r="CB89" s="413"/>
      <c r="CC89" s="413"/>
      <c r="CD89" s="413"/>
      <c r="CE89" s="413"/>
      <c r="CF89" s="413"/>
      <c r="CG89" s="413"/>
      <c r="CH89" s="413"/>
      <c r="CI89" s="413"/>
      <c r="CJ89" s="413"/>
      <c r="CK89" s="413"/>
      <c r="CL89" s="413"/>
      <c r="CM89" s="413"/>
      <c r="CN89" s="413"/>
      <c r="CO89" s="413"/>
      <c r="CP89" s="413"/>
      <c r="CQ89" s="413"/>
      <c r="CR89" s="413"/>
      <c r="CS89" s="413"/>
      <c r="CT89" s="413"/>
      <c r="CU89" s="413"/>
      <c r="CV89" s="413"/>
      <c r="CW89" s="413"/>
      <c r="CX89" s="413"/>
      <c r="CY89" s="413"/>
      <c r="CZ89" s="413"/>
      <c r="DA89" s="413"/>
      <c r="DB89" s="413"/>
      <c r="DC89" s="413"/>
      <c r="DD89" s="413"/>
      <c r="DE89" s="413"/>
      <c r="DF89" s="413"/>
      <c r="DG89" s="412"/>
      <c r="DH89" s="315"/>
      <c r="DI89" s="315"/>
      <c r="DJ89" s="315"/>
      <c r="DK89" s="315"/>
      <c r="DL89" s="315"/>
      <c r="DM89" s="315"/>
      <c r="DN89" s="315"/>
      <c r="DO89" s="315"/>
      <c r="DP89" s="316">
        <f t="shared" ref="DP89:EI89" si="553">DP52/DO52-1</f>
        <v>0.16999999999999993</v>
      </c>
      <c r="DQ89" s="316">
        <f t="shared" si="553"/>
        <v>9.4562647754137252E-3</v>
      </c>
      <c r="DR89" s="316">
        <f t="shared" si="553"/>
        <v>0.11592505854800939</v>
      </c>
      <c r="DS89" s="316">
        <f t="shared" si="553"/>
        <v>8.1846799580272744E-2</v>
      </c>
      <c r="DT89" s="316">
        <f t="shared" si="553"/>
        <v>3.1037827352085268E-2</v>
      </c>
      <c r="DU89" s="316">
        <f t="shared" si="553"/>
        <v>9.8777046095954946E-2</v>
      </c>
      <c r="DV89" s="316">
        <f t="shared" si="553"/>
        <v>0.11130136986301364</v>
      </c>
      <c r="DW89" s="316">
        <f t="shared" si="553"/>
        <v>0.17873651771956856</v>
      </c>
      <c r="DX89" s="316">
        <f t="shared" si="553"/>
        <v>0.10718954248366019</v>
      </c>
      <c r="DY89" s="316">
        <f t="shared" si="553"/>
        <v>0.10920897284533648</v>
      </c>
      <c r="DZ89" s="316">
        <f t="shared" si="553"/>
        <v>0.17562533262373603</v>
      </c>
      <c r="EA89" s="316">
        <f t="shared" si="553"/>
        <v>0.13173381620642832</v>
      </c>
      <c r="EB89" s="316">
        <f t="shared" si="553"/>
        <v>2.3999999999999577E-3</v>
      </c>
      <c r="EC89" s="316">
        <f t="shared" si="553"/>
        <v>6.9433359936153183E-2</v>
      </c>
      <c r="ED89" s="316">
        <f t="shared" si="553"/>
        <v>8.8059701492537279E-2</v>
      </c>
      <c r="EE89" s="316">
        <f t="shared" si="553"/>
        <v>2.7434842249657088E-2</v>
      </c>
      <c r="EF89" s="316">
        <f t="shared" si="553"/>
        <v>-1.9692923898531389E-2</v>
      </c>
      <c r="EG89" s="316">
        <f t="shared" si="553"/>
        <v>-5.0000000000000044E-3</v>
      </c>
      <c r="EH89" s="316">
        <f t="shared" si="553"/>
        <v>-5.0000000000000044E-3</v>
      </c>
      <c r="EI89" s="316">
        <f t="shared" si="553"/>
        <v>-5.0000000000000044E-3</v>
      </c>
      <c r="EJ89" s="316"/>
      <c r="EK89" s="316"/>
      <c r="EL89" s="316"/>
      <c r="EM89" s="316"/>
      <c r="EO89" s="315">
        <f>+EO52/EN52-1</f>
        <v>3.9005972696245728E-2</v>
      </c>
      <c r="EP89" s="315">
        <f t="shared" ref="EP89:EW89" si="554">+EP52/EO52-1</f>
        <v>-5.0000000000000044E-3</v>
      </c>
      <c r="EQ89" s="315">
        <f t="shared" si="554"/>
        <v>-4.9999999999998934E-3</v>
      </c>
      <c r="ER89" s="315">
        <f t="shared" si="554"/>
        <v>-5.0000000000001155E-3</v>
      </c>
      <c r="ES89" s="315">
        <f t="shared" si="554"/>
        <v>-5.0000000000000044E-3</v>
      </c>
      <c r="ET89" s="315">
        <f t="shared" si="554"/>
        <v>-5.0000000000000044E-3</v>
      </c>
      <c r="EU89" s="315">
        <f t="shared" si="554"/>
        <v>-5.0000000000001155E-3</v>
      </c>
      <c r="EV89" s="315">
        <f t="shared" si="554"/>
        <v>-5.0000000000000044E-3</v>
      </c>
      <c r="EW89" s="315">
        <f t="shared" si="554"/>
        <v>-5.0000000000000044E-3</v>
      </c>
      <c r="FD89" s="404"/>
      <c r="FE89" s="404"/>
      <c r="FF89" s="405"/>
      <c r="FG89" s="360"/>
      <c r="FH89" s="405"/>
      <c r="FI89" s="404"/>
      <c r="FJ89" s="404"/>
    </row>
    <row r="90" spans="1:166" ht="12.75" customHeight="1" x14ac:dyDescent="0.2">
      <c r="AE90" s="351"/>
      <c r="AF90" s="351"/>
      <c r="AG90" s="351"/>
      <c r="AH90" s="351"/>
      <c r="AI90" s="351"/>
      <c r="AJ90" s="351"/>
      <c r="AK90" s="351"/>
      <c r="AL90" s="351"/>
      <c r="AM90" s="351"/>
      <c r="AN90" s="313"/>
      <c r="AO90" s="313"/>
      <c r="AP90" s="313"/>
      <c r="AQ90" s="313"/>
      <c r="AR90" s="313"/>
      <c r="AS90" s="313"/>
      <c r="AT90" s="313"/>
      <c r="AU90" s="313"/>
      <c r="AV90" s="313"/>
      <c r="AW90" s="313"/>
      <c r="AX90" s="313"/>
      <c r="DH90" s="387"/>
      <c r="DI90" s="387"/>
      <c r="DJ90" s="387"/>
      <c r="DK90" s="387"/>
      <c r="DL90" s="387"/>
      <c r="DM90" s="387"/>
      <c r="DN90" s="387"/>
      <c r="DO90" s="387"/>
      <c r="DP90" s="387"/>
      <c r="DQ90" s="387"/>
      <c r="DR90" s="387"/>
      <c r="DS90" s="414"/>
      <c r="DT90" s="414"/>
      <c r="DU90" s="414"/>
      <c r="DV90" s="305"/>
      <c r="DW90" s="305"/>
      <c r="DX90" s="305"/>
      <c r="DY90" s="390"/>
      <c r="DZ90" s="390"/>
      <c r="EA90" s="390"/>
      <c r="EB90" s="390"/>
      <c r="EC90" s="390"/>
      <c r="ED90" s="387"/>
      <c r="EE90" s="387"/>
      <c r="EF90" s="387"/>
      <c r="EG90" s="387"/>
      <c r="EH90" s="387"/>
      <c r="EI90" s="387"/>
      <c r="EJ90" s="387"/>
      <c r="EK90" s="387"/>
      <c r="EL90" s="387"/>
      <c r="EM90" s="387"/>
      <c r="FD90" s="361"/>
      <c r="FE90" s="361"/>
      <c r="FF90" s="361"/>
      <c r="FG90" s="360"/>
      <c r="FH90" s="361"/>
      <c r="FI90" s="361"/>
      <c r="FJ90" s="361"/>
    </row>
    <row r="91" spans="1:166" ht="12.75" customHeight="1" x14ac:dyDescent="0.2">
      <c r="B91" s="353" t="s">
        <v>372</v>
      </c>
      <c r="C91" s="310">
        <f t="shared" ref="C91:AY91" si="555">C57/C55</f>
        <v>0.68993875765529311</v>
      </c>
      <c r="D91" s="310">
        <f t="shared" si="555"/>
        <v>0.693050193050193</v>
      </c>
      <c r="E91" s="310">
        <f t="shared" si="555"/>
        <v>0.68671679197994984</v>
      </c>
      <c r="F91" s="310">
        <f t="shared" si="555"/>
        <v>0.66589698046181167</v>
      </c>
      <c r="G91" s="310">
        <f t="shared" si="555"/>
        <v>0.69272004150095101</v>
      </c>
      <c r="H91" s="310">
        <f t="shared" si="555"/>
        <v>0.68822410513574273</v>
      </c>
      <c r="I91" s="310">
        <f t="shared" si="555"/>
        <v>0.69287211740041932</v>
      </c>
      <c r="J91" s="310">
        <f t="shared" si="555"/>
        <v>0.67048845610177477</v>
      </c>
      <c r="K91" s="310">
        <f t="shared" si="555"/>
        <v>0.69297981319674595</v>
      </c>
      <c r="L91" s="310">
        <f t="shared" si="555"/>
        <v>0.69565217391304346</v>
      </c>
      <c r="M91" s="310">
        <f t="shared" si="555"/>
        <v>0.69921469847384798</v>
      </c>
      <c r="N91" s="310">
        <f t="shared" si="555"/>
        <v>0.68285589646648248</v>
      </c>
      <c r="O91" s="310">
        <f t="shared" si="555"/>
        <v>0.69381062986746822</v>
      </c>
      <c r="P91" s="311">
        <f t="shared" si="555"/>
        <v>0.6995205114544486</v>
      </c>
      <c r="Q91" s="310">
        <f t="shared" si="555"/>
        <v>0.69752915047196007</v>
      </c>
      <c r="R91" s="310">
        <f t="shared" si="555"/>
        <v>0.69259988745075973</v>
      </c>
      <c r="S91" s="310">
        <f t="shared" si="555"/>
        <v>0.70748299319727892</v>
      </c>
      <c r="T91" s="311">
        <f t="shared" si="555"/>
        <v>0.71685447134979619</v>
      </c>
      <c r="U91" s="310">
        <f t="shared" si="555"/>
        <v>0.71048798252002909</v>
      </c>
      <c r="V91" s="310">
        <f t="shared" si="555"/>
        <v>0.70379626323931932</v>
      </c>
      <c r="W91" s="311">
        <f t="shared" si="555"/>
        <v>0.71897518014411532</v>
      </c>
      <c r="X91" s="310">
        <f t="shared" si="555"/>
        <v>0.715419376171057</v>
      </c>
      <c r="Y91" s="310">
        <f t="shared" si="555"/>
        <v>0.7124132613723978</v>
      </c>
      <c r="Z91" s="310">
        <f t="shared" si="555"/>
        <v>0.70254174199723496</v>
      </c>
      <c r="AA91" s="311">
        <f t="shared" si="555"/>
        <v>0.72286703319079615</v>
      </c>
      <c r="AB91" s="310">
        <f t="shared" si="555"/>
        <v>0.71293070073557874</v>
      </c>
      <c r="AC91" s="310">
        <f t="shared" si="555"/>
        <v>0.71494164912951985</v>
      </c>
      <c r="AD91" s="310">
        <f t="shared" si="555"/>
        <v>0.6919834928439722</v>
      </c>
      <c r="AE91" s="400">
        <f t="shared" si="555"/>
        <v>0.71904205607476634</v>
      </c>
      <c r="AF91" s="402">
        <f t="shared" si="555"/>
        <v>0.73410696266397579</v>
      </c>
      <c r="AG91" s="402">
        <f t="shared" si="555"/>
        <v>0.72414091577945128</v>
      </c>
      <c r="AH91" s="400">
        <f t="shared" si="555"/>
        <v>0.70937892095357591</v>
      </c>
      <c r="AI91" s="402">
        <f t="shared" si="555"/>
        <v>0.72755610972568574</v>
      </c>
      <c r="AJ91" s="402">
        <f t="shared" si="555"/>
        <v>0.7240244475787494</v>
      </c>
      <c r="AK91" s="402">
        <f t="shared" si="555"/>
        <v>0.72753858651502845</v>
      </c>
      <c r="AL91" s="400">
        <f t="shared" si="555"/>
        <v>0.71149881046788266</v>
      </c>
      <c r="AM91" s="400">
        <f t="shared" si="555"/>
        <v>0.72198275862068961</v>
      </c>
      <c r="AN91" s="401">
        <f t="shared" si="555"/>
        <v>0.71653071914989153</v>
      </c>
      <c r="AO91" s="403">
        <f t="shared" si="555"/>
        <v>0.72529540152028293</v>
      </c>
      <c r="AP91" s="401">
        <f t="shared" si="555"/>
        <v>0.70713346002046484</v>
      </c>
      <c r="AQ91" s="401">
        <f t="shared" si="555"/>
        <v>0.7093524226154968</v>
      </c>
      <c r="AR91" s="401">
        <f t="shared" si="555"/>
        <v>0.71219125610883638</v>
      </c>
      <c r="AS91" s="401">
        <f t="shared" si="555"/>
        <v>0.71519957353235153</v>
      </c>
      <c r="AT91" s="401">
        <f t="shared" si="555"/>
        <v>0.70332769317540889</v>
      </c>
      <c r="AU91" s="401">
        <f t="shared" si="555"/>
        <v>0.71507965913301219</v>
      </c>
      <c r="AV91" s="401">
        <f t="shared" si="555"/>
        <v>0.71118541033434646</v>
      </c>
      <c r="AW91" s="401">
        <f t="shared" si="555"/>
        <v>0.70014446328748192</v>
      </c>
      <c r="AX91" s="401">
        <f t="shared" si="555"/>
        <v>0.71202740086945071</v>
      </c>
      <c r="AY91" s="401">
        <f t="shared" si="555"/>
        <v>0.71709037668042064</v>
      </c>
      <c r="AZ91" s="401">
        <f t="shared" ref="AZ91:BE91" si="556">AZ57/AZ55</f>
        <v>0.70798608832600562</v>
      </c>
      <c r="BA91" s="401">
        <f t="shared" si="556"/>
        <v>0.70598766660035805</v>
      </c>
      <c r="BB91" s="401">
        <f t="shared" si="556"/>
        <v>0.68588000725031717</v>
      </c>
      <c r="BC91" s="401">
        <f t="shared" si="556"/>
        <v>0.71031923741283343</v>
      </c>
      <c r="BD91" s="401">
        <f t="shared" si="556"/>
        <v>0.69913574631230102</v>
      </c>
      <c r="BE91" s="401">
        <f t="shared" si="556"/>
        <v>0.69336537177946866</v>
      </c>
      <c r="BF91" s="401">
        <f t="shared" ref="BF91:BN91" si="557">BF57/BF55</f>
        <v>0.67783175658399386</v>
      </c>
      <c r="BG91" s="401">
        <f t="shared" si="557"/>
        <v>0.71837793233525871</v>
      </c>
      <c r="BH91" s="401">
        <f t="shared" si="557"/>
        <v>0.68837741760559135</v>
      </c>
      <c r="BI91" s="401">
        <f t="shared" si="557"/>
        <v>0.68309903155263985</v>
      </c>
      <c r="BJ91" s="401">
        <f t="shared" si="557"/>
        <v>0.71638063864831836</v>
      </c>
      <c r="BK91" s="401">
        <f t="shared" si="557"/>
        <v>0.69545820682818016</v>
      </c>
      <c r="BL91" s="401">
        <f t="shared" si="557"/>
        <v>0.69066522314447254</v>
      </c>
      <c r="BM91" s="401">
        <f t="shared" si="557"/>
        <v>0.67442266302134835</v>
      </c>
      <c r="BN91" s="401">
        <f t="shared" si="557"/>
        <v>0.66258220448541394</v>
      </c>
      <c r="BO91" s="401">
        <f t="shared" ref="BO91:BR91" si="558">BO57/BO55</f>
        <v>0.68349669478003194</v>
      </c>
      <c r="BP91" s="401">
        <f t="shared" si="558"/>
        <v>0.69391624379635308</v>
      </c>
      <c r="BQ91" s="401">
        <f t="shared" si="558"/>
        <v>0.69703497930721692</v>
      </c>
      <c r="BR91" s="401">
        <f t="shared" si="558"/>
        <v>0.6772532654056691</v>
      </c>
      <c r="BS91" s="401">
        <f>BS57/BS55</f>
        <v>0.69886834115373997</v>
      </c>
      <c r="BT91" s="401">
        <f>BT57/BT55</f>
        <v>0.69022826365734802</v>
      </c>
      <c r="BU91" s="401">
        <v>0.69</v>
      </c>
      <c r="BV91" s="401">
        <v>0.69</v>
      </c>
      <c r="BW91" s="401">
        <v>0.69</v>
      </c>
      <c r="BX91" s="401">
        <v>0.69</v>
      </c>
      <c r="BY91" s="401">
        <v>0.69</v>
      </c>
      <c r="BZ91" s="401">
        <v>0.69</v>
      </c>
      <c r="CA91" s="401"/>
      <c r="CB91" s="401"/>
      <c r="CC91" s="401"/>
      <c r="CD91" s="401"/>
      <c r="CE91" s="401"/>
      <c r="CF91" s="401"/>
      <c r="CG91" s="401"/>
      <c r="CH91" s="401"/>
      <c r="CI91" s="401"/>
      <c r="CJ91" s="401"/>
      <c r="CK91" s="401"/>
      <c r="CL91" s="401"/>
      <c r="CM91" s="401"/>
      <c r="CN91" s="401"/>
      <c r="CO91" s="401"/>
      <c r="CP91" s="401"/>
      <c r="CQ91" s="401">
        <f t="shared" ref="CQ91:CX91" si="559">+CQ57/CQ55</f>
        <v>0.658675688738521</v>
      </c>
      <c r="CR91" s="401">
        <f t="shared" si="559"/>
        <v>0.64123677609335805</v>
      </c>
      <c r="CS91" s="401">
        <f t="shared" si="559"/>
        <v>0.6692913385826772</v>
      </c>
      <c r="CT91" s="401">
        <f t="shared" si="559"/>
        <v>0.65234027407011919</v>
      </c>
      <c r="CU91" s="401">
        <f t="shared" si="559"/>
        <v>0.68357152457327186</v>
      </c>
      <c r="CV91" s="401">
        <f t="shared" si="559"/>
        <v>0.67457321780904178</v>
      </c>
      <c r="CW91" s="401">
        <f t="shared" si="559"/>
        <v>0.68930790657810159</v>
      </c>
      <c r="CX91" s="401">
        <f t="shared" si="559"/>
        <v>0.67932438424638208</v>
      </c>
      <c r="CY91" s="401">
        <f>+CY57/CY55</f>
        <v>0.67565952360624948</v>
      </c>
      <c r="CZ91" s="401">
        <f t="shared" ref="CZ91:DF91" si="560">+CZ57/CZ55</f>
        <v>0.67500000000000004</v>
      </c>
      <c r="DA91" s="401">
        <f t="shared" si="560"/>
        <v>0.67500000000000004</v>
      </c>
      <c r="DB91" s="401">
        <f t="shared" si="560"/>
        <v>0.67500000000000004</v>
      </c>
      <c r="DC91" s="401">
        <f t="shared" si="560"/>
        <v>0.67500000000000004</v>
      </c>
      <c r="DD91" s="401">
        <f t="shared" si="560"/>
        <v>0.67500000000000004</v>
      </c>
      <c r="DE91" s="401">
        <f t="shared" si="560"/>
        <v>0.67500000000000004</v>
      </c>
      <c r="DF91" s="401">
        <f t="shared" si="560"/>
        <v>0.67500000000000004</v>
      </c>
      <c r="DH91" s="310">
        <f t="shared" ref="DH91:EN91" si="561">+DH57/DH55</f>
        <v>0.64333299169826796</v>
      </c>
      <c r="DI91" s="310">
        <f t="shared" si="561"/>
        <v>0.64948361823361822</v>
      </c>
      <c r="DJ91" s="310">
        <f t="shared" si="561"/>
        <v>0.66224793122840842</v>
      </c>
      <c r="DK91" s="310">
        <f t="shared" si="561"/>
        <v>0.65985603141132843</v>
      </c>
      <c r="DL91" s="310">
        <f t="shared" si="561"/>
        <v>0.66112604328759372</v>
      </c>
      <c r="DM91" s="310">
        <f t="shared" si="561"/>
        <v>0.66321342316003562</v>
      </c>
      <c r="DN91" s="310">
        <f t="shared" si="561"/>
        <v>0.6690903301135761</v>
      </c>
      <c r="DO91" s="310">
        <f t="shared" si="561"/>
        <v>0.67539315448658654</v>
      </c>
      <c r="DP91" s="310">
        <f t="shared" si="561"/>
        <v>0.68394537982235182</v>
      </c>
      <c r="DQ91" s="310">
        <f t="shared" si="561"/>
        <v>0.68567443040114973</v>
      </c>
      <c r="DR91" s="310">
        <f t="shared" si="561"/>
        <v>0.69269411379272683</v>
      </c>
      <c r="DS91" s="310">
        <f t="shared" si="561"/>
        <v>0.69590583067366762</v>
      </c>
      <c r="DT91" s="310">
        <f t="shared" si="561"/>
        <v>0.71106532541510115</v>
      </c>
      <c r="DU91" s="310">
        <f t="shared" si="561"/>
        <v>0.71697474256269655</v>
      </c>
      <c r="DV91" s="310">
        <f t="shared" si="561"/>
        <v>0.71259565588900375</v>
      </c>
      <c r="DW91" s="310">
        <f t="shared" si="561"/>
        <v>0.72105492861150944</v>
      </c>
      <c r="DX91" s="310">
        <f t="shared" si="561"/>
        <v>0.71808961978261743</v>
      </c>
      <c r="DY91" s="310">
        <f t="shared" si="561"/>
        <v>0.71763183557122501</v>
      </c>
      <c r="DZ91" s="310">
        <f t="shared" si="561"/>
        <v>0.70945249202062366</v>
      </c>
      <c r="EA91" s="310">
        <f>+EA57/EA55</f>
        <v>0.70961770749996078</v>
      </c>
      <c r="EB91" s="310">
        <f>+EB57/EB55</f>
        <v>0.70379824547231695</v>
      </c>
      <c r="EC91" s="310">
        <f>+EC57/EC55</f>
        <v>0.69421527947278494</v>
      </c>
      <c r="ED91" s="310">
        <f t="shared" si="561"/>
        <v>0.73856681531600799</v>
      </c>
      <c r="EE91" s="310">
        <f t="shared" si="561"/>
        <v>0.68031056725759076</v>
      </c>
      <c r="EF91" s="310">
        <f t="shared" si="561"/>
        <v>0.68670069553511326</v>
      </c>
      <c r="EG91" s="310">
        <f t="shared" si="561"/>
        <v>0.69</v>
      </c>
      <c r="EH91" s="310">
        <f t="shared" ref="EH91:EM91" si="562">+EH57/EH55</f>
        <v>0.69</v>
      </c>
      <c r="EI91" s="310">
        <f t="shared" si="562"/>
        <v>0.69</v>
      </c>
      <c r="EJ91" s="310">
        <f t="shared" si="562"/>
        <v>0.69</v>
      </c>
      <c r="EK91" s="310">
        <f t="shared" si="562"/>
        <v>0.69</v>
      </c>
      <c r="EL91" s="310">
        <f t="shared" si="562"/>
        <v>0.69</v>
      </c>
      <c r="EM91" s="310">
        <f t="shared" si="562"/>
        <v>0.69</v>
      </c>
      <c r="EN91" s="310">
        <f t="shared" si="561"/>
        <v>0.68163835482047841</v>
      </c>
      <c r="EO91" s="310">
        <f t="shared" ref="EO91:EU91" si="563">+EO57/EO55</f>
        <v>0.69</v>
      </c>
      <c r="EP91" s="310">
        <f t="shared" si="563"/>
        <v>0.69</v>
      </c>
      <c r="EQ91" s="310">
        <f t="shared" si="563"/>
        <v>0.69</v>
      </c>
      <c r="ER91" s="310">
        <f t="shared" si="563"/>
        <v>0.69</v>
      </c>
      <c r="ES91" s="310">
        <f t="shared" si="563"/>
        <v>0.69</v>
      </c>
      <c r="ET91" s="310">
        <f t="shared" si="563"/>
        <v>0.69</v>
      </c>
      <c r="EU91" s="310">
        <f t="shared" si="563"/>
        <v>0.69</v>
      </c>
      <c r="FD91" s="361"/>
      <c r="FE91" s="361"/>
      <c r="FF91" s="361"/>
      <c r="FG91" s="58"/>
      <c r="FH91" s="361"/>
      <c r="FI91" s="361"/>
      <c r="FJ91" s="361"/>
    </row>
    <row r="92" spans="1:166" ht="12.75" customHeight="1" x14ac:dyDescent="0.2">
      <c r="B92" s="353" t="s">
        <v>359</v>
      </c>
      <c r="C92" s="310">
        <f t="shared" ref="C92:AD92" si="564">+C58/C55</f>
        <v>0.37410323709536308</v>
      </c>
      <c r="D92" s="310">
        <f t="shared" si="564"/>
        <v>0.37592137592137592</v>
      </c>
      <c r="E92" s="310">
        <f t="shared" si="564"/>
        <v>0.38471177944862156</v>
      </c>
      <c r="F92" s="310">
        <f t="shared" si="564"/>
        <v>0.40603907637655418</v>
      </c>
      <c r="G92" s="310">
        <f t="shared" si="564"/>
        <v>0.3631333218052914</v>
      </c>
      <c r="H92" s="310">
        <f t="shared" si="564"/>
        <v>0.36555421061732662</v>
      </c>
      <c r="I92" s="310">
        <f t="shared" si="564"/>
        <v>0.37578616352201261</v>
      </c>
      <c r="J92" s="310">
        <f t="shared" si="564"/>
        <v>0.39924611276896499</v>
      </c>
      <c r="K92" s="310">
        <f t="shared" si="564"/>
        <v>0.36200662850256099</v>
      </c>
      <c r="L92" s="310">
        <f t="shared" si="564"/>
        <v>0.37189962065946891</v>
      </c>
      <c r="M92" s="310">
        <f t="shared" si="564"/>
        <v>0.37990813453845013</v>
      </c>
      <c r="N92" s="310">
        <f t="shared" si="564"/>
        <v>0.41602442925694344</v>
      </c>
      <c r="O92" s="310">
        <f t="shared" si="564"/>
        <v>0.35646946304139909</v>
      </c>
      <c r="P92" s="310">
        <f t="shared" si="564"/>
        <v>0.36561001598295151</v>
      </c>
      <c r="Q92" s="310">
        <f t="shared" si="564"/>
        <v>0.37132148806218768</v>
      </c>
      <c r="R92" s="310">
        <f t="shared" si="564"/>
        <v>0.40039392234102422</v>
      </c>
      <c r="S92" s="310">
        <f t="shared" si="564"/>
        <v>0.34924913361571042</v>
      </c>
      <c r="T92" s="310">
        <f t="shared" si="564"/>
        <v>0.35662910573004075</v>
      </c>
      <c r="U92" s="310">
        <f t="shared" si="564"/>
        <v>0.35129885894634622</v>
      </c>
      <c r="V92" s="310">
        <f t="shared" si="564"/>
        <v>0.3903367844817327</v>
      </c>
      <c r="W92" s="310">
        <f t="shared" si="564"/>
        <v>0.32517442525448931</v>
      </c>
      <c r="X92" s="310">
        <f t="shared" si="564"/>
        <v>0.3325250743965612</v>
      </c>
      <c r="Y92" s="310">
        <f t="shared" si="564"/>
        <v>0.33109373278995485</v>
      </c>
      <c r="Z92" s="310">
        <f t="shared" si="564"/>
        <v>0.35626927576305434</v>
      </c>
      <c r="AA92" s="310">
        <f t="shared" si="564"/>
        <v>0.33119527591121972</v>
      </c>
      <c r="AB92" s="310">
        <f t="shared" si="564"/>
        <v>0.32868757259001163</v>
      </c>
      <c r="AC92" s="310">
        <f t="shared" si="564"/>
        <v>0.32791276066577385</v>
      </c>
      <c r="AD92" s="310">
        <f t="shared" si="564"/>
        <v>0.3559575028536307</v>
      </c>
      <c r="AE92" s="400">
        <f t="shared" ref="AE92:AZ92" si="565">AE58/AE55</f>
        <v>0.30373831775700932</v>
      </c>
      <c r="AF92" s="400">
        <f t="shared" si="565"/>
        <v>0.31205852674066598</v>
      </c>
      <c r="AG92" s="400">
        <f t="shared" si="565"/>
        <v>0.3335930061455899</v>
      </c>
      <c r="AH92" s="400">
        <f t="shared" si="565"/>
        <v>0.36504077791718947</v>
      </c>
      <c r="AI92" s="400">
        <f t="shared" si="565"/>
        <v>0.32161783042394015</v>
      </c>
      <c r="AJ92" s="400">
        <f t="shared" si="565"/>
        <v>0.32863187588152326</v>
      </c>
      <c r="AK92" s="400">
        <f t="shared" si="565"/>
        <v>0.33801787164906583</v>
      </c>
      <c r="AL92" s="400">
        <f t="shared" si="565"/>
        <v>0.36835844567803333</v>
      </c>
      <c r="AM92" s="400">
        <f t="shared" si="565"/>
        <v>0.31519396551724138</v>
      </c>
      <c r="AN92" s="401">
        <f t="shared" si="565"/>
        <v>0.32560053880116741</v>
      </c>
      <c r="AO92" s="401">
        <f t="shared" si="565"/>
        <v>0.32294724166478511</v>
      </c>
      <c r="AP92" s="401">
        <f t="shared" si="565"/>
        <v>0.34322467475515278</v>
      </c>
      <c r="AQ92" s="401">
        <f t="shared" si="565"/>
        <v>0.31828726718366807</v>
      </c>
      <c r="AR92" s="401">
        <f t="shared" si="565"/>
        <v>0.33212257297582881</v>
      </c>
      <c r="AS92" s="401">
        <f t="shared" si="565"/>
        <v>0.32644765775971213</v>
      </c>
      <c r="AT92" s="401">
        <f t="shared" si="565"/>
        <v>0.3585260387290844</v>
      </c>
      <c r="AU92" s="401">
        <f t="shared" si="565"/>
        <v>0.31635173521057181</v>
      </c>
      <c r="AV92" s="401">
        <f t="shared" si="565"/>
        <v>0.33477203647416415</v>
      </c>
      <c r="AW92" s="401">
        <f t="shared" si="565"/>
        <v>0.32629859933421268</v>
      </c>
      <c r="AX92" s="401">
        <f t="shared" si="565"/>
        <v>0.37313924384139113</v>
      </c>
      <c r="AY92" s="401">
        <f t="shared" si="565"/>
        <v>0.30666844136829496</v>
      </c>
      <c r="AZ92" s="401">
        <f t="shared" si="565"/>
        <v>0.3147844346741912</v>
      </c>
      <c r="BA92" s="401">
        <f t="shared" ref="BA92" si="566">BA58/BA55</f>
        <v>0.31609309727471652</v>
      </c>
      <c r="BB92" s="401">
        <f t="shared" ref="BB92:BG92" si="567">BB58/BB55</f>
        <v>0.34010029605461906</v>
      </c>
      <c r="BC92" s="401">
        <f t="shared" si="567"/>
        <v>0.30573859637899048</v>
      </c>
      <c r="BD92" s="401">
        <f t="shared" si="567"/>
        <v>0.30905192020274219</v>
      </c>
      <c r="BE92" s="401">
        <f t="shared" si="567"/>
        <v>0.31431050594046189</v>
      </c>
      <c r="BF92" s="401">
        <f t="shared" si="567"/>
        <v>0.33111736128867297</v>
      </c>
      <c r="BG92" s="401">
        <f t="shared" si="567"/>
        <v>0.29800778026641517</v>
      </c>
      <c r="BH92" s="401">
        <f t="shared" ref="BH92" si="568">BH58/BH55</f>
        <v>0.31421341206242093</v>
      </c>
      <c r="BI92" s="401">
        <f>BI58/BI55</f>
        <v>0.32739768822243048</v>
      </c>
      <c r="BJ92" s="401">
        <f t="shared" ref="BJ92:BM92" si="569">BJ58/BJ55</f>
        <v>0.28999521810743317</v>
      </c>
      <c r="BK92" s="401">
        <f t="shared" si="569"/>
        <v>0.31073796393828612</v>
      </c>
      <c r="BL92" s="401">
        <f>BL58/BL55</f>
        <v>0.29862865391555393</v>
      </c>
      <c r="BM92" s="401">
        <f t="shared" si="569"/>
        <v>0.30411261706706999</v>
      </c>
      <c r="BN92" s="401">
        <f>BN58/BN55</f>
        <v>0.31819459277162609</v>
      </c>
      <c r="BO92" s="401">
        <f t="shared" ref="BO92:BR92" si="570">BO58/BO55</f>
        <v>0.29764075678139956</v>
      </c>
      <c r="BP92" s="401">
        <f t="shared" si="570"/>
        <v>0.27887135448614286</v>
      </c>
      <c r="BQ92" s="401">
        <f t="shared" si="570"/>
        <v>0.30126424400476215</v>
      </c>
      <c r="BR92" s="401">
        <f t="shared" si="570"/>
        <v>0.32068722562462737</v>
      </c>
      <c r="BS92" s="401">
        <f>BS58/BS55</f>
        <v>0.28611647805685897</v>
      </c>
      <c r="BT92" s="401">
        <f>BT58/BT55</f>
        <v>0.28114901256732494</v>
      </c>
      <c r="BU92" s="401">
        <f>BU58/BU55</f>
        <v>0.29213759293214453</v>
      </c>
      <c r="BV92" s="401">
        <f>BV58/BV55</f>
        <v>0.3095082659949322</v>
      </c>
      <c r="BW92" s="401"/>
      <c r="BX92" s="401"/>
      <c r="BY92" s="401"/>
      <c r="BZ92" s="401"/>
      <c r="CA92" s="401"/>
      <c r="CB92" s="401"/>
      <c r="CC92" s="401"/>
      <c r="CD92" s="401"/>
      <c r="CE92" s="401"/>
      <c r="CF92" s="401"/>
      <c r="CG92" s="401"/>
      <c r="CH92" s="401"/>
      <c r="CI92" s="401"/>
      <c r="CJ92" s="401"/>
      <c r="CK92" s="401"/>
      <c r="CL92" s="401"/>
      <c r="CM92" s="401"/>
      <c r="CN92" s="401"/>
      <c r="CO92" s="401"/>
      <c r="CP92" s="401"/>
      <c r="CQ92" s="401">
        <f t="shared" ref="CQ92:CX92" si="571">+CQ58/CQ55</f>
        <v>0.25147414209763169</v>
      </c>
      <c r="CR92" s="401">
        <f t="shared" si="571"/>
        <v>0.27227614788962812</v>
      </c>
      <c r="CS92" s="401">
        <f t="shared" si="571"/>
        <v>0.25761312968409067</v>
      </c>
      <c r="CT92" s="401">
        <f t="shared" si="571"/>
        <v>0.28728421427300233</v>
      </c>
      <c r="CU92" s="401">
        <f t="shared" si="571"/>
        <v>0.2433582724788316</v>
      </c>
      <c r="CV92" s="401">
        <f t="shared" si="571"/>
        <v>0.26048726087329499</v>
      </c>
      <c r="CW92" s="401">
        <f t="shared" si="571"/>
        <v>0.25712449110777802</v>
      </c>
      <c r="CX92" s="401">
        <f t="shared" si="571"/>
        <v>0.28838634256459872</v>
      </c>
      <c r="CY92" s="401">
        <f>+CY58/CY55</f>
        <v>0.25347904038248098</v>
      </c>
      <c r="CZ92" s="401">
        <f t="shared" ref="CZ92:DF92" si="572">+CZ58/CZ55</f>
        <v>0.25</v>
      </c>
      <c r="DA92" s="401">
        <f t="shared" si="572"/>
        <v>0.25</v>
      </c>
      <c r="DB92" s="401">
        <f t="shared" si="572"/>
        <v>0.25</v>
      </c>
      <c r="DC92" s="401">
        <f t="shared" si="572"/>
        <v>0.25</v>
      </c>
      <c r="DD92" s="401">
        <f t="shared" si="572"/>
        <v>0.25</v>
      </c>
      <c r="DE92" s="401">
        <f t="shared" si="572"/>
        <v>0.25</v>
      </c>
      <c r="DF92" s="401">
        <f t="shared" si="572"/>
        <v>0.25</v>
      </c>
      <c r="DH92" s="310">
        <f t="shared" ref="DH92:EB92" si="573">+DH58/DH55</f>
        <v>0.39940555498616376</v>
      </c>
      <c r="DI92" s="310">
        <f t="shared" si="573"/>
        <v>0.39788105413105412</v>
      </c>
      <c r="DJ92" s="310">
        <f t="shared" si="573"/>
        <v>0.40965694544870251</v>
      </c>
      <c r="DK92" s="310">
        <f t="shared" si="573"/>
        <v>0.41234639714971277</v>
      </c>
      <c r="DL92" s="310">
        <f t="shared" si="573"/>
        <v>0.40819069175272316</v>
      </c>
      <c r="DM92" s="310">
        <f t="shared" si="573"/>
        <v>0.403584593873141</v>
      </c>
      <c r="DN92" s="310">
        <f t="shared" si="573"/>
        <v>0.3960301454198068</v>
      </c>
      <c r="DO92" s="310">
        <f t="shared" si="573"/>
        <v>0.38825161887141535</v>
      </c>
      <c r="DP92" s="310">
        <f t="shared" si="573"/>
        <v>0.3851252817181493</v>
      </c>
      <c r="DQ92" s="310">
        <f t="shared" si="573"/>
        <v>0.376505896774739</v>
      </c>
      <c r="DR92" s="310">
        <f t="shared" si="573"/>
        <v>0.38233045757344108</v>
      </c>
      <c r="DS92" s="310">
        <f t="shared" si="573"/>
        <v>0.37321116030062801</v>
      </c>
      <c r="DT92" s="310">
        <f t="shared" si="573"/>
        <v>0.36334989698218395</v>
      </c>
      <c r="DU92" s="310">
        <f t="shared" si="573"/>
        <v>0.33095018137782123</v>
      </c>
      <c r="DV92" s="310">
        <f t="shared" si="573"/>
        <v>0.3335504916748101</v>
      </c>
      <c r="DW92" s="310">
        <f t="shared" si="573"/>
        <v>0.32961323440779766</v>
      </c>
      <c r="DX92" s="310">
        <f t="shared" si="573"/>
        <v>0.34096327124328257</v>
      </c>
      <c r="DY92" s="310">
        <f t="shared" si="573"/>
        <v>0.32692596204335761</v>
      </c>
      <c r="DZ92" s="310">
        <f t="shared" si="573"/>
        <v>0.33474097716670759</v>
      </c>
      <c r="EA92" s="310">
        <f t="shared" si="573"/>
        <v>0.33711390339937564</v>
      </c>
      <c r="EB92" s="310">
        <f t="shared" si="573"/>
        <v>0.31990241853401619</v>
      </c>
      <c r="EC92" s="310">
        <f>EB92-0.1%</f>
        <v>0.31890241853401619</v>
      </c>
      <c r="ED92" s="310">
        <v>0.32</v>
      </c>
      <c r="EE92" s="310">
        <v>0.32500000000000001</v>
      </c>
      <c r="EF92" s="310">
        <v>0.32500000000000001</v>
      </c>
      <c r="EG92" s="310">
        <v>0.33</v>
      </c>
      <c r="EH92" s="310">
        <f t="shared" ref="EH92:EM92" si="574">+EH58/EH55</f>
        <v>0</v>
      </c>
      <c r="EI92" s="310">
        <f t="shared" si="574"/>
        <v>0</v>
      </c>
      <c r="EJ92" s="310">
        <f t="shared" si="574"/>
        <v>0</v>
      </c>
      <c r="EK92" s="310">
        <f t="shared" si="574"/>
        <v>0</v>
      </c>
      <c r="EL92" s="310">
        <f t="shared" si="574"/>
        <v>0</v>
      </c>
      <c r="EM92" s="310">
        <f t="shared" si="574"/>
        <v>0</v>
      </c>
      <c r="EN92" s="310">
        <f t="shared" ref="EN92:EU92" si="575">+EN58/EN55</f>
        <v>0.26295360269575696</v>
      </c>
      <c r="EO92" s="310">
        <f t="shared" si="575"/>
        <v>0.26</v>
      </c>
      <c r="EP92" s="310">
        <f t="shared" si="575"/>
        <v>0.26</v>
      </c>
      <c r="EQ92" s="310">
        <f t="shared" si="575"/>
        <v>0.26</v>
      </c>
      <c r="ER92" s="310">
        <f t="shared" si="575"/>
        <v>0.26</v>
      </c>
      <c r="ES92" s="310">
        <f t="shared" si="575"/>
        <v>0.26</v>
      </c>
      <c r="ET92" s="310">
        <f t="shared" si="575"/>
        <v>0.26</v>
      </c>
      <c r="EU92" s="310">
        <f t="shared" si="575"/>
        <v>0.26</v>
      </c>
      <c r="FD92" s="361"/>
      <c r="FE92" s="361"/>
      <c r="FF92" s="361"/>
      <c r="FG92" s="360"/>
      <c r="FH92" s="361"/>
      <c r="FI92" s="361"/>
      <c r="FJ92" s="361"/>
    </row>
    <row r="93" spans="1:166" ht="12.75" customHeight="1" x14ac:dyDescent="0.2">
      <c r="B93" s="353" t="s">
        <v>360</v>
      </c>
      <c r="C93" s="310">
        <f t="shared" ref="C93:AD93" si="576">+C59/C$55</f>
        <v>8.3639545056867895E-2</v>
      </c>
      <c r="D93" s="310">
        <f t="shared" si="576"/>
        <v>9.1260091260091256E-2</v>
      </c>
      <c r="E93" s="310">
        <f t="shared" si="576"/>
        <v>9.2373791621911922E-2</v>
      </c>
      <c r="F93" s="310">
        <f t="shared" si="576"/>
        <v>0.11119005328596802</v>
      </c>
      <c r="G93" s="310">
        <f t="shared" si="576"/>
        <v>8.542279093895902E-2</v>
      </c>
      <c r="H93" s="310">
        <f t="shared" si="576"/>
        <v>9.1993774857340477E-2</v>
      </c>
      <c r="I93" s="310">
        <f t="shared" si="576"/>
        <v>8.9273235499650591E-2</v>
      </c>
      <c r="J93" s="310">
        <f t="shared" si="576"/>
        <v>0.11496780273284121</v>
      </c>
      <c r="K93" s="310">
        <f t="shared" si="576"/>
        <v>8.0747213015968669E-2</v>
      </c>
      <c r="L93" s="310">
        <f t="shared" si="576"/>
        <v>8.374671724540414E-2</v>
      </c>
      <c r="M93" s="310">
        <f t="shared" si="576"/>
        <v>9.0828270854941467E-2</v>
      </c>
      <c r="N93" s="310">
        <f t="shared" si="576"/>
        <v>0.11807474189326742</v>
      </c>
      <c r="O93" s="310">
        <f t="shared" si="576"/>
        <v>8.7033747779751328E-2</v>
      </c>
      <c r="P93" s="310">
        <f>+P59/P$55</f>
        <v>8.8838572189664358E-2</v>
      </c>
      <c r="Q93" s="310">
        <f t="shared" si="576"/>
        <v>9.605774569683509E-2</v>
      </c>
      <c r="R93" s="310">
        <f t="shared" si="576"/>
        <v>0.13083849184018007</v>
      </c>
      <c r="S93" s="310">
        <f t="shared" si="576"/>
        <v>8.99756128866641E-2</v>
      </c>
      <c r="T93" s="310">
        <f t="shared" si="576"/>
        <v>9.9376648285782784E-2</v>
      </c>
      <c r="U93" s="310">
        <f t="shared" si="576"/>
        <v>0.10912842923039573</v>
      </c>
      <c r="V93" s="310">
        <f t="shared" si="576"/>
        <v>0.13138164941092467</v>
      </c>
      <c r="W93" s="310">
        <f t="shared" si="576"/>
        <v>9.5047466544664297E-2</v>
      </c>
      <c r="X93" s="310">
        <f t="shared" si="576"/>
        <v>0.10272236305521878</v>
      </c>
      <c r="Y93" s="310">
        <f t="shared" si="576"/>
        <v>0.10485736314572089</v>
      </c>
      <c r="Z93" s="310">
        <f t="shared" si="576"/>
        <v>0.13208550462618313</v>
      </c>
      <c r="AA93" s="310">
        <f t="shared" si="576"/>
        <v>9.5296273671350032E-2</v>
      </c>
      <c r="AB93" s="310">
        <f t="shared" si="576"/>
        <v>0.10472319008904375</v>
      </c>
      <c r="AC93" s="310">
        <f t="shared" si="576"/>
        <v>0.11258848287736752</v>
      </c>
      <c r="AD93" s="310">
        <f t="shared" si="576"/>
        <v>0.13074018790060585</v>
      </c>
      <c r="AE93" s="400">
        <f t="shared" ref="AE93:AZ93" si="577">AE59/AE55</f>
        <v>9.1371829105473965E-2</v>
      </c>
      <c r="AF93" s="400">
        <f t="shared" si="577"/>
        <v>9.9394550958627648E-2</v>
      </c>
      <c r="AG93" s="400">
        <f t="shared" si="577"/>
        <v>0.10369600969445165</v>
      </c>
      <c r="AH93" s="400">
        <f t="shared" si="577"/>
        <v>0.1354297365119197</v>
      </c>
      <c r="AI93" s="400">
        <f t="shared" si="577"/>
        <v>0.10785536159600997</v>
      </c>
      <c r="AJ93" s="400">
        <f t="shared" si="577"/>
        <v>0.11651778718069268</v>
      </c>
      <c r="AK93" s="400">
        <f t="shared" si="577"/>
        <v>0.12502030869212022</v>
      </c>
      <c r="AL93" s="400">
        <f t="shared" si="577"/>
        <v>0.15971451229183187</v>
      </c>
      <c r="AM93" s="400">
        <f t="shared" si="577"/>
        <v>0.11791871921182266</v>
      </c>
      <c r="AN93" s="401">
        <f t="shared" si="577"/>
        <v>0.12444810297088978</v>
      </c>
      <c r="AO93" s="401">
        <f t="shared" si="577"/>
        <v>0.1293745766538722</v>
      </c>
      <c r="AP93" s="401">
        <f t="shared" si="577"/>
        <v>0.14953954100277736</v>
      </c>
      <c r="AQ93" s="401">
        <f t="shared" si="577"/>
        <v>0.10949824352091204</v>
      </c>
      <c r="AR93" s="401">
        <f t="shared" si="577"/>
        <v>0.12323339056927751</v>
      </c>
      <c r="AS93" s="401">
        <f t="shared" si="577"/>
        <v>0.12220963550343174</v>
      </c>
      <c r="AT93" s="401">
        <f t="shared" si="577"/>
        <v>0.14589208497837938</v>
      </c>
      <c r="AU93" s="401">
        <f t="shared" si="577"/>
        <v>0.10571816722242806</v>
      </c>
      <c r="AV93" s="401">
        <f t="shared" si="577"/>
        <v>0.11525835866261398</v>
      </c>
      <c r="AW93" s="401">
        <f t="shared" si="577"/>
        <v>0.1168896426103888</v>
      </c>
      <c r="AX93" s="401">
        <f t="shared" si="577"/>
        <v>0.13884863654327492</v>
      </c>
      <c r="AY93" s="401">
        <f t="shared" si="577"/>
        <v>0.10102489019033675</v>
      </c>
      <c r="AZ93" s="401">
        <f t="shared" si="577"/>
        <v>0.10748736793752871</v>
      </c>
      <c r="BA93" s="401">
        <f t="shared" ref="BA93" si="578">BA59/BA55</f>
        <v>0.10722100656455143</v>
      </c>
      <c r="BB93" s="401">
        <f t="shared" ref="BB93:BG93" si="579">BB59/BB55</f>
        <v>0.13370793305540452</v>
      </c>
      <c r="BC93" s="401">
        <f t="shared" si="579"/>
        <v>9.960974985605528E-2</v>
      </c>
      <c r="BD93" s="401">
        <f t="shared" si="579"/>
        <v>0.10708947949834297</v>
      </c>
      <c r="BE93" s="401">
        <f t="shared" si="579"/>
        <v>0.11059938592978241</v>
      </c>
      <c r="BF93" s="401">
        <f t="shared" si="579"/>
        <v>0.12669394016875479</v>
      </c>
      <c r="BG93" s="401">
        <f t="shared" si="579"/>
        <v>0.10244017446658021</v>
      </c>
      <c r="BH93" s="401">
        <f t="shared" ref="BH93" si="580">BH59/BH55</f>
        <v>0.11339398686509611</v>
      </c>
      <c r="BI93" s="401">
        <f>BI59/BI55</f>
        <v>0.11077788191190253</v>
      </c>
      <c r="BJ93" s="401">
        <f t="shared" ref="BJ93:BM93" si="581">BJ59/BJ55</f>
        <v>0.11449976090537166</v>
      </c>
      <c r="BK93" s="401">
        <f t="shared" si="581"/>
        <v>0.10192700910837103</v>
      </c>
      <c r="BL93" s="401">
        <f>BL59/BL55</f>
        <v>0.10621917478647901</v>
      </c>
      <c r="BM93" s="401">
        <f t="shared" si="581"/>
        <v>0.111860857425397</v>
      </c>
      <c r="BN93" s="401">
        <f>BN59/BN55</f>
        <v>0.1310213029059637</v>
      </c>
      <c r="BO93" s="401">
        <f t="shared" ref="BO93:BR93" si="582">BO59/BO55</f>
        <v>0.10166400729427855</v>
      </c>
      <c r="BP93" s="401">
        <f t="shared" si="582"/>
        <v>0.10851502816037473</v>
      </c>
      <c r="BQ93" s="401">
        <f t="shared" si="582"/>
        <v>0.11576619989795339</v>
      </c>
      <c r="BR93" s="401">
        <f t="shared" si="582"/>
        <v>0.13067042436724297</v>
      </c>
      <c r="BS93" s="401">
        <f>BS59/BS55</f>
        <v>0.10107645597571073</v>
      </c>
      <c r="BT93" s="401">
        <f>BT59/BT55</f>
        <v>0.10284688381636317</v>
      </c>
      <c r="BU93" s="401">
        <f>BU59/BU55</f>
        <v>0.11115854059478729</v>
      </c>
      <c r="BV93" s="401">
        <f>BV59/BV55</f>
        <v>0.12487890882815539</v>
      </c>
      <c r="BW93" s="401"/>
      <c r="BX93" s="401"/>
      <c r="BY93" s="401"/>
      <c r="BZ93" s="401"/>
      <c r="CA93" s="401"/>
      <c r="CB93" s="401"/>
      <c r="CC93" s="401"/>
      <c r="CD93" s="401"/>
      <c r="CE93" s="401"/>
      <c r="CF93" s="401"/>
      <c r="CG93" s="401"/>
      <c r="CH93" s="401"/>
      <c r="CI93" s="401"/>
      <c r="CJ93" s="401"/>
      <c r="CK93" s="401"/>
      <c r="CL93" s="401"/>
      <c r="CM93" s="401"/>
      <c r="CN93" s="401"/>
      <c r="CO93" s="401"/>
      <c r="CP93" s="401"/>
      <c r="CQ93" s="401">
        <f t="shared" ref="CQ93:CX93" si="583">+CQ59/CQ55</f>
        <v>0.12469792170130498</v>
      </c>
      <c r="CR93" s="401">
        <f t="shared" si="583"/>
        <v>0.1476169702257607</v>
      </c>
      <c r="CS93" s="401">
        <f t="shared" si="583"/>
        <v>0.13471207665306897</v>
      </c>
      <c r="CT93" s="401">
        <f t="shared" si="583"/>
        <v>0.1793913507741591</v>
      </c>
      <c r="CU93" s="401">
        <f t="shared" si="583"/>
        <v>0.14237713364096591</v>
      </c>
      <c r="CV93" s="401">
        <f t="shared" si="583"/>
        <v>0.14557776443338766</v>
      </c>
      <c r="CW93" s="401">
        <f t="shared" si="583"/>
        <v>0.14664666809513607</v>
      </c>
      <c r="CX93" s="401">
        <f t="shared" si="583"/>
        <v>0.19026887572056275</v>
      </c>
      <c r="CY93" s="401">
        <f>+CY59/CY55</f>
        <v>0.14778451293434644</v>
      </c>
      <c r="CZ93" s="401">
        <f t="shared" ref="CZ93:DF93" si="584">+CZ59/CZ55</f>
        <v>0</v>
      </c>
      <c r="DA93" s="401">
        <f t="shared" si="584"/>
        <v>0</v>
      </c>
      <c r="DB93" s="401">
        <f t="shared" si="584"/>
        <v>0</v>
      </c>
      <c r="DC93" s="401">
        <f t="shared" si="584"/>
        <v>0</v>
      </c>
      <c r="DD93" s="401">
        <f t="shared" si="584"/>
        <v>0</v>
      </c>
      <c r="DE93" s="401">
        <f t="shared" si="584"/>
        <v>0</v>
      </c>
      <c r="DF93" s="401">
        <f t="shared" si="584"/>
        <v>0</v>
      </c>
      <c r="DH93" s="310">
        <f t="shared" ref="DH93:EB93" si="585">+DH59/DH$55</f>
        <v>7.3690683611765909E-2</v>
      </c>
      <c r="DI93" s="310">
        <f t="shared" si="585"/>
        <v>7.4252136752136752E-2</v>
      </c>
      <c r="DJ93" s="310">
        <f t="shared" si="585"/>
        <v>7.8733831445328195E-2</v>
      </c>
      <c r="DK93" s="310">
        <f t="shared" si="585"/>
        <v>8.1945757289318688E-2</v>
      </c>
      <c r="DL93" s="310">
        <f t="shared" si="585"/>
        <v>8.360447022209648E-2</v>
      </c>
      <c r="DM93" s="310">
        <f t="shared" si="585"/>
        <v>8.1225371806279395E-2</v>
      </c>
      <c r="DN93" s="310">
        <f t="shared" si="585"/>
        <v>8.672115486678697E-2</v>
      </c>
      <c r="DO93" s="310">
        <f t="shared" si="585"/>
        <v>8.8112858464384824E-2</v>
      </c>
      <c r="DP93" s="310">
        <f t="shared" si="585"/>
        <v>9.4568915992752661E-2</v>
      </c>
      <c r="DQ93" s="310">
        <f t="shared" si="585"/>
        <v>9.591241493004185E-2</v>
      </c>
      <c r="DR93" s="310">
        <f t="shared" si="585"/>
        <v>9.4645262276582584E-2</v>
      </c>
      <c r="DS93" s="310">
        <f t="shared" si="585"/>
        <v>0.1004152510381276</v>
      </c>
      <c r="DT93" s="310">
        <f t="shared" si="585"/>
        <v>0.10880499333414131</v>
      </c>
      <c r="DU93" s="310">
        <f t="shared" si="585"/>
        <v>0.10720120069679426</v>
      </c>
      <c r="DV93" s="310">
        <f t="shared" si="585"/>
        <v>0.11056192081273869</v>
      </c>
      <c r="DW93" s="310">
        <f t="shared" si="585"/>
        <v>0.10813226094727435</v>
      </c>
      <c r="DX93" s="310">
        <f t="shared" si="585"/>
        <v>0.12752030385066063</v>
      </c>
      <c r="DY93" s="310">
        <f t="shared" si="585"/>
        <v>0.13052284149726201</v>
      </c>
      <c r="DZ93" s="310">
        <f t="shared" si="585"/>
        <v>0.12570586791063099</v>
      </c>
      <c r="EA93" s="310">
        <f t="shared" si="585"/>
        <v>0.11886049539586177</v>
      </c>
      <c r="EB93" s="310">
        <f t="shared" si="585"/>
        <v>0.11286492075544857</v>
      </c>
      <c r="EC93" s="310">
        <v>0.11</v>
      </c>
      <c r="ED93" s="310">
        <v>0.104</v>
      </c>
      <c r="EE93" s="310">
        <v>0.104</v>
      </c>
      <c r="EF93" s="310">
        <v>0.104</v>
      </c>
      <c r="EG93" s="310">
        <v>0.104</v>
      </c>
      <c r="EH93" s="310">
        <f t="shared" ref="EH93:EM93" si="586">+EH59/EH55</f>
        <v>3.8958582660348899E-2</v>
      </c>
      <c r="EI93" s="310">
        <f t="shared" si="586"/>
        <v>4.0887419661372972E-2</v>
      </c>
      <c r="EJ93" s="310">
        <f t="shared" si="586"/>
        <v>4.2560325054229985E-2</v>
      </c>
      <c r="EK93" s="310">
        <f t="shared" si="586"/>
        <v>4.2556780683493591E-2</v>
      </c>
      <c r="EL93" s="310">
        <f t="shared" si="586"/>
        <v>4.2292621617319996E-2</v>
      </c>
      <c r="EM93" s="310">
        <f t="shared" si="586"/>
        <v>3.6325769500883925E-2</v>
      </c>
      <c r="EN93" s="310">
        <f>+EN59/EN55</f>
        <v>0.15690414493959073</v>
      </c>
      <c r="EO93" s="310">
        <f t="shared" ref="EO93:EU93" si="587">+EO59/EO55</f>
        <v>3.2196092231501494E-2</v>
      </c>
      <c r="EP93" s="310">
        <f t="shared" si="587"/>
        <v>3.2113846205287601E-2</v>
      </c>
      <c r="EQ93" s="310">
        <f t="shared" si="587"/>
        <v>3.199773540046618E-2</v>
      </c>
      <c r="ER93" s="310">
        <f t="shared" si="587"/>
        <v>3.2230983430965185E-2</v>
      </c>
      <c r="ES93" s="310">
        <f t="shared" si="587"/>
        <v>3.2364645108002785E-2</v>
      </c>
      <c r="ET93" s="310">
        <f t="shared" si="587"/>
        <v>3.234149099411774E-2</v>
      </c>
      <c r="EU93" s="310">
        <f t="shared" si="587"/>
        <v>3.2242560908564262E-2</v>
      </c>
    </row>
    <row r="94" spans="1:166" ht="12.75" customHeight="1" x14ac:dyDescent="0.2">
      <c r="B94" s="353" t="s">
        <v>373</v>
      </c>
      <c r="C94" s="310">
        <f t="shared" ref="C94:AD94" si="588">+C61/C55</f>
        <v>0.23219597550306212</v>
      </c>
      <c r="D94" s="310">
        <f t="shared" si="588"/>
        <v>0.22586872586872586</v>
      </c>
      <c r="E94" s="310">
        <f t="shared" si="588"/>
        <v>0.20963122090941641</v>
      </c>
      <c r="F94" s="310">
        <f t="shared" si="588"/>
        <v>0.14866785079928951</v>
      </c>
      <c r="G94" s="310">
        <f t="shared" si="588"/>
        <v>0.24416392875670068</v>
      </c>
      <c r="H94" s="310">
        <f t="shared" si="588"/>
        <v>0.23067611966107557</v>
      </c>
      <c r="I94" s="310">
        <f t="shared" si="588"/>
        <v>0.22781271837875611</v>
      </c>
      <c r="J94" s="310">
        <f t="shared" si="588"/>
        <v>0.15627454059996859</v>
      </c>
      <c r="K94" s="310">
        <f t="shared" si="588"/>
        <v>0.25022597167821631</v>
      </c>
      <c r="L94" s="310">
        <f t="shared" si="588"/>
        <v>0.24000583600817041</v>
      </c>
      <c r="M94" s="310">
        <f t="shared" si="588"/>
        <v>0.22847829308045636</v>
      </c>
      <c r="N94" s="310">
        <f t="shared" si="588"/>
        <v>0.14875672531627163</v>
      </c>
      <c r="O94" s="310">
        <f t="shared" si="588"/>
        <v>0.25030741904631781</v>
      </c>
      <c r="P94" s="310">
        <f t="shared" si="588"/>
        <v>0.24507192328183272</v>
      </c>
      <c r="Q94" s="310">
        <f t="shared" si="588"/>
        <v>0.23014991671293725</v>
      </c>
      <c r="R94" s="310">
        <f t="shared" si="588"/>
        <v>0.16136747326955542</v>
      </c>
      <c r="S94" s="310">
        <f t="shared" si="588"/>
        <v>0.26825824669490439</v>
      </c>
      <c r="T94" s="310">
        <f t="shared" si="588"/>
        <v>0.26084871733397269</v>
      </c>
      <c r="U94" s="310">
        <f t="shared" si="588"/>
        <v>0.2500606943432872</v>
      </c>
      <c r="V94" s="310">
        <f t="shared" si="588"/>
        <v>0.18207782934666192</v>
      </c>
      <c r="W94" s="310">
        <f t="shared" si="588"/>
        <v>0.29875328834496168</v>
      </c>
      <c r="X94" s="310">
        <f t="shared" si="588"/>
        <v>0.28017193871927698</v>
      </c>
      <c r="Y94" s="310">
        <f t="shared" si="588"/>
        <v>0.27646216543672208</v>
      </c>
      <c r="Z94" s="310">
        <f t="shared" si="588"/>
        <v>0.21418696160799744</v>
      </c>
      <c r="AA94" s="310">
        <f t="shared" si="588"/>
        <v>0.29637548360822641</v>
      </c>
      <c r="AB94" s="310">
        <f t="shared" si="588"/>
        <v>0.27951993805652342</v>
      </c>
      <c r="AC94" s="310">
        <f t="shared" si="588"/>
        <v>0.27444040558637844</v>
      </c>
      <c r="AD94" s="310">
        <f t="shared" si="588"/>
        <v>0.20528580208973571</v>
      </c>
      <c r="AE94" s="400">
        <f t="shared" ref="AE94:AZ94" si="589">AE61/AE55</f>
        <v>0.32393190921228304</v>
      </c>
      <c r="AF94" s="400">
        <f t="shared" si="589"/>
        <v>0.32265388496468211</v>
      </c>
      <c r="AG94" s="400">
        <f t="shared" si="589"/>
        <v>0.28685189993940968</v>
      </c>
      <c r="AH94" s="400">
        <f t="shared" si="589"/>
        <v>0.20890840652446674</v>
      </c>
      <c r="AI94" s="400">
        <f t="shared" si="589"/>
        <v>0.29808291770573564</v>
      </c>
      <c r="AJ94" s="400">
        <f t="shared" si="589"/>
        <v>0.27887478451653347</v>
      </c>
      <c r="AK94" s="400">
        <f t="shared" si="589"/>
        <v>0.26450040617384241</v>
      </c>
      <c r="AL94" s="400">
        <f t="shared" si="589"/>
        <v>0.18342585249801743</v>
      </c>
      <c r="AM94" s="400">
        <f t="shared" si="589"/>
        <v>0.28887007389162561</v>
      </c>
      <c r="AN94" s="401">
        <f t="shared" si="589"/>
        <v>0.2664820773778343</v>
      </c>
      <c r="AO94" s="401">
        <f t="shared" si="589"/>
        <v>0.27297358320162562</v>
      </c>
      <c r="AP94" s="401">
        <f t="shared" si="589"/>
        <v>0.21436924426253473</v>
      </c>
      <c r="AQ94" s="401">
        <f t="shared" si="589"/>
        <v>0.28156691191091671</v>
      </c>
      <c r="AR94" s="401">
        <f t="shared" si="589"/>
        <v>0.25683529256373</v>
      </c>
      <c r="AS94" s="401">
        <f t="shared" si="589"/>
        <v>0.26654228026920768</v>
      </c>
      <c r="AT94" s="401">
        <f t="shared" si="589"/>
        <v>0.19890956946794511</v>
      </c>
      <c r="AU94" s="401">
        <f t="shared" si="589"/>
        <v>0.29300975670001234</v>
      </c>
      <c r="AV94" s="401">
        <f t="shared" si="589"/>
        <v>0.2611550151975684</v>
      </c>
      <c r="AW94" s="401">
        <f t="shared" si="589"/>
        <v>0.25695622134288049</v>
      </c>
      <c r="AX94" s="401">
        <f t="shared" si="589"/>
        <v>0.2000395204847846</v>
      </c>
      <c r="AY94" s="401">
        <f t="shared" si="589"/>
        <v>0.30939704512178889</v>
      </c>
      <c r="AZ94" s="401">
        <f t="shared" si="589"/>
        <v>0.2857142857142857</v>
      </c>
      <c r="BA94" s="401">
        <f t="shared" ref="BA94" si="590">BA61/BA55</f>
        <v>0.28267356276109012</v>
      </c>
      <c r="BB94" s="401">
        <f t="shared" ref="BB94:BG94" si="591">BB61/BB55</f>
        <v>0.21207177814029363</v>
      </c>
      <c r="BC94" s="401">
        <f t="shared" si="591"/>
        <v>0.30497089117778775</v>
      </c>
      <c r="BD94" s="401">
        <f t="shared" si="591"/>
        <v>0.28299434661121581</v>
      </c>
      <c r="BE94" s="401">
        <f t="shared" si="591"/>
        <v>0.26845547990922441</v>
      </c>
      <c r="BF94" s="401">
        <f t="shared" si="591"/>
        <v>0.22002045512656609</v>
      </c>
      <c r="BG94" s="401">
        <f t="shared" si="591"/>
        <v>0.31792997760226333</v>
      </c>
      <c r="BH94" s="401">
        <f t="shared" ref="BH94" si="592">BH61/BH55</f>
        <v>0.26077001867807437</v>
      </c>
      <c r="BI94" s="401">
        <f>BI61/BI55</f>
        <v>0.24492346141830679</v>
      </c>
      <c r="BJ94" s="401">
        <f t="shared" ref="BJ94:BM94" si="593">BJ61/BJ55</f>
        <v>0.31188565963551351</v>
      </c>
      <c r="BK94" s="401">
        <f t="shared" si="593"/>
        <v>0.28279323378152305</v>
      </c>
      <c r="BL94" s="401">
        <f>BL61/BL55</f>
        <v>0.28581739444243953</v>
      </c>
      <c r="BM94" s="401">
        <f t="shared" si="593"/>
        <v>0.25844918852888138</v>
      </c>
      <c r="BN94" s="401">
        <f>BN61/BN55</f>
        <v>0.21336630880782417</v>
      </c>
      <c r="BO94" s="401">
        <f t="shared" ref="BO94:BR94" si="594">BO61/BO55</f>
        <v>0.28419193070435378</v>
      </c>
      <c r="BP94" s="401">
        <f t="shared" si="594"/>
        <v>0.30652986114983549</v>
      </c>
      <c r="BQ94" s="401">
        <f t="shared" si="594"/>
        <v>0.28000453540450138</v>
      </c>
      <c r="BR94" s="401">
        <f t="shared" si="594"/>
        <v>0.22589561541379871</v>
      </c>
      <c r="BS94" s="401">
        <f>BS61/BS55</f>
        <v>0.31167540712117031</v>
      </c>
      <c r="BT94" s="401">
        <f>BT61/BT55</f>
        <v>0.30623236727365993</v>
      </c>
      <c r="BU94" s="401">
        <f>BU61/BU55</f>
        <v>0.29670386647306812</v>
      </c>
      <c r="BV94" s="401">
        <f>BV61/BV55</f>
        <v>0.26561282517691231</v>
      </c>
      <c r="BW94" s="401"/>
      <c r="BX94" s="401"/>
      <c r="BY94" s="401"/>
      <c r="BZ94" s="401"/>
      <c r="CA94" s="401"/>
      <c r="CB94" s="401"/>
      <c r="CC94" s="401"/>
      <c r="CD94" s="401"/>
      <c r="CE94" s="401"/>
      <c r="CF94" s="401"/>
      <c r="CG94" s="401"/>
      <c r="CH94" s="401"/>
      <c r="CI94" s="401"/>
      <c r="CJ94" s="401"/>
      <c r="CK94" s="401"/>
      <c r="CL94" s="401"/>
      <c r="CM94" s="401"/>
      <c r="CN94" s="401"/>
      <c r="CO94" s="401"/>
      <c r="CP94" s="401"/>
      <c r="CQ94" s="401">
        <f t="shared" ref="CQ94:CX94" si="595">+CQ61/CQ55</f>
        <v>0.28250362493958436</v>
      </c>
      <c r="CR94" s="401">
        <f t="shared" si="595"/>
        <v>0.22134365797796923</v>
      </c>
      <c r="CS94" s="401">
        <f t="shared" si="595"/>
        <v>0.27696613224551753</v>
      </c>
      <c r="CT94" s="401">
        <f t="shared" si="595"/>
        <v>0.18566470902295781</v>
      </c>
      <c r="CU94" s="401">
        <f t="shared" si="595"/>
        <v>0.2978361184534743</v>
      </c>
      <c r="CV94" s="401">
        <f t="shared" si="595"/>
        <v>0.26850819250235908</v>
      </c>
      <c r="CW94" s="401">
        <f t="shared" si="595"/>
        <v>0.28553674737518747</v>
      </c>
      <c r="CX94" s="401">
        <f t="shared" si="595"/>
        <v>0.20066916596122061</v>
      </c>
      <c r="CY94" s="401">
        <f>+CY61/CY55</f>
        <v>0.27439597028942203</v>
      </c>
      <c r="CZ94" s="401">
        <f t="shared" ref="CZ94:DF94" si="596">+CZ61/CZ55</f>
        <v>0.42500000000000004</v>
      </c>
      <c r="DA94" s="401">
        <f t="shared" si="596"/>
        <v>0.4250000000000001</v>
      </c>
      <c r="DB94" s="401">
        <f t="shared" si="596"/>
        <v>0.42500000000000004</v>
      </c>
      <c r="DC94" s="401">
        <f t="shared" si="596"/>
        <v>0.42499999999999999</v>
      </c>
      <c r="DD94" s="401">
        <f t="shared" si="596"/>
        <v>0.42500000000000004</v>
      </c>
      <c r="DE94" s="401">
        <f t="shared" si="596"/>
        <v>0.4250000000000001</v>
      </c>
      <c r="DF94" s="401">
        <f t="shared" si="596"/>
        <v>0.42499999999999999</v>
      </c>
      <c r="DH94" s="310">
        <f t="shared" ref="DH94:EM94" si="597">+DH61/DH55</f>
        <v>0.17023675310033823</v>
      </c>
      <c r="DI94" s="310">
        <f t="shared" si="597"/>
        <v>0.17735042735042736</v>
      </c>
      <c r="DJ94" s="310">
        <f t="shared" si="597"/>
        <v>0.17385715433437776</v>
      </c>
      <c r="DK94" s="310">
        <f t="shared" si="597"/>
        <v>0.16556387697229696</v>
      </c>
      <c r="DL94" s="310">
        <f t="shared" si="597"/>
        <v>0.16933088131277407</v>
      </c>
      <c r="DM94" s="310">
        <f t="shared" si="597"/>
        <v>0.17840345748061523</v>
      </c>
      <c r="DN94" s="310">
        <f t="shared" si="597"/>
        <v>0.18633902982698228</v>
      </c>
      <c r="DO94" s="310">
        <f t="shared" si="597"/>
        <v>0.19902867715078632</v>
      </c>
      <c r="DP94" s="310">
        <f t="shared" si="597"/>
        <v>0.20425118211144991</v>
      </c>
      <c r="DQ94" s="310">
        <f t="shared" si="597"/>
        <v>0.21325611869636893</v>
      </c>
      <c r="DR94" s="310">
        <f t="shared" si="597"/>
        <v>0.2157183939427032</v>
      </c>
      <c r="DS94" s="310">
        <f t="shared" si="597"/>
        <v>0.22227941933491197</v>
      </c>
      <c r="DT94" s="310">
        <f t="shared" si="597"/>
        <v>0.23891043509877591</v>
      </c>
      <c r="DU94" s="310">
        <f t="shared" si="597"/>
        <v>0.2788233604880811</v>
      </c>
      <c r="DV94" s="310">
        <f t="shared" si="597"/>
        <v>0.26848324340145496</v>
      </c>
      <c r="DW94" s="310">
        <f t="shared" si="597"/>
        <v>0.28330943325643743</v>
      </c>
      <c r="DX94" s="310">
        <f t="shared" si="597"/>
        <v>0.24960604468867428</v>
      </c>
      <c r="DY94" s="310">
        <f t="shared" si="597"/>
        <v>0.26018303203060533</v>
      </c>
      <c r="DZ94" s="310">
        <f t="shared" si="597"/>
        <v>0.24900564694328506</v>
      </c>
      <c r="EA94" s="310">
        <f t="shared" si="597"/>
        <v>0.25364330870472335</v>
      </c>
      <c r="EB94" s="310">
        <f t="shared" si="597"/>
        <v>0.27103090618285214</v>
      </c>
      <c r="EC94" s="310">
        <f t="shared" si="597"/>
        <v>0.26678057114962167</v>
      </c>
      <c r="ED94" s="310">
        <f t="shared" si="597"/>
        <v>0.30004613255420576</v>
      </c>
      <c r="EE94" s="310">
        <f t="shared" si="597"/>
        <v>0.2591258653519713</v>
      </c>
      <c r="EF94" s="310">
        <f t="shared" si="597"/>
        <v>0.27109041956472962</v>
      </c>
      <c r="EG94" s="310">
        <f t="shared" si="597"/>
        <v>0.32065503336551521</v>
      </c>
      <c r="EH94" s="310">
        <f t="shared" si="597"/>
        <v>0.65104141733965104</v>
      </c>
      <c r="EI94" s="310">
        <f t="shared" si="597"/>
        <v>0.64911258033862695</v>
      </c>
      <c r="EJ94" s="310">
        <f t="shared" si="597"/>
        <v>0.64743967494576993</v>
      </c>
      <c r="EK94" s="310">
        <f t="shared" si="597"/>
        <v>0.64744321931650628</v>
      </c>
      <c r="EL94" s="310">
        <f t="shared" si="597"/>
        <v>0.64770737838267989</v>
      </c>
      <c r="EM94" s="310">
        <f t="shared" si="597"/>
        <v>0.65367423049911599</v>
      </c>
      <c r="EN94" s="310">
        <f t="shared" ref="EN94" si="598">+EN61/EN55</f>
        <v>0.26178060718513069</v>
      </c>
      <c r="EO94" s="310">
        <f t="shared" ref="EO94:EU94" si="599">+EO61/EO55</f>
        <v>0.39780390776849839</v>
      </c>
      <c r="EP94" s="310">
        <f t="shared" si="599"/>
        <v>0.39788615379471232</v>
      </c>
      <c r="EQ94" s="310">
        <f t="shared" si="599"/>
        <v>0.39800226459953375</v>
      </c>
      <c r="ER94" s="310">
        <f t="shared" si="599"/>
        <v>0.39776901656903479</v>
      </c>
      <c r="ES94" s="310">
        <f t="shared" si="599"/>
        <v>0.39763535489199714</v>
      </c>
      <c r="ET94" s="310">
        <f t="shared" si="599"/>
        <v>0.39765850900588223</v>
      </c>
      <c r="EU94" s="310">
        <f t="shared" si="599"/>
        <v>0.39775743909143563</v>
      </c>
    </row>
    <row r="95" spans="1:166" ht="12.75" customHeight="1" x14ac:dyDescent="0.2">
      <c r="B95" s="353" t="s">
        <v>374</v>
      </c>
      <c r="C95" s="310">
        <f t="shared" ref="C95:AD95" si="600">+(C64)/C$55</f>
        <v>0.22782152230971128</v>
      </c>
      <c r="D95" s="310">
        <f t="shared" si="600"/>
        <v>0.2270972270972271</v>
      </c>
      <c r="E95" s="310">
        <f t="shared" si="600"/>
        <v>0.21428571428571427</v>
      </c>
      <c r="F95" s="310">
        <f t="shared" si="600"/>
        <v>0.13907637655417407</v>
      </c>
      <c r="G95" s="310">
        <f t="shared" si="600"/>
        <v>0.24796818260418468</v>
      </c>
      <c r="H95" s="310">
        <f t="shared" si="600"/>
        <v>0.23707418295002594</v>
      </c>
      <c r="I95" s="310">
        <f t="shared" si="600"/>
        <v>0.23008385744234802</v>
      </c>
      <c r="J95" s="310">
        <f t="shared" si="600"/>
        <v>0.14512329197424217</v>
      </c>
      <c r="K95" s="310">
        <f t="shared" si="600"/>
        <v>0.24178969569147332</v>
      </c>
      <c r="L95" s="310">
        <f t="shared" si="600"/>
        <v>0.23548292967610154</v>
      </c>
      <c r="M95" s="310">
        <f t="shared" si="600"/>
        <v>0.2238850200029634</v>
      </c>
      <c r="N95" s="310">
        <f t="shared" si="600"/>
        <v>0.14119528864330377</v>
      </c>
      <c r="O95" s="310">
        <f t="shared" si="600"/>
        <v>0.2585052602814592</v>
      </c>
      <c r="P95" s="310">
        <f>+(P64)/P$55</f>
        <v>0.24853489611081514</v>
      </c>
      <c r="Q95" s="310">
        <f t="shared" si="600"/>
        <v>0.24236535258189895</v>
      </c>
      <c r="R95" s="310">
        <f t="shared" si="600"/>
        <v>0.16488463702870004</v>
      </c>
      <c r="S95" s="310">
        <f t="shared" si="600"/>
        <v>0.27467590809908871</v>
      </c>
      <c r="T95" s="310">
        <f t="shared" si="600"/>
        <v>0.2552145768400863</v>
      </c>
      <c r="U95" s="310">
        <f t="shared" si="600"/>
        <v>0.25588735129885892</v>
      </c>
      <c r="V95" s="310">
        <f t="shared" si="600"/>
        <v>0.18433892657384268</v>
      </c>
      <c r="W95" s="310">
        <f t="shared" si="600"/>
        <v>0.29978268328948876</v>
      </c>
      <c r="X95" s="310">
        <f t="shared" si="600"/>
        <v>0.30111319299019068</v>
      </c>
      <c r="Y95" s="310">
        <f t="shared" si="600"/>
        <v>0.2635752836215442</v>
      </c>
      <c r="Z95" s="310">
        <f t="shared" si="600"/>
        <v>0.19663937041369775</v>
      </c>
      <c r="AA95" s="310">
        <f t="shared" si="600"/>
        <v>0.30014253716147427</v>
      </c>
      <c r="AB95" s="310">
        <f t="shared" si="600"/>
        <v>0.28610143244289588</v>
      </c>
      <c r="AC95" s="310">
        <f t="shared" si="600"/>
        <v>0.28199732159938778</v>
      </c>
      <c r="AD95" s="310">
        <f t="shared" si="600"/>
        <v>0.22030028975327071</v>
      </c>
      <c r="AE95" s="400">
        <f t="shared" ref="AE95:AZ95" si="601">AE64/AE55</f>
        <v>0.32785380507343126</v>
      </c>
      <c r="AF95" s="400">
        <f t="shared" si="601"/>
        <v>0.32315842583249244</v>
      </c>
      <c r="AG95" s="400">
        <f t="shared" si="601"/>
        <v>0.28494763264952827</v>
      </c>
      <c r="AH95" s="400">
        <f t="shared" si="601"/>
        <v>0.20585006273525722</v>
      </c>
      <c r="AI95" s="400">
        <f t="shared" si="601"/>
        <v>0.30603179551122195</v>
      </c>
      <c r="AJ95" s="400">
        <f t="shared" si="601"/>
        <v>0.2931358721203573</v>
      </c>
      <c r="AK95" s="400">
        <f t="shared" si="601"/>
        <v>0.27782290820471162</v>
      </c>
      <c r="AL95" s="400">
        <f t="shared" si="601"/>
        <v>0.19920697858842187</v>
      </c>
      <c r="AM95" s="400">
        <f t="shared" si="601"/>
        <v>0.35806650246305421</v>
      </c>
      <c r="AN95" s="401">
        <f t="shared" si="601"/>
        <v>0.28848312504677093</v>
      </c>
      <c r="AO95" s="401">
        <f t="shared" si="601"/>
        <v>0.28418755174230453</v>
      </c>
      <c r="AP95" s="401">
        <f t="shared" si="601"/>
        <v>0.22131267358573309</v>
      </c>
      <c r="AQ95" s="401">
        <f t="shared" si="601"/>
        <v>0.29886657387154503</v>
      </c>
      <c r="AR95" s="401">
        <f t="shared" si="601"/>
        <v>0.26693963809272225</v>
      </c>
      <c r="AS95" s="401">
        <f t="shared" si="601"/>
        <v>0.27014060105284199</v>
      </c>
      <c r="AT95" s="401">
        <f t="shared" si="601"/>
        <v>0.20110296421633139</v>
      </c>
      <c r="AU95" s="401">
        <f t="shared" si="601"/>
        <v>0.29313325923181427</v>
      </c>
      <c r="AV95" s="401">
        <f t="shared" si="601"/>
        <v>0.26838905775075989</v>
      </c>
      <c r="AW95" s="401">
        <f t="shared" si="601"/>
        <v>0.26945543621631807</v>
      </c>
      <c r="AX95" s="401">
        <f t="shared" si="601"/>
        <v>0.21597944934791199</v>
      </c>
      <c r="AY95" s="401">
        <f t="shared" si="601"/>
        <v>0.30899773725542395</v>
      </c>
      <c r="AZ95" s="401">
        <f t="shared" si="601"/>
        <v>0.27974276527331188</v>
      </c>
      <c r="BA95" s="401">
        <f t="shared" ref="BA95" si="602">BA64/BA55</f>
        <v>0.28148000795703204</v>
      </c>
      <c r="BB95" s="401">
        <f t="shared" ref="BB95:BG95" si="603">BB64/BB55</f>
        <v>0.22898918494350795</v>
      </c>
      <c r="BC95" s="401">
        <f t="shared" si="603"/>
        <v>0.30599449811272472</v>
      </c>
      <c r="BD95" s="401">
        <f t="shared" si="603"/>
        <v>0.2780557541100786</v>
      </c>
      <c r="BE95" s="401">
        <f t="shared" si="603"/>
        <v>0.2816045921772794</v>
      </c>
      <c r="BF95" s="401">
        <f t="shared" si="603"/>
        <v>0.22059575556123753</v>
      </c>
      <c r="BG95" s="401">
        <f t="shared" si="603"/>
        <v>0.31256630908876576</v>
      </c>
      <c r="BH95" s="401">
        <f t="shared" ref="BH95" si="604">BH64/BH55</f>
        <v>0.24167018135807677</v>
      </c>
      <c r="BI95" s="401">
        <f>BI64/BI55</f>
        <v>0.25685723211496408</v>
      </c>
      <c r="BJ95" s="401">
        <f t="shared" ref="BJ95:BM95" si="605">BJ64/BJ55</f>
        <v>0.33064130492534932</v>
      </c>
      <c r="BK95" s="401">
        <f t="shared" si="605"/>
        <v>0.31259681516822602</v>
      </c>
      <c r="BL95" s="401">
        <f>BL64/BL55</f>
        <v>0.27805846264886325</v>
      </c>
      <c r="BM95" s="401">
        <f t="shared" si="605"/>
        <v>0.25670408934907801</v>
      </c>
      <c r="BN95" s="401">
        <f>BN64/BN55</f>
        <v>0.19043336518464393</v>
      </c>
      <c r="BO95" s="401">
        <f t="shared" ref="BO95:BR95" si="606">BO64/BO55</f>
        <v>0.24891725552769547</v>
      </c>
      <c r="BP95" s="401">
        <f t="shared" si="606"/>
        <v>0.3026822059889589</v>
      </c>
      <c r="BQ95" s="401">
        <f t="shared" si="606"/>
        <v>0.27751006292873748</v>
      </c>
      <c r="BR95" s="401">
        <f t="shared" si="606"/>
        <v>0.21706140588585984</v>
      </c>
      <c r="BS95" s="401">
        <f>BS64/BS55</f>
        <v>0.30692796025393321</v>
      </c>
      <c r="BT95" s="401">
        <f>BT64/BT55</f>
        <v>0.31033598358553477</v>
      </c>
      <c r="BU95" s="401">
        <f>BU64/BU55</f>
        <v>0.29670386647306812</v>
      </c>
      <c r="BV95" s="401">
        <f>BV64/BV55</f>
        <v>0.26561282517691231</v>
      </c>
      <c r="BW95" s="401"/>
      <c r="BX95" s="401"/>
      <c r="BY95" s="401"/>
      <c r="BZ95" s="401"/>
      <c r="CA95" s="401"/>
      <c r="CB95" s="401"/>
      <c r="CC95" s="401"/>
      <c r="CD95" s="401"/>
      <c r="CE95" s="401"/>
      <c r="CF95" s="401"/>
      <c r="CG95" s="401"/>
      <c r="CH95" s="401"/>
      <c r="CI95" s="401"/>
      <c r="CJ95" s="401"/>
      <c r="CK95" s="401"/>
      <c r="CL95" s="401"/>
      <c r="CM95" s="401"/>
      <c r="CN95" s="401"/>
      <c r="CO95" s="401"/>
      <c r="CP95" s="401"/>
      <c r="CQ95" s="401"/>
      <c r="CR95" s="401"/>
      <c r="CS95" s="401"/>
      <c r="CT95" s="401"/>
      <c r="CU95" s="401"/>
      <c r="CV95" s="401"/>
      <c r="CW95" s="401"/>
      <c r="CX95" s="401"/>
      <c r="CY95" s="401"/>
      <c r="CZ95" s="401"/>
      <c r="DA95" s="401"/>
      <c r="DB95" s="401"/>
      <c r="DC95" s="401"/>
      <c r="DD95" s="401"/>
      <c r="DE95" s="401"/>
      <c r="DF95" s="401"/>
      <c r="DH95" s="310">
        <f t="shared" ref="DH95:EM95" si="607">+(DH64)/DH$55</f>
        <v>0.15517064671517886</v>
      </c>
      <c r="DI95" s="310">
        <f t="shared" si="607"/>
        <v>0.15375712250712251</v>
      </c>
      <c r="DJ95" s="310">
        <f t="shared" si="607"/>
        <v>0.16373423314854985</v>
      </c>
      <c r="DK95" s="310">
        <f t="shared" si="607"/>
        <v>0.16047407838289829</v>
      </c>
      <c r="DL95" s="310">
        <f t="shared" si="607"/>
        <v>0.16494553685103974</v>
      </c>
      <c r="DM95" s="310">
        <f t="shared" si="607"/>
        <v>0.17039532223210882</v>
      </c>
      <c r="DN95" s="310">
        <f t="shared" si="607"/>
        <v>0.17604288292113363</v>
      </c>
      <c r="DO95" s="310">
        <f t="shared" si="607"/>
        <v>0.18654024051803886</v>
      </c>
      <c r="DP95" s="310">
        <f t="shared" si="607"/>
        <v>0.20221839232842811</v>
      </c>
      <c r="DQ95" s="310">
        <f t="shared" si="607"/>
        <v>0.21329838948302829</v>
      </c>
      <c r="DR95" s="310">
        <f t="shared" si="607"/>
        <v>0.20942084379891521</v>
      </c>
      <c r="DS95" s="310">
        <f t="shared" si="607"/>
        <v>0.22797625175881123</v>
      </c>
      <c r="DT95" s="310">
        <f t="shared" si="607"/>
        <v>0.2424857593019028</v>
      </c>
      <c r="DU95" s="310">
        <f t="shared" si="607"/>
        <v>0.27345923672311639</v>
      </c>
      <c r="DV95" s="310">
        <f t="shared" si="607"/>
        <v>0.27686272288235214</v>
      </c>
      <c r="DW95" s="310">
        <f t="shared" si="607"/>
        <v>0.28316395452750587</v>
      </c>
      <c r="DX95" s="310">
        <f t="shared" si="607"/>
        <v>0.26267727989009659</v>
      </c>
      <c r="DY95" s="310">
        <f t="shared" si="607"/>
        <v>0.28713149801215215</v>
      </c>
      <c r="DZ95" s="310">
        <f t="shared" si="607"/>
        <v>0.25723872657336933</v>
      </c>
      <c r="EA95" s="310">
        <f t="shared" si="607"/>
        <v>0.26245940985458138</v>
      </c>
      <c r="EB95" s="310">
        <f t="shared" si="607"/>
        <v>0.27107129586248124</v>
      </c>
      <c r="EC95" s="310">
        <f t="shared" si="607"/>
        <v>0.26915629322268325</v>
      </c>
      <c r="ED95" s="310">
        <f t="shared" si="607"/>
        <v>0.30213747501153315</v>
      </c>
      <c r="EE95" s="310">
        <f t="shared" si="607"/>
        <v>0.25310345845572496</v>
      </c>
      <c r="EF95" s="310">
        <f t="shared" si="607"/>
        <v>0.25853993717747364</v>
      </c>
      <c r="EG95" s="310">
        <f t="shared" si="607"/>
        <v>0.32576565305070698</v>
      </c>
      <c r="EH95" s="310">
        <f t="shared" si="607"/>
        <v>0.65741043299179802</v>
      </c>
      <c r="EI95" s="310">
        <f t="shared" si="607"/>
        <v>0.65924671947194091</v>
      </c>
      <c r="EJ95" s="310">
        <f t="shared" si="607"/>
        <v>0.66141955026563359</v>
      </c>
      <c r="EK95" s="310">
        <f t="shared" si="607"/>
        <v>0.66390204716507362</v>
      </c>
      <c r="EL95" s="310">
        <f t="shared" si="607"/>
        <v>0.66653822174917143</v>
      </c>
      <c r="EM95" s="310">
        <f t="shared" si="607"/>
        <v>0.67199519932968299</v>
      </c>
      <c r="EN95" s="310">
        <f t="shared" ref="EN95" si="608">+(EN64)/EN$55</f>
        <v>0.27490749330859376</v>
      </c>
      <c r="EO95" s="310">
        <f t="shared" ref="EO95:EU95" si="609">+(EO64)/EO$55</f>
        <v>0.41755707712590634</v>
      </c>
      <c r="EP95" s="310">
        <f t="shared" si="609"/>
        <v>0.41915070205031546</v>
      </c>
      <c r="EQ95" s="310">
        <f t="shared" si="609"/>
        <v>0.42075606084481632</v>
      </c>
      <c r="ER95" s="310">
        <f t="shared" si="609"/>
        <v>0.42227801387944169</v>
      </c>
      <c r="ES95" s="310">
        <f t="shared" si="609"/>
        <v>0.39763535489199714</v>
      </c>
      <c r="ET95" s="310">
        <f t="shared" si="609"/>
        <v>0.39765850900588223</v>
      </c>
      <c r="EU95" s="310">
        <f t="shared" si="609"/>
        <v>0.39775743909143563</v>
      </c>
    </row>
    <row r="96" spans="1:166" ht="12.75" customHeight="1" x14ac:dyDescent="0.2">
      <c r="B96" s="353" t="s">
        <v>375</v>
      </c>
      <c r="C96" s="310">
        <f t="shared" ref="C96:AD96" si="610">+C65/C64</f>
        <v>0.30184331797235026</v>
      </c>
      <c r="D96" s="310">
        <f t="shared" si="610"/>
        <v>0.2975270479134467</v>
      </c>
      <c r="E96" s="310">
        <f t="shared" si="610"/>
        <v>0.2857142857142857</v>
      </c>
      <c r="F96" s="310">
        <f t="shared" si="610"/>
        <v>0.19540229885057472</v>
      </c>
      <c r="G96" s="310">
        <f t="shared" si="610"/>
        <v>0.29567642956764295</v>
      </c>
      <c r="H96" s="310">
        <f t="shared" si="610"/>
        <v>0.26695842450765866</v>
      </c>
      <c r="I96" s="310">
        <f t="shared" si="610"/>
        <v>0.27031131359149585</v>
      </c>
      <c r="J96" s="310">
        <f t="shared" si="610"/>
        <v>0.25</v>
      </c>
      <c r="K96" s="310">
        <f t="shared" si="610"/>
        <v>0.297196261682243</v>
      </c>
      <c r="L96" s="310">
        <f t="shared" si="610"/>
        <v>0.28438661710037177</v>
      </c>
      <c r="M96" s="310">
        <f t="shared" si="610"/>
        <v>0.27266710787557907</v>
      </c>
      <c r="N96" s="310">
        <f t="shared" si="610"/>
        <v>0.22348094747682801</v>
      </c>
      <c r="O96" s="310">
        <f t="shared" si="610"/>
        <v>0.30549682875264272</v>
      </c>
      <c r="P96" s="310">
        <f t="shared" si="610"/>
        <v>0.28670953912111469</v>
      </c>
      <c r="Q96" s="310">
        <f t="shared" si="610"/>
        <v>0.27605956471935855</v>
      </c>
      <c r="R96" s="310">
        <f t="shared" si="610"/>
        <v>0.19368600682593856</v>
      </c>
      <c r="S96" s="310">
        <f t="shared" si="610"/>
        <v>0.29906542056074764</v>
      </c>
      <c r="T96" s="310">
        <f t="shared" si="610"/>
        <v>0.30389854391733206</v>
      </c>
      <c r="U96" s="310">
        <f t="shared" si="610"/>
        <v>0.27466793168880455</v>
      </c>
      <c r="V96" s="310">
        <f t="shared" si="610"/>
        <v>0.21885087153001936</v>
      </c>
      <c r="W96" s="310">
        <f t="shared" si="610"/>
        <v>0.30026707363601679</v>
      </c>
      <c r="X96" s="310">
        <f t="shared" si="610"/>
        <v>0.28330893118594436</v>
      </c>
      <c r="Y96" s="310">
        <f t="shared" si="610"/>
        <v>0.27914751358127871</v>
      </c>
      <c r="Z96" s="310">
        <f t="shared" si="610"/>
        <v>0.25148729042725798</v>
      </c>
      <c r="AA96" s="310">
        <f t="shared" si="610"/>
        <v>0.29138398914518315</v>
      </c>
      <c r="AB96" s="310">
        <f t="shared" si="610"/>
        <v>0.2861975642760487</v>
      </c>
      <c r="AC96" s="310">
        <f t="shared" si="610"/>
        <v>0.2974898236092266</v>
      </c>
      <c r="AD96" s="310">
        <f t="shared" si="610"/>
        <v>0.21084097249900358</v>
      </c>
      <c r="AE96" s="400">
        <f t="shared" ref="AE96:AZ96" si="611">AE65/AE64</f>
        <v>0.25731738355815731</v>
      </c>
      <c r="AF96" s="400">
        <f t="shared" si="611"/>
        <v>0.25422846734322146</v>
      </c>
      <c r="AG96" s="400">
        <f t="shared" si="611"/>
        <v>0.28341433778857839</v>
      </c>
      <c r="AH96" s="400">
        <f t="shared" si="611"/>
        <v>0.2358095238095238</v>
      </c>
      <c r="AI96" s="400">
        <f t="shared" si="611"/>
        <v>0.27705627705627706</v>
      </c>
      <c r="AJ96" s="400">
        <f t="shared" si="611"/>
        <v>0.19406575781876503</v>
      </c>
      <c r="AK96" s="400">
        <f t="shared" si="611"/>
        <v>0.25789473684210529</v>
      </c>
      <c r="AL96" s="400">
        <f t="shared" si="611"/>
        <v>0.16361464968152867</v>
      </c>
      <c r="AM96" s="400">
        <f t="shared" si="611"/>
        <v>0.28159931212381772</v>
      </c>
      <c r="AN96" s="401">
        <f t="shared" si="611"/>
        <v>0.20311284046692607</v>
      </c>
      <c r="AO96" s="401">
        <f t="shared" si="611"/>
        <v>0.23861228813559321</v>
      </c>
      <c r="AP96" s="401">
        <f t="shared" si="611"/>
        <v>0.21235138705416115</v>
      </c>
      <c r="AQ96" s="401">
        <f t="shared" si="611"/>
        <v>0.23929917941893991</v>
      </c>
      <c r="AR96" s="401">
        <f t="shared" si="611"/>
        <v>0.23503216229589313</v>
      </c>
      <c r="AS96" s="401">
        <f t="shared" si="611"/>
        <v>0.23300000000000001</v>
      </c>
      <c r="AT96" s="401">
        <f t="shared" si="611"/>
        <v>0.153</v>
      </c>
      <c r="AU96" s="401">
        <f t="shared" si="611"/>
        <v>0.24204760901622077</v>
      </c>
      <c r="AV96" s="401">
        <f t="shared" si="611"/>
        <v>0.23737259343148359</v>
      </c>
      <c r="AW96" s="401">
        <f t="shared" si="611"/>
        <v>0.22843822843822845</v>
      </c>
      <c r="AX96" s="401">
        <f t="shared" si="611"/>
        <v>0.19914608112229337</v>
      </c>
      <c r="AY96" s="401">
        <f t="shared" si="611"/>
        <v>0.24466939478785268</v>
      </c>
      <c r="AZ96" s="401">
        <f t="shared" si="611"/>
        <v>0.24747830166549378</v>
      </c>
      <c r="BA96" s="401">
        <f t="shared" ref="BA96" si="612">BA65/BA64</f>
        <v>0.21201413427561838</v>
      </c>
      <c r="BB96" s="401">
        <f t="shared" ref="BB96:BG96" si="613">BB65/BB64</f>
        <v>0.23905013192612137</v>
      </c>
      <c r="BC96" s="401">
        <f t="shared" si="613"/>
        <v>0.24398912816224128</v>
      </c>
      <c r="BD96" s="401">
        <f t="shared" si="613"/>
        <v>0.195840149567656</v>
      </c>
      <c r="BE96" s="401">
        <f t="shared" si="613"/>
        <v>0.19009243896657976</v>
      </c>
      <c r="BF96" s="401">
        <f t="shared" si="613"/>
        <v>0.17009562445667922</v>
      </c>
      <c r="BG96" s="401">
        <f t="shared" si="613"/>
        <v>0.19498397133697906</v>
      </c>
      <c r="BH96" s="401">
        <f t="shared" ref="BH96" si="614">BH65/BH64</f>
        <v>0.16105709299426577</v>
      </c>
      <c r="BI96" s="401">
        <f>BI65/BI64</f>
        <v>0.22111408416443687</v>
      </c>
      <c r="BJ96" s="401">
        <f t="shared" ref="BJ96:BM96" si="615">BJ65/BJ64</f>
        <v>8.4846537040012854E-2</v>
      </c>
      <c r="BK96" s="401">
        <f t="shared" si="615"/>
        <v>0.22497522299306244</v>
      </c>
      <c r="BL96" s="401">
        <f>BL65/BL64</f>
        <v>0.21674237508111616</v>
      </c>
      <c r="BM96" s="401">
        <f t="shared" si="615"/>
        <v>0.21889870836165873</v>
      </c>
      <c r="BN96" s="401">
        <f>BN65/BN64</f>
        <v>0.15731995277449823</v>
      </c>
      <c r="BO96" s="401">
        <f t="shared" ref="BO96:BR96" si="616">BO65/BO64</f>
        <v>0.1749084249084249</v>
      </c>
      <c r="BP96" s="401">
        <f t="shared" si="616"/>
        <v>0.19952100221075902</v>
      </c>
      <c r="BQ96" s="401">
        <f t="shared" si="616"/>
        <v>0.18631256384065373</v>
      </c>
      <c r="BR96" s="401">
        <f t="shared" si="616"/>
        <v>8.8999999999999996E-2</v>
      </c>
      <c r="BS96" s="401">
        <f>BS65/BS64</f>
        <v>0.12535971223021583</v>
      </c>
      <c r="BT96" s="401">
        <f>BT65/BT64</f>
        <v>0.21487603305785125</v>
      </c>
      <c r="BU96" s="401">
        <f>BU65/BU64</f>
        <v>0.2</v>
      </c>
      <c r="BV96" s="401">
        <f>BV65/BV64</f>
        <v>0.2</v>
      </c>
      <c r="BW96" s="401"/>
      <c r="BX96" s="401"/>
      <c r="BY96" s="401"/>
      <c r="BZ96" s="401"/>
      <c r="CA96" s="401"/>
      <c r="CB96" s="401"/>
      <c r="CC96" s="401"/>
      <c r="CD96" s="401"/>
      <c r="CE96" s="401"/>
      <c r="CF96" s="401"/>
      <c r="CG96" s="401"/>
      <c r="CH96" s="401"/>
      <c r="CI96" s="401"/>
      <c r="CJ96" s="401"/>
      <c r="CK96" s="401"/>
      <c r="CL96" s="401"/>
      <c r="CM96" s="401"/>
      <c r="CN96" s="401"/>
      <c r="CO96" s="401"/>
      <c r="CP96" s="401"/>
      <c r="CQ96" s="401"/>
      <c r="CR96" s="401"/>
      <c r="CS96" s="401"/>
      <c r="CT96" s="401"/>
      <c r="CU96" s="401"/>
      <c r="CV96" s="401"/>
      <c r="CW96" s="401"/>
      <c r="CX96" s="401"/>
      <c r="CY96" s="401"/>
      <c r="CZ96" s="401"/>
      <c r="DA96" s="401"/>
      <c r="DB96" s="401"/>
      <c r="DC96" s="401"/>
      <c r="DD96" s="401"/>
      <c r="DE96" s="401"/>
      <c r="DF96" s="401"/>
      <c r="DH96" s="310">
        <f t="shared" ref="DH96:DW96" si="617">+DH65/DH64</f>
        <v>0.28533685601056802</v>
      </c>
      <c r="DI96" s="310">
        <f t="shared" si="617"/>
        <v>0.27793862188766649</v>
      </c>
      <c r="DJ96" s="310">
        <f t="shared" si="617"/>
        <v>0.2831207065750736</v>
      </c>
      <c r="DK96" s="310">
        <f t="shared" si="617"/>
        <v>0.26370638876302671</v>
      </c>
      <c r="DL96" s="310">
        <f t="shared" si="617"/>
        <v>0.233704974271012</v>
      </c>
      <c r="DM96" s="310">
        <f t="shared" si="617"/>
        <v>0.2517717269675494</v>
      </c>
      <c r="DN96" s="310">
        <f t="shared" si="617"/>
        <v>0.27555019596020502</v>
      </c>
      <c r="DO96" s="310">
        <f t="shared" si="617"/>
        <v>0.28415571534837591</v>
      </c>
      <c r="DP96" s="310">
        <f t="shared" si="617"/>
        <v>0.27819055944055943</v>
      </c>
      <c r="DQ96" s="310">
        <f t="shared" si="617"/>
        <v>0.23979389615537058</v>
      </c>
      <c r="DR96" s="310">
        <f t="shared" si="617"/>
        <v>0.27568225273770208</v>
      </c>
      <c r="DS96" s="310">
        <f t="shared" si="617"/>
        <v>0.2742736715339455</v>
      </c>
      <c r="DT96" s="310">
        <f t="shared" si="617"/>
        <v>0.27864550793452453</v>
      </c>
      <c r="DU96" s="310">
        <f t="shared" si="617"/>
        <v>0.25</v>
      </c>
      <c r="DV96" s="310">
        <f t="shared" si="617"/>
        <v>0.26523095810527392</v>
      </c>
      <c r="DW96" s="310">
        <f t="shared" si="617"/>
        <v>0.31772477064220184</v>
      </c>
      <c r="DX96" s="310">
        <f>+DX65/DX64</f>
        <v>0.24957698815566837</v>
      </c>
      <c r="DY96" s="310">
        <f>DY65/DY64</f>
        <v>0.27287571027365948</v>
      </c>
      <c r="DZ96" s="310">
        <f>DZ65/DZ64</f>
        <v>0.22044788750318148</v>
      </c>
      <c r="EA96" s="310">
        <f>EA65/EA64</f>
        <v>0.22891638276253662</v>
      </c>
      <c r="EB96" s="310">
        <f t="shared" ref="EB96:ED96" si="618">EB65/EB64</f>
        <v>0</v>
      </c>
      <c r="EC96" s="310">
        <f t="shared" si="618"/>
        <v>0.20518711081554925</v>
      </c>
      <c r="ED96" s="310">
        <f t="shared" si="618"/>
        <v>0.15864210097719869</v>
      </c>
      <c r="EE96" s="310">
        <f t="shared" ref="EE96:EG96" si="619">ED96+1%</f>
        <v>0.1686421009771987</v>
      </c>
      <c r="EF96" s="310">
        <f t="shared" si="619"/>
        <v>0.17864210097719871</v>
      </c>
      <c r="EG96" s="310">
        <f t="shared" si="619"/>
        <v>0.18864210097719872</v>
      </c>
      <c r="EH96" s="310">
        <f t="shared" ref="EH96:EM96" si="620">+EH65/EH64</f>
        <v>0</v>
      </c>
      <c r="EI96" s="310">
        <f t="shared" si="620"/>
        <v>0</v>
      </c>
      <c r="EJ96" s="310">
        <f t="shared" si="620"/>
        <v>0.25</v>
      </c>
      <c r="EK96" s="310">
        <f t="shared" si="620"/>
        <v>0.25</v>
      </c>
      <c r="EL96" s="310">
        <f t="shared" si="620"/>
        <v>0.25</v>
      </c>
      <c r="EM96" s="310">
        <f t="shared" si="620"/>
        <v>0.25</v>
      </c>
      <c r="EN96" s="310">
        <f>+EN65/EN64</f>
        <v>7.3622963537626068E-2</v>
      </c>
      <c r="EO96" s="310">
        <f t="shared" ref="EO96:EU96" si="621">+EO65/EO64</f>
        <v>0.25</v>
      </c>
      <c r="EP96" s="310">
        <f t="shared" si="621"/>
        <v>0.25</v>
      </c>
      <c r="EQ96" s="310">
        <f t="shared" si="621"/>
        <v>0.25</v>
      </c>
      <c r="ER96" s="310">
        <f t="shared" si="621"/>
        <v>0.25</v>
      </c>
      <c r="ES96" s="310">
        <f t="shared" si="621"/>
        <v>0.25</v>
      </c>
      <c r="ET96" s="310">
        <f t="shared" si="621"/>
        <v>0.25</v>
      </c>
      <c r="EU96" s="310">
        <f t="shared" si="621"/>
        <v>0.25</v>
      </c>
    </row>
    <row r="97" spans="2:153" ht="12.75" customHeight="1" x14ac:dyDescent="0.2">
      <c r="B97" s="415" t="s">
        <v>376</v>
      </c>
      <c r="C97" s="312">
        <f t="shared" ref="C97:AH97" si="622">C66/C55</f>
        <v>0.15905511811023623</v>
      </c>
      <c r="D97" s="312">
        <f t="shared" si="622"/>
        <v>0.15952965952965953</v>
      </c>
      <c r="E97" s="312">
        <f t="shared" si="622"/>
        <v>0.15306122448979592</v>
      </c>
      <c r="F97" s="312">
        <f t="shared" si="622"/>
        <v>0.11190053285968028</v>
      </c>
      <c r="G97" s="312">
        <f t="shared" si="622"/>
        <v>0.17464983572540205</v>
      </c>
      <c r="H97" s="312">
        <f t="shared" si="622"/>
        <v>0.17378523257824657</v>
      </c>
      <c r="I97" s="312">
        <f t="shared" si="622"/>
        <v>0.16788958770090845</v>
      </c>
      <c r="J97" s="312">
        <f t="shared" si="622"/>
        <v>0.10884246898068164</v>
      </c>
      <c r="K97" s="312">
        <f t="shared" si="622"/>
        <v>0.16993070201868032</v>
      </c>
      <c r="L97" s="312">
        <f t="shared" si="622"/>
        <v>0.16851473592063029</v>
      </c>
      <c r="M97" s="312">
        <f t="shared" si="622"/>
        <v>0.16283893910208919</v>
      </c>
      <c r="N97" s="312">
        <f t="shared" si="622"/>
        <v>0.10964083175803403</v>
      </c>
      <c r="O97" s="312">
        <f t="shared" si="622"/>
        <v>0.17953272304959694</v>
      </c>
      <c r="P97" s="312">
        <f t="shared" si="622"/>
        <v>0.1772775705913692</v>
      </c>
      <c r="Q97" s="312">
        <f t="shared" si="622"/>
        <v>0.17545807884508607</v>
      </c>
      <c r="R97" s="312">
        <f t="shared" si="622"/>
        <v>0.13294879009566685</v>
      </c>
      <c r="S97" s="312">
        <f t="shared" si="622"/>
        <v>0.19252984212552945</v>
      </c>
      <c r="T97" s="312">
        <f t="shared" si="622"/>
        <v>0.17765523855190601</v>
      </c>
      <c r="U97" s="312">
        <f t="shared" si="622"/>
        <v>0.18560330177227483</v>
      </c>
      <c r="V97" s="312">
        <f t="shared" si="622"/>
        <v>0.14399619183624895</v>
      </c>
      <c r="W97" s="312">
        <f t="shared" si="622"/>
        <v>0.20976781425140112</v>
      </c>
      <c r="X97" s="312">
        <f t="shared" si="622"/>
        <v>0.21580513611815277</v>
      </c>
      <c r="Y97" s="312">
        <f t="shared" si="622"/>
        <v>0.1899988985571098</v>
      </c>
      <c r="Z97" s="312">
        <f t="shared" si="622"/>
        <v>0.14718706795703498</v>
      </c>
      <c r="AA97" s="312">
        <f t="shared" si="622"/>
        <v>0.21268580737120749</v>
      </c>
      <c r="AB97" s="312">
        <f t="shared" si="622"/>
        <v>0.20421989934185056</v>
      </c>
      <c r="AC97" s="312">
        <f t="shared" si="622"/>
        <v>0.19810598813851157</v>
      </c>
      <c r="AD97" s="312">
        <f t="shared" si="622"/>
        <v>0.17385196241987882</v>
      </c>
      <c r="AE97" s="312">
        <f t="shared" si="622"/>
        <v>0.2434913217623498</v>
      </c>
      <c r="AF97" s="312">
        <f t="shared" si="622"/>
        <v>0.24100235452404978</v>
      </c>
      <c r="AG97" s="312">
        <f t="shared" si="622"/>
        <v>0.20418938803773912</v>
      </c>
      <c r="AH97" s="312">
        <f t="shared" si="622"/>
        <v>0.1573086574654956</v>
      </c>
      <c r="AI97" s="312">
        <f t="shared" ref="AI97:AZ97" si="623">AI66/AI55</f>
        <v>0.22124376558603492</v>
      </c>
      <c r="AJ97" s="312">
        <f t="shared" si="623"/>
        <v>0.23624823695345556</v>
      </c>
      <c r="AK97" s="312">
        <f t="shared" si="623"/>
        <v>0.20617384240454914</v>
      </c>
      <c r="AL97" s="312">
        <f t="shared" si="623"/>
        <v>0.16661379857256145</v>
      </c>
      <c r="AM97" s="312">
        <f t="shared" si="623"/>
        <v>0.25723522167487683</v>
      </c>
      <c r="AN97" s="312">
        <f t="shared" si="623"/>
        <v>0.22988849809174586</v>
      </c>
      <c r="AO97" s="312">
        <f t="shared" si="623"/>
        <v>0.21637690976142093</v>
      </c>
      <c r="AP97" s="312">
        <f t="shared" si="623"/>
        <v>0.17431662037713785</v>
      </c>
      <c r="AQ97" s="312">
        <f t="shared" si="623"/>
        <v>0.22734804798833433</v>
      </c>
      <c r="AR97" s="312">
        <f t="shared" si="623"/>
        <v>0.20420023774930657</v>
      </c>
      <c r="AS97" s="312">
        <f t="shared" si="623"/>
        <v>0.2071978410075298</v>
      </c>
      <c r="AT97" s="312">
        <f t="shared" si="623"/>
        <v>0.18123851601178168</v>
      </c>
      <c r="AU97" s="312">
        <f t="shared" si="623"/>
        <v>0.22218105471162158</v>
      </c>
      <c r="AV97" s="312">
        <f t="shared" si="623"/>
        <v>0.2046808510638298</v>
      </c>
      <c r="AW97" s="312">
        <f t="shared" si="623"/>
        <v>0.2079015137240123</v>
      </c>
      <c r="AX97" s="312">
        <f t="shared" si="623"/>
        <v>0.17296798840732447</v>
      </c>
      <c r="AY97" s="312">
        <f t="shared" si="623"/>
        <v>0.23339544789032343</v>
      </c>
      <c r="AZ97" s="312">
        <f t="shared" si="623"/>
        <v>0.21051250082026379</v>
      </c>
      <c r="BA97" s="312">
        <f t="shared" ref="BA97" si="624">BA66/BA55</f>
        <v>0.2218022677541277</v>
      </c>
      <c r="BB97" s="312">
        <f t="shared" ref="BB97:BG97" si="625">BB66/BB55</f>
        <v>0.17424929007310735</v>
      </c>
      <c r="BC97" s="312">
        <f t="shared" si="625"/>
        <v>0.23133516729575843</v>
      </c>
      <c r="BD97" s="312">
        <f t="shared" si="625"/>
        <v>0.22360127363701346</v>
      </c>
      <c r="BE97" s="312">
        <f t="shared" si="625"/>
        <v>0.22807368842611134</v>
      </c>
      <c r="BF97" s="312">
        <f t="shared" si="625"/>
        <v>0.18307338276655588</v>
      </c>
      <c r="BG97" s="312">
        <f t="shared" si="625"/>
        <v>0.25162088883649653</v>
      </c>
      <c r="BH97" s="312">
        <f t="shared" ref="BH97" si="626">BH66/BH55</f>
        <v>0.20274748448514793</v>
      </c>
      <c r="BI97" s="312">
        <f>BI66/BI55</f>
        <v>0.20006248047485162</v>
      </c>
      <c r="BJ97" s="312">
        <f t="shared" ref="BJ97:BM97" si="627">BJ66/BJ55</f>
        <v>0.3025875352000425</v>
      </c>
      <c r="BK97" s="312">
        <f t="shared" si="627"/>
        <v>0.24227027696883327</v>
      </c>
      <c r="BL97" s="312">
        <f>BL66/BL55</f>
        <v>0.21779141104294478</v>
      </c>
      <c r="BM97" s="312">
        <f t="shared" si="627"/>
        <v>0.200511895759409</v>
      </c>
      <c r="BN97" s="312">
        <f>BN66/BN55</f>
        <v>0.16047439716710696</v>
      </c>
      <c r="BO97" s="312">
        <f t="shared" ref="BO97:BR97" si="628">BO66/BO55</f>
        <v>0.20537953043081833</v>
      </c>
      <c r="BP97" s="312">
        <f t="shared" si="628"/>
        <v>0.24229074889867841</v>
      </c>
      <c r="BQ97" s="312">
        <f t="shared" si="628"/>
        <v>0.22580645161290322</v>
      </c>
      <c r="BR97" s="312">
        <f t="shared" si="628"/>
        <v>0.19774294076201832</v>
      </c>
      <c r="BS97" s="312">
        <f>BS66/BS55</f>
        <v>0.26845155948109301</v>
      </c>
      <c r="BT97" s="312">
        <f>BT66/BT55</f>
        <v>0.2436522185175686</v>
      </c>
      <c r="BU97" s="312">
        <f>BU66/BU55</f>
        <v>0.23736309317845447</v>
      </c>
      <c r="BV97" s="312">
        <f>BV66/BV55</f>
        <v>0.21249026014152989</v>
      </c>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H97" s="312">
        <f t="shared" ref="DH97:EM97" si="629">DH66/DH55</f>
        <v>0.11089474223634314</v>
      </c>
      <c r="DI97" s="312">
        <f t="shared" si="629"/>
        <v>0.11102207977207977</v>
      </c>
      <c r="DJ97" s="312">
        <f t="shared" si="629"/>
        <v>0.11737768136900457</v>
      </c>
      <c r="DK97" s="312">
        <f t="shared" si="629"/>
        <v>0.11815603868246928</v>
      </c>
      <c r="DL97" s="312">
        <f t="shared" si="629"/>
        <v>0.12639694440514923</v>
      </c>
      <c r="DM97" s="312">
        <f t="shared" si="629"/>
        <v>0.1274945976865387</v>
      </c>
      <c r="DN97" s="312">
        <f t="shared" si="629"/>
        <v>0.12753423203481584</v>
      </c>
      <c r="DO97" s="312">
        <f t="shared" si="629"/>
        <v>0.13353376503237743</v>
      </c>
      <c r="DP97" s="312">
        <f t="shared" si="629"/>
        <v>0.14596314463741217</v>
      </c>
      <c r="DQ97" s="312">
        <f t="shared" si="629"/>
        <v>0.16215073762522719</v>
      </c>
      <c r="DR97" s="312">
        <f t="shared" si="629"/>
        <v>0.15168723381019986</v>
      </c>
      <c r="DS97" s="312">
        <f t="shared" si="629"/>
        <v>0.16544836816637495</v>
      </c>
      <c r="DT97" s="312">
        <f t="shared" si="629"/>
        <v>0.17491819173433523</v>
      </c>
      <c r="DU97" s="312">
        <f t="shared" si="629"/>
        <v>0.20509442754233731</v>
      </c>
      <c r="DV97" s="312">
        <f t="shared" si="629"/>
        <v>0.20343015762863093</v>
      </c>
      <c r="DW97" s="312">
        <f t="shared" si="629"/>
        <v>0.19319575202111519</v>
      </c>
      <c r="DX97" s="312">
        <f t="shared" si="629"/>
        <v>0.19711907551820276</v>
      </c>
      <c r="DY97" s="312">
        <f t="shared" si="629"/>
        <v>0.20878028655014627</v>
      </c>
      <c r="DZ97" s="312">
        <f t="shared" si="629"/>
        <v>0.20053099271626154</v>
      </c>
      <c r="EA97" s="312">
        <f t="shared" si="629"/>
        <v>0.20237815112868057</v>
      </c>
      <c r="EB97" s="312">
        <f t="shared" si="629"/>
        <v>0.27107129586248124</v>
      </c>
      <c r="EC97" s="312">
        <f t="shared" si="629"/>
        <v>0.21392889105849808</v>
      </c>
      <c r="ED97" s="312">
        <f t="shared" si="629"/>
        <v>0.25420575119175765</v>
      </c>
      <c r="EE97" s="312">
        <f t="shared" si="629"/>
        <v>0.19943318523329445</v>
      </c>
      <c r="EF97" s="312">
        <f t="shared" si="629"/>
        <v>0.21485240913170295</v>
      </c>
      <c r="EG97" s="312">
        <f t="shared" si="629"/>
        <v>0.26431253583301245</v>
      </c>
      <c r="EH97" s="312">
        <f t="shared" si="629"/>
        <v>0.65741043299179802</v>
      </c>
      <c r="EI97" s="312">
        <f t="shared" si="629"/>
        <v>0.65924671947194091</v>
      </c>
      <c r="EJ97" s="312">
        <f t="shared" si="629"/>
        <v>0.49606466269922528</v>
      </c>
      <c r="EK97" s="312">
        <f t="shared" si="629"/>
        <v>0.49792653537380521</v>
      </c>
      <c r="EL97" s="312">
        <f t="shared" si="629"/>
        <v>0.4999036663118786</v>
      </c>
      <c r="EM97" s="312">
        <f t="shared" si="629"/>
        <v>0.50399639949726216</v>
      </c>
      <c r="EN97" s="312">
        <f t="shared" ref="EN97" si="630">EN66/EN55</f>
        <v>0.25466798895251502</v>
      </c>
      <c r="EO97" s="312">
        <f t="shared" ref="EO97:EU97" si="631">EO66/EO55</f>
        <v>0.31316780784442977</v>
      </c>
      <c r="EP97" s="312">
        <f t="shared" si="631"/>
        <v>0.31436302653773657</v>
      </c>
      <c r="EQ97" s="312">
        <f t="shared" si="631"/>
        <v>0.31556704563361226</v>
      </c>
      <c r="ER97" s="312">
        <f t="shared" si="631"/>
        <v>0.31670851040958126</v>
      </c>
      <c r="ES97" s="312">
        <f t="shared" si="631"/>
        <v>0.29822651616899787</v>
      </c>
      <c r="ET97" s="312">
        <f t="shared" si="631"/>
        <v>0.29824388175441169</v>
      </c>
      <c r="EU97" s="312">
        <f t="shared" si="631"/>
        <v>0.29831807931857673</v>
      </c>
    </row>
    <row r="99" spans="2:153" ht="12.75" customHeight="1" x14ac:dyDescent="0.2">
      <c r="B99" s="353" t="s">
        <v>377</v>
      </c>
      <c r="K99" s="317">
        <v>2697</v>
      </c>
      <c r="L99" s="317">
        <v>2957</v>
      </c>
      <c r="M99" s="317">
        <v>2936.4</v>
      </c>
      <c r="N99" s="317">
        <v>2639.4</v>
      </c>
      <c r="O99" s="317">
        <v>3163</v>
      </c>
      <c r="P99" s="317">
        <v>3383</v>
      </c>
      <c r="Q99" s="317">
        <v>3168</v>
      </c>
      <c r="R99" s="317">
        <v>2947</v>
      </c>
      <c r="S99" s="317">
        <v>3489</v>
      </c>
      <c r="T99" s="317">
        <v>3864.4</v>
      </c>
      <c r="U99" s="317">
        <v>3677.4</v>
      </c>
      <c r="V99" s="317">
        <v>3820</v>
      </c>
      <c r="W99" s="317">
        <v>4181</v>
      </c>
      <c r="X99" s="317">
        <v>4258</v>
      </c>
      <c r="Y99" s="317">
        <v>4277</v>
      </c>
      <c r="Z99" s="317">
        <v>4435</v>
      </c>
      <c r="AA99" s="351">
        <v>4666</v>
      </c>
      <c r="AB99" s="351">
        <v>4884</v>
      </c>
      <c r="AC99" s="351">
        <v>4835</v>
      </c>
      <c r="AD99" s="351">
        <v>5134</v>
      </c>
      <c r="AE99" s="351">
        <v>5376</v>
      </c>
      <c r="AF99" s="351">
        <f t="shared" ref="AF99:AL99" si="632">SUM(AF8:AF43)</f>
        <v>5296</v>
      </c>
      <c r="AG99" s="351">
        <f t="shared" si="632"/>
        <v>4940</v>
      </c>
      <c r="AH99" s="351">
        <f t="shared" si="632"/>
        <v>5242</v>
      </c>
      <c r="AI99" s="351">
        <f t="shared" si="632"/>
        <v>5178</v>
      </c>
      <c r="AJ99" s="351">
        <f t="shared" si="632"/>
        <v>4986</v>
      </c>
      <c r="AK99" s="351">
        <f t="shared" si="632"/>
        <v>4833</v>
      </c>
      <c r="AL99" s="351">
        <f t="shared" si="632"/>
        <v>4790</v>
      </c>
      <c r="AM99" s="351">
        <f>SUM(AM3:AM43)</f>
        <v>5626</v>
      </c>
      <c r="AN99" s="351">
        <f>SUM(AN3:AN43)</f>
        <v>5810</v>
      </c>
      <c r="AO99" s="351">
        <f>SUM(AO3:AO43)</f>
        <v>5881</v>
      </c>
      <c r="AP99" s="351">
        <f>SUM(AP3:AP43)</f>
        <v>5950</v>
      </c>
      <c r="AQ99" s="351">
        <f>SUM(AQ3:AQ43)-AQ8</f>
        <v>5093</v>
      </c>
      <c r="AR99" s="351">
        <f>SUM(AR3:AR43)-AR8</f>
        <v>5023</v>
      </c>
      <c r="AS99" s="351">
        <f>SUM(AS3:AS43)-AS8</f>
        <v>4974</v>
      </c>
      <c r="AT99" s="351">
        <f>SUM(AT3:AT43)-AT8</f>
        <v>5177</v>
      </c>
      <c r="AU99" s="351">
        <f>SUM(AU3:AU43)-AU11</f>
        <v>6363</v>
      </c>
      <c r="AV99" s="351">
        <f t="shared" ref="AV99:BV99" si="633">SUM(AV3:AV43)</f>
        <v>6340</v>
      </c>
      <c r="AW99" s="351">
        <f t="shared" si="633"/>
        <v>6113</v>
      </c>
      <c r="AX99" s="351">
        <f t="shared" si="633"/>
        <v>5685</v>
      </c>
      <c r="AY99" s="351">
        <f t="shared" si="633"/>
        <v>5780</v>
      </c>
      <c r="AZ99" s="351">
        <f t="shared" si="633"/>
        <v>5498</v>
      </c>
      <c r="BA99" s="313">
        <f t="shared" si="633"/>
        <v>5249</v>
      </c>
      <c r="BB99" s="313">
        <f t="shared" si="633"/>
        <v>5993</v>
      </c>
      <c r="BC99" s="351">
        <f t="shared" si="633"/>
        <v>5638</v>
      </c>
      <c r="BD99" s="351">
        <f t="shared" si="633"/>
        <v>5612</v>
      </c>
      <c r="BE99" s="351">
        <f t="shared" si="633"/>
        <v>5495</v>
      </c>
      <c r="BF99" s="351">
        <f t="shared" si="633"/>
        <v>5710</v>
      </c>
      <c r="BG99" s="351">
        <f t="shared" si="633"/>
        <v>6059</v>
      </c>
      <c r="BH99" s="351">
        <f t="shared" si="633"/>
        <v>6233</v>
      </c>
      <c r="BI99" s="351">
        <f t="shared" si="633"/>
        <v>5982</v>
      </c>
      <c r="BJ99" s="351">
        <f t="shared" si="633"/>
        <v>6094</v>
      </c>
      <c r="BK99" s="351">
        <f t="shared" si="633"/>
        <v>6133</v>
      </c>
      <c r="BL99" s="351">
        <f t="shared" si="633"/>
        <v>6442</v>
      </c>
      <c r="BM99" s="351">
        <f t="shared" si="633"/>
        <v>6541</v>
      </c>
      <c r="BN99" s="351">
        <f t="shared" si="633"/>
        <v>6758</v>
      </c>
      <c r="BO99" s="351">
        <f t="shared" si="633"/>
        <v>6811</v>
      </c>
      <c r="BP99" s="351">
        <f t="shared" si="633"/>
        <v>7081</v>
      </c>
      <c r="BQ99" s="351">
        <f t="shared" si="633"/>
        <v>7100</v>
      </c>
      <c r="BR99" s="351">
        <f t="shared" si="633"/>
        <v>7392</v>
      </c>
      <c r="BS99" s="351">
        <f t="shared" si="633"/>
        <v>7498</v>
      </c>
      <c r="BT99" s="351">
        <f t="shared" si="633"/>
        <v>8509</v>
      </c>
      <c r="BU99" s="351">
        <f t="shared" si="633"/>
        <v>8376.9700000000012</v>
      </c>
      <c r="BV99" s="351">
        <f t="shared" si="633"/>
        <v>8800.24</v>
      </c>
      <c r="BW99" s="351"/>
      <c r="BX99" s="351"/>
      <c r="BY99" s="351"/>
      <c r="BZ99" s="351"/>
      <c r="CA99" s="351"/>
      <c r="CB99" s="351"/>
      <c r="CC99" s="351"/>
      <c r="CD99" s="351"/>
      <c r="CE99" s="351"/>
      <c r="CF99" s="351"/>
      <c r="CG99" s="351"/>
      <c r="CH99" s="351"/>
      <c r="CI99" s="351"/>
      <c r="CJ99" s="351"/>
      <c r="CK99" s="351"/>
      <c r="CL99" s="351"/>
      <c r="CM99" s="351"/>
      <c r="CN99" s="351"/>
      <c r="CO99" s="351"/>
      <c r="CP99" s="351"/>
      <c r="CQ99" s="351"/>
      <c r="CR99" s="351"/>
      <c r="CS99" s="351"/>
      <c r="CT99" s="351"/>
      <c r="CU99" s="351"/>
      <c r="CV99" s="351"/>
      <c r="CW99" s="351"/>
      <c r="CX99" s="351"/>
      <c r="CY99" s="351"/>
      <c r="CZ99" s="351"/>
      <c r="DA99" s="351"/>
      <c r="DB99" s="351"/>
      <c r="DC99" s="351"/>
      <c r="DD99" s="351"/>
      <c r="DE99" s="351"/>
      <c r="DF99" s="351"/>
      <c r="DK99" s="351">
        <v>4340</v>
      </c>
      <c r="DL99" s="351">
        <v>4490</v>
      </c>
      <c r="DM99" s="351">
        <v>5158</v>
      </c>
      <c r="DN99" s="351">
        <v>6274</v>
      </c>
      <c r="DO99" s="351">
        <v>7188</v>
      </c>
      <c r="DP99" s="351">
        <v>7696</v>
      </c>
      <c r="DQ99" s="351">
        <v>8562</v>
      </c>
      <c r="DR99" s="351">
        <v>10694</v>
      </c>
      <c r="DS99" s="351">
        <v>11954</v>
      </c>
      <c r="DT99" s="351">
        <v>14851</v>
      </c>
      <c r="DU99" s="351">
        <v>17151</v>
      </c>
      <c r="DV99" s="351">
        <v>19517</v>
      </c>
      <c r="DW99" s="351">
        <v>22128</v>
      </c>
      <c r="DX99" s="351">
        <v>22322</v>
      </c>
      <c r="DY99" s="351">
        <f t="shared" ref="DY99:EI99" si="634">SUM(DY3:DY43)</f>
        <v>23267</v>
      </c>
      <c r="DZ99" s="351">
        <f t="shared" si="634"/>
        <v>24866</v>
      </c>
      <c r="EA99" s="351">
        <f t="shared" si="634"/>
        <v>24567</v>
      </c>
      <c r="EB99" s="351">
        <f t="shared" si="634"/>
        <v>22520</v>
      </c>
      <c r="EC99" s="351">
        <f t="shared" si="634"/>
        <v>22264</v>
      </c>
      <c r="ED99" s="351">
        <f t="shared" si="634"/>
        <v>24368</v>
      </c>
      <c r="EE99" s="351">
        <f t="shared" si="634"/>
        <v>25874</v>
      </c>
      <c r="EF99" s="351">
        <f t="shared" si="634"/>
        <v>28125</v>
      </c>
      <c r="EG99" s="351">
        <f t="shared" si="634"/>
        <v>32378.81</v>
      </c>
      <c r="EH99" s="351">
        <f t="shared" si="634"/>
        <v>32435.781500000001</v>
      </c>
      <c r="EI99" s="351">
        <f t="shared" si="634"/>
        <v>28087.057000000001</v>
      </c>
      <c r="EJ99" s="351"/>
      <c r="EK99" s="351"/>
      <c r="EL99" s="351"/>
      <c r="EM99" s="351"/>
    </row>
    <row r="100" spans="2:153" ht="12.75" customHeight="1" x14ac:dyDescent="0.2">
      <c r="B100" s="353" t="s">
        <v>378</v>
      </c>
      <c r="W100" s="351">
        <v>1664</v>
      </c>
      <c r="X100" s="351">
        <v>1577</v>
      </c>
      <c r="Y100" s="351">
        <v>1455</v>
      </c>
      <c r="Z100" s="351">
        <v>1091</v>
      </c>
      <c r="AA100" s="351">
        <v>1859</v>
      </c>
      <c r="AB100" s="351">
        <v>1091</v>
      </c>
      <c r="AC100" s="351">
        <v>1751</v>
      </c>
      <c r="AD100" s="351">
        <v>1195</v>
      </c>
      <c r="AE100" s="351">
        <v>2085</v>
      </c>
      <c r="AF100" s="351">
        <v>2108</v>
      </c>
      <c r="AG100" s="351">
        <v>1922</v>
      </c>
      <c r="AH100" s="351">
        <v>1493</v>
      </c>
      <c r="AI100" s="351">
        <v>2076</v>
      </c>
      <c r="AJ100" s="351">
        <v>1585</v>
      </c>
      <c r="AK100" s="351">
        <v>1795</v>
      </c>
      <c r="AL100" s="351">
        <v>1093</v>
      </c>
      <c r="AM100" s="351">
        <v>1927</v>
      </c>
      <c r="AN100" s="351">
        <v>1743</v>
      </c>
      <c r="AO100" s="313"/>
      <c r="AP100" s="351"/>
      <c r="AQ100" s="351"/>
      <c r="AR100" s="351"/>
      <c r="AS100" s="351"/>
      <c r="AT100" s="351"/>
      <c r="AU100" s="351"/>
      <c r="AV100" s="351"/>
      <c r="AW100" s="351"/>
      <c r="AX100" s="351"/>
      <c r="BC100" s="351">
        <v>1970</v>
      </c>
      <c r="DK100" s="351">
        <v>1364</v>
      </c>
      <c r="DL100" s="351">
        <v>1406</v>
      </c>
      <c r="DM100" s="351">
        <v>1669</v>
      </c>
      <c r="DN100" s="351">
        <v>2073</v>
      </c>
      <c r="DO100" s="351">
        <v>2477</v>
      </c>
      <c r="DP100" s="351">
        <v>2669</v>
      </c>
      <c r="DQ100" s="351">
        <v>3081</v>
      </c>
      <c r="DR100" s="351">
        <v>3595</v>
      </c>
      <c r="DS100" s="351">
        <v>4175</v>
      </c>
      <c r="DT100" s="351">
        <v>4928</v>
      </c>
      <c r="DU100" s="351">
        <v>5787</v>
      </c>
      <c r="DV100" s="351">
        <v>5896</v>
      </c>
      <c r="DW100" s="351">
        <v>7608</v>
      </c>
      <c r="DX100" s="351">
        <f>6610+302</f>
        <v>6912</v>
      </c>
      <c r="DY100" s="351"/>
      <c r="DZ100" s="351"/>
      <c r="EA100" s="351"/>
      <c r="EB100" s="351"/>
      <c r="EC100" s="351"/>
      <c r="ED100" s="351"/>
      <c r="EE100" s="351"/>
      <c r="EF100" s="351"/>
      <c r="EG100" s="351"/>
      <c r="EH100" s="351"/>
      <c r="EI100" s="351"/>
      <c r="EJ100" s="351"/>
      <c r="EK100" s="351"/>
      <c r="EL100" s="351"/>
      <c r="EM100" s="351"/>
    </row>
    <row r="101" spans="2:153" ht="12.75" customHeight="1" x14ac:dyDescent="0.2">
      <c r="B101" s="353" t="s">
        <v>379</v>
      </c>
      <c r="W101" s="409">
        <f t="shared" ref="W101:AN101" si="635">W100/W99</f>
        <v>0.39799091126524755</v>
      </c>
      <c r="X101" s="409">
        <f t="shared" si="635"/>
        <v>0.37036167214654769</v>
      </c>
      <c r="Y101" s="409">
        <f t="shared" si="635"/>
        <v>0.34019172317044655</v>
      </c>
      <c r="Z101" s="409">
        <f t="shared" si="635"/>
        <v>0.24599774520856821</v>
      </c>
      <c r="AA101" s="409">
        <f t="shared" si="635"/>
        <v>0.39841405915130734</v>
      </c>
      <c r="AB101" s="409">
        <f t="shared" si="635"/>
        <v>0.22338247338247338</v>
      </c>
      <c r="AC101" s="409">
        <f t="shared" si="635"/>
        <v>0.36215098241985522</v>
      </c>
      <c r="AD101" s="409">
        <f t="shared" si="635"/>
        <v>0.23276197896377093</v>
      </c>
      <c r="AE101" s="409">
        <f t="shared" si="635"/>
        <v>0.38783482142857145</v>
      </c>
      <c r="AF101" s="409">
        <f t="shared" si="635"/>
        <v>0.39803625377643503</v>
      </c>
      <c r="AG101" s="409">
        <f t="shared" si="635"/>
        <v>0.38906882591093117</v>
      </c>
      <c r="AH101" s="409">
        <f t="shared" si="635"/>
        <v>0.28481495612361696</v>
      </c>
      <c r="AI101" s="409">
        <f t="shared" si="635"/>
        <v>0.40092699884125144</v>
      </c>
      <c r="AJ101" s="409">
        <f t="shared" si="635"/>
        <v>0.31789009225832332</v>
      </c>
      <c r="AK101" s="409">
        <f t="shared" si="635"/>
        <v>0.37140492447755019</v>
      </c>
      <c r="AL101" s="409">
        <f t="shared" si="635"/>
        <v>0.22818371607515658</v>
      </c>
      <c r="AM101" s="410">
        <f t="shared" si="635"/>
        <v>0.34251688588695345</v>
      </c>
      <c r="AN101" s="409">
        <f t="shared" si="635"/>
        <v>0.3</v>
      </c>
      <c r="AO101" s="313"/>
      <c r="AP101" s="351"/>
      <c r="AQ101" s="351"/>
      <c r="AR101" s="351"/>
      <c r="AS101" s="351"/>
      <c r="AT101" s="351"/>
      <c r="AU101" s="351"/>
      <c r="AV101" s="351"/>
      <c r="AW101" s="351"/>
      <c r="AX101" s="351"/>
      <c r="BC101" s="409">
        <f>+BC100/BC99</f>
        <v>0.34941468605888615</v>
      </c>
      <c r="DK101" s="409">
        <f t="shared" ref="DK101:DX101" si="636">DK100/DK99</f>
        <v>0.31428571428571428</v>
      </c>
      <c r="DL101" s="409">
        <f t="shared" si="636"/>
        <v>0.31314031180400892</v>
      </c>
      <c r="DM101" s="409">
        <f t="shared" si="636"/>
        <v>0.32357502908103919</v>
      </c>
      <c r="DN101" s="409">
        <f t="shared" si="636"/>
        <v>0.33041122091169906</v>
      </c>
      <c r="DO101" s="409">
        <f t="shared" si="636"/>
        <v>0.34460211463550361</v>
      </c>
      <c r="DP101" s="409">
        <f t="shared" si="636"/>
        <v>0.34680353430353428</v>
      </c>
      <c r="DQ101" s="409">
        <f t="shared" si="636"/>
        <v>0.3598458304134548</v>
      </c>
      <c r="DR101" s="409">
        <f t="shared" si="636"/>
        <v>0.3361698148494483</v>
      </c>
      <c r="DS101" s="409">
        <f t="shared" si="636"/>
        <v>0.34925547933746026</v>
      </c>
      <c r="DT101" s="409">
        <f t="shared" si="636"/>
        <v>0.33182950643054338</v>
      </c>
      <c r="DU101" s="409">
        <f t="shared" si="636"/>
        <v>0.33741472800419803</v>
      </c>
      <c r="DV101" s="409">
        <f t="shared" si="636"/>
        <v>0.3020956089562945</v>
      </c>
      <c r="DW101" s="409">
        <f t="shared" si="636"/>
        <v>0.3438177874186551</v>
      </c>
      <c r="DX101" s="409">
        <f t="shared" si="636"/>
        <v>0.30964967296837204</v>
      </c>
      <c r="DY101" s="351"/>
      <c r="DZ101" s="351"/>
      <c r="EA101" s="351"/>
      <c r="EB101" s="351"/>
      <c r="EC101" s="351"/>
      <c r="ED101" s="351"/>
      <c r="EE101" s="351"/>
      <c r="EF101" s="351"/>
      <c r="EG101" s="351"/>
      <c r="EH101" s="351"/>
      <c r="EI101" s="351"/>
      <c r="EJ101" s="351"/>
      <c r="EK101" s="351"/>
      <c r="EL101" s="351"/>
      <c r="EM101" s="351"/>
    </row>
    <row r="102" spans="2:153" ht="12.75" customHeight="1" x14ac:dyDescent="0.2">
      <c r="B102" s="353" t="s">
        <v>380</v>
      </c>
      <c r="K102" s="410">
        <f t="shared" ref="K102:R102" si="637">K99/K55</f>
        <v>0.40629707743296173</v>
      </c>
      <c r="L102" s="410">
        <f t="shared" si="637"/>
        <v>0.43142690399766559</v>
      </c>
      <c r="M102" s="410">
        <f t="shared" si="637"/>
        <v>0.43508667950807528</v>
      </c>
      <c r="N102" s="410">
        <f t="shared" si="637"/>
        <v>0.38380107605060348</v>
      </c>
      <c r="O102" s="410">
        <f t="shared" si="637"/>
        <v>0.43216286377920482</v>
      </c>
      <c r="P102" s="410">
        <f t="shared" si="637"/>
        <v>0.45058604155567394</v>
      </c>
      <c r="Q102" s="410">
        <f t="shared" si="637"/>
        <v>0.43975569128262076</v>
      </c>
      <c r="R102" s="410">
        <f t="shared" si="637"/>
        <v>0.41460326392796848</v>
      </c>
      <c r="S102" s="410">
        <f t="shared" ref="S102:BG102" si="638">S99/S55</f>
        <v>0.4478244127839815</v>
      </c>
      <c r="T102" s="410">
        <f t="shared" si="638"/>
        <v>0.46324622392711579</v>
      </c>
      <c r="U102" s="410">
        <f t="shared" si="638"/>
        <v>0.44639475600874001</v>
      </c>
      <c r="V102" s="410">
        <f t="shared" si="638"/>
        <v>0.45459954778055456</v>
      </c>
      <c r="W102" s="410">
        <f t="shared" si="638"/>
        <v>0.47821114034084411</v>
      </c>
      <c r="X102" s="410">
        <f t="shared" si="638"/>
        <v>0.46930452992395016</v>
      </c>
      <c r="Y102" s="410">
        <f t="shared" si="638"/>
        <v>0.47108712413261372</v>
      </c>
      <c r="Z102" s="410">
        <f t="shared" si="638"/>
        <v>0.47165798149526744</v>
      </c>
      <c r="AA102" s="410">
        <f t="shared" si="638"/>
        <v>0.47505599674200771</v>
      </c>
      <c r="AB102" s="410">
        <f t="shared" si="638"/>
        <v>0.4727061556329849</v>
      </c>
      <c r="AC102" s="410">
        <f t="shared" si="638"/>
        <v>0.46250239142911803</v>
      </c>
      <c r="AD102" s="410">
        <f t="shared" si="638"/>
        <v>0.45078584599174643</v>
      </c>
      <c r="AE102" s="410">
        <f t="shared" si="638"/>
        <v>0.44859813084112149</v>
      </c>
      <c r="AF102" s="410">
        <f t="shared" si="638"/>
        <v>0.44534140598721828</v>
      </c>
      <c r="AG102" s="410">
        <f t="shared" si="638"/>
        <v>0.42759456418246344</v>
      </c>
      <c r="AH102" s="410">
        <f t="shared" si="638"/>
        <v>0.41107277289836891</v>
      </c>
      <c r="AI102" s="410">
        <f t="shared" si="638"/>
        <v>0.40352244389027431</v>
      </c>
      <c r="AJ102" s="410">
        <f t="shared" si="638"/>
        <v>0.39069111424541608</v>
      </c>
      <c r="AK102" s="410">
        <f t="shared" si="638"/>
        <v>0.39260763606823723</v>
      </c>
      <c r="AL102" s="410">
        <f t="shared" si="638"/>
        <v>0.37985725614591592</v>
      </c>
      <c r="AM102" s="410">
        <f t="shared" si="638"/>
        <v>0.4330357142857143</v>
      </c>
      <c r="AN102" s="410">
        <f t="shared" si="638"/>
        <v>0.43478260869565216</v>
      </c>
      <c r="AO102" s="410">
        <f t="shared" si="638"/>
        <v>0.44261308045457964</v>
      </c>
      <c r="AP102" s="410">
        <f t="shared" si="638"/>
        <v>0.43487794182137113</v>
      </c>
      <c r="AQ102" s="410">
        <f t="shared" si="638"/>
        <v>0.33757539603632264</v>
      </c>
      <c r="AR102" s="410">
        <f t="shared" si="638"/>
        <v>0.33172632413155462</v>
      </c>
      <c r="AS102" s="410">
        <f t="shared" si="638"/>
        <v>0.3314453255147598</v>
      </c>
      <c r="AT102" s="410">
        <f t="shared" si="638"/>
        <v>0.32443441749702323</v>
      </c>
      <c r="AU102" s="410">
        <f t="shared" si="638"/>
        <v>0.39292330492775102</v>
      </c>
      <c r="AV102" s="410">
        <f t="shared" si="638"/>
        <v>0.38541033434650457</v>
      </c>
      <c r="AW102" s="410">
        <f t="shared" si="638"/>
        <v>0.38395829407700521</v>
      </c>
      <c r="AX102" s="410">
        <f t="shared" si="638"/>
        <v>0.37445659333421155</v>
      </c>
      <c r="AY102" s="410">
        <f t="shared" si="638"/>
        <v>0.38466657793158526</v>
      </c>
      <c r="AZ102" s="410">
        <f t="shared" si="638"/>
        <v>0.36078482840081372</v>
      </c>
      <c r="BA102" s="410">
        <f t="shared" si="638"/>
        <v>0.34805384258338307</v>
      </c>
      <c r="BB102" s="410">
        <f t="shared" si="638"/>
        <v>0.36209292489879763</v>
      </c>
      <c r="BC102" s="410">
        <f t="shared" si="638"/>
        <v>0.3606934936984198</v>
      </c>
      <c r="BD102" s="410">
        <f t="shared" si="638"/>
        <v>0.36467606732081359</v>
      </c>
      <c r="BE102" s="410">
        <f t="shared" si="638"/>
        <v>0.36677346148711787</v>
      </c>
      <c r="BF102" s="410">
        <f t="shared" si="638"/>
        <v>0.36499616466376883</v>
      </c>
      <c r="BG102" s="410">
        <f t="shared" si="638"/>
        <v>0.35712601673936106</v>
      </c>
      <c r="BH102" s="410">
        <f t="shared" ref="BH102:BI102" si="639">BH99/BH55</f>
        <v>0.3755497981562933</v>
      </c>
      <c r="BI102" s="410">
        <f t="shared" si="639"/>
        <v>0.37375820056232428</v>
      </c>
      <c r="BJ102" s="410">
        <f t="shared" ref="BJ102:BV102" si="640">BJ99/BJ55</f>
        <v>0.32378725891291643</v>
      </c>
      <c r="BK102" s="410">
        <f t="shared" si="640"/>
        <v>0.38001115310737965</v>
      </c>
      <c r="BL102" s="410">
        <f t="shared" si="640"/>
        <v>0.38746541561409842</v>
      </c>
      <c r="BM102" s="410">
        <f t="shared" si="640"/>
        <v>0.38048979116979814</v>
      </c>
      <c r="BN102" s="410">
        <f t="shared" si="640"/>
        <v>0.37985498285650049</v>
      </c>
      <c r="BO102" s="410">
        <f t="shared" si="640"/>
        <v>0.38813540004558922</v>
      </c>
      <c r="BP102" s="410">
        <f t="shared" si="640"/>
        <v>0.39485864049517649</v>
      </c>
      <c r="BQ102" s="410">
        <f t="shared" si="640"/>
        <v>0.40251714949827089</v>
      </c>
      <c r="BR102" s="410">
        <f t="shared" si="640"/>
        <v>0.40062869221180425</v>
      </c>
      <c r="BS102" s="410">
        <f t="shared" si="640"/>
        <v>0.41391112337841568</v>
      </c>
      <c r="BT102" s="410">
        <f t="shared" si="640"/>
        <v>0.43647088997178762</v>
      </c>
      <c r="BU102" s="410">
        <f t="shared" si="640"/>
        <v>0.45149472939862656</v>
      </c>
      <c r="BV102" s="410">
        <f t="shared" si="640"/>
        <v>0.45129968199624909</v>
      </c>
      <c r="BW102" s="410"/>
      <c r="BX102" s="410"/>
      <c r="BY102" s="410"/>
      <c r="BZ102" s="410"/>
      <c r="CA102" s="410"/>
      <c r="CB102" s="410"/>
      <c r="CC102" s="410"/>
      <c r="CD102" s="410"/>
      <c r="CE102" s="410"/>
      <c r="CF102" s="410"/>
      <c r="CG102" s="410"/>
      <c r="CH102" s="410"/>
      <c r="CI102" s="410"/>
      <c r="CJ102" s="410"/>
      <c r="CK102" s="410"/>
      <c r="CL102" s="410"/>
      <c r="CM102" s="410"/>
      <c r="CN102" s="410"/>
      <c r="CO102" s="410"/>
      <c r="CP102" s="410"/>
      <c r="CQ102" s="410"/>
      <c r="CR102" s="410"/>
      <c r="CS102" s="410"/>
      <c r="CT102" s="410"/>
      <c r="CU102" s="410"/>
      <c r="CV102" s="410"/>
      <c r="CW102" s="410"/>
      <c r="CX102" s="410"/>
      <c r="CY102" s="410"/>
      <c r="CZ102" s="410"/>
      <c r="DA102" s="410"/>
      <c r="DB102" s="410"/>
      <c r="DC102" s="410"/>
      <c r="DD102" s="410"/>
      <c r="DE102" s="410"/>
      <c r="DF102" s="410"/>
      <c r="DK102" s="399">
        <f t="shared" ref="DK102:EH102" si="641">DK99/DK55</f>
        <v>0.31556751254271798</v>
      </c>
      <c r="DL102" s="399">
        <f t="shared" si="641"/>
        <v>0.31758381666430896</v>
      </c>
      <c r="DM102" s="399">
        <f t="shared" si="641"/>
        <v>0.32782509215711197</v>
      </c>
      <c r="DN102" s="399">
        <f t="shared" si="641"/>
        <v>0.33297951385203267</v>
      </c>
      <c r="DO102" s="399">
        <f t="shared" si="641"/>
        <v>0.3324699352451434</v>
      </c>
      <c r="DP102" s="399">
        <f t="shared" si="641"/>
        <v>0.34009456891599277</v>
      </c>
      <c r="DQ102" s="399">
        <f t="shared" si="641"/>
        <v>0.36192247537726679</v>
      </c>
      <c r="DR102" s="399">
        <f t="shared" si="641"/>
        <v>0.38928324414837467</v>
      </c>
      <c r="DS102" s="399">
        <f t="shared" si="641"/>
        <v>0.41024057105597311</v>
      </c>
      <c r="DT102" s="399">
        <f t="shared" si="641"/>
        <v>0.44997576051387711</v>
      </c>
      <c r="DU102" s="409">
        <f t="shared" si="641"/>
        <v>0.46464690248944107</v>
      </c>
      <c r="DV102" s="409">
        <f t="shared" si="641"/>
        <v>0.46068253810892851</v>
      </c>
      <c r="DW102" s="409">
        <f t="shared" si="641"/>
        <v>0.45987904482823116</v>
      </c>
      <c r="DX102" s="409">
        <f t="shared" si="641"/>
        <v>0.45096771586730777</v>
      </c>
      <c r="DY102" s="409">
        <f t="shared" si="641"/>
        <v>0.4363326082064361</v>
      </c>
      <c r="DZ102" s="409">
        <f t="shared" si="641"/>
        <v>0.40700548326376956</v>
      </c>
      <c r="EA102" s="409">
        <f>EA99/EA55</f>
        <v>0.38538284154548447</v>
      </c>
      <c r="EB102" s="409">
        <f t="shared" si="641"/>
        <v>0.36383023409858312</v>
      </c>
      <c r="EC102" s="409">
        <f t="shared" si="641"/>
        <v>0.36228134407289886</v>
      </c>
      <c r="ED102" s="409">
        <f t="shared" si="641"/>
        <v>0.37471936029524833</v>
      </c>
      <c r="EE102" s="409">
        <f t="shared" si="641"/>
        <v>0.38192097067028796</v>
      </c>
      <c r="EF102" s="409">
        <f t="shared" si="641"/>
        <v>0.39439365043751401</v>
      </c>
      <c r="EG102" s="409">
        <f t="shared" si="641"/>
        <v>0.42464773303810621</v>
      </c>
      <c r="EH102" s="409">
        <f t="shared" si="641"/>
        <v>0.42121735824025519</v>
      </c>
      <c r="EI102" s="409">
        <f t="shared" ref="EI102" si="642">EI99/EI55</f>
        <v>0.38280242887063443</v>
      </c>
      <c r="EJ102" s="409"/>
      <c r="EK102" s="409"/>
      <c r="EL102" s="409"/>
      <c r="EM102" s="409"/>
    </row>
    <row r="103" spans="2:153" ht="12.75" customHeight="1" x14ac:dyDescent="0.2">
      <c r="B103" s="353" t="s">
        <v>381</v>
      </c>
      <c r="AE103" s="351"/>
      <c r="AF103" s="351"/>
      <c r="AG103" s="351"/>
      <c r="AH103" s="351"/>
      <c r="AI103" s="410"/>
      <c r="AJ103" s="410"/>
      <c r="AK103" s="410"/>
      <c r="AL103" s="410"/>
      <c r="AM103" s="410"/>
      <c r="AN103" s="410"/>
      <c r="AO103" s="401">
        <f t="shared" ref="AO103:BD103" si="643">AO99/AK99-1</f>
        <v>0.2168425408648873</v>
      </c>
      <c r="AP103" s="401">
        <f t="shared" si="643"/>
        <v>0.24217118997912324</v>
      </c>
      <c r="AQ103" s="401">
        <f t="shared" si="643"/>
        <v>-9.4738713117668016E-2</v>
      </c>
      <c r="AR103" s="401">
        <f t="shared" si="643"/>
        <v>-0.13545611015490533</v>
      </c>
      <c r="AS103" s="401">
        <f t="shared" si="643"/>
        <v>-0.15422547185852742</v>
      </c>
      <c r="AT103" s="401">
        <f t="shared" si="643"/>
        <v>-0.12991596638655467</v>
      </c>
      <c r="AU103" s="401">
        <f t="shared" si="643"/>
        <v>0.24936186923227965</v>
      </c>
      <c r="AV103" s="401">
        <f t="shared" si="643"/>
        <v>0.26219390802309372</v>
      </c>
      <c r="AW103" s="401">
        <f t="shared" si="643"/>
        <v>0.22899075190993168</v>
      </c>
      <c r="AX103" s="401">
        <f t="shared" si="643"/>
        <v>9.812632798918286E-2</v>
      </c>
      <c r="AY103" s="401">
        <f t="shared" si="643"/>
        <v>-9.1623448059091617E-2</v>
      </c>
      <c r="AZ103" s="401">
        <f t="shared" si="643"/>
        <v>-0.13280757097791795</v>
      </c>
      <c r="BA103" s="401">
        <f t="shared" si="643"/>
        <v>-0.14133813185015542</v>
      </c>
      <c r="BB103" s="401">
        <f t="shared" si="643"/>
        <v>5.4177660510114301E-2</v>
      </c>
      <c r="BC103" s="401">
        <f t="shared" si="643"/>
        <v>-2.456747404844295E-2</v>
      </c>
      <c r="BD103" s="401">
        <f t="shared" si="643"/>
        <v>2.0734812659148671E-2</v>
      </c>
      <c r="BE103" s="401">
        <f t="shared" ref="BE103" si="644">BE99/BA99-1</f>
        <v>4.6866069727567128E-2</v>
      </c>
      <c r="BF103" s="401">
        <f t="shared" ref="BF103" si="645">BF99/BB99-1</f>
        <v>-4.7221758718504869E-2</v>
      </c>
      <c r="BG103" s="401">
        <f t="shared" ref="BG103" si="646">BG99/BC99-1</f>
        <v>7.4671869457254347E-2</v>
      </c>
      <c r="BH103" s="401">
        <f t="shared" ref="BH103" si="647">BH99/BD99-1</f>
        <v>0.11065573770491799</v>
      </c>
      <c r="BI103" s="401">
        <f t="shared" ref="BI103" si="648">BI99/BE99-1</f>
        <v>8.8626023657870867E-2</v>
      </c>
      <c r="BJ103" s="401">
        <f t="shared" ref="BJ103" si="649">BJ99/BF99-1</f>
        <v>6.7250437828371368E-2</v>
      </c>
      <c r="BK103" s="401"/>
      <c r="BL103" s="401"/>
      <c r="BM103" s="401"/>
      <c r="BN103" s="401"/>
      <c r="BO103" s="401"/>
      <c r="BP103" s="401"/>
      <c r="BQ103" s="401"/>
      <c r="BR103" s="401"/>
      <c r="BS103" s="401"/>
      <c r="BT103" s="401"/>
      <c r="BU103" s="401"/>
      <c r="BV103" s="401"/>
      <c r="BW103" s="401"/>
      <c r="BX103" s="401"/>
      <c r="BY103" s="401"/>
      <c r="BZ103" s="401"/>
      <c r="CA103" s="401"/>
      <c r="CB103" s="401"/>
      <c r="CC103" s="401"/>
      <c r="CD103" s="401"/>
      <c r="CE103" s="401"/>
      <c r="CF103" s="401"/>
      <c r="CG103" s="401"/>
      <c r="CH103" s="401"/>
      <c r="CI103" s="401"/>
      <c r="CJ103" s="401"/>
      <c r="CK103" s="401"/>
      <c r="CL103" s="401"/>
      <c r="CM103" s="401"/>
      <c r="CN103" s="401"/>
      <c r="CO103" s="401"/>
      <c r="CP103" s="401"/>
      <c r="CQ103" s="401"/>
      <c r="CR103" s="401"/>
      <c r="CS103" s="401"/>
      <c r="CT103" s="401"/>
      <c r="CU103" s="401"/>
      <c r="CV103" s="401"/>
      <c r="CW103" s="401"/>
      <c r="CX103" s="401"/>
      <c r="CY103" s="401"/>
      <c r="CZ103" s="401"/>
      <c r="DA103" s="401"/>
      <c r="DB103" s="401"/>
      <c r="DC103" s="401"/>
      <c r="DD103" s="401"/>
      <c r="DE103" s="401"/>
      <c r="DF103" s="401"/>
      <c r="DL103" s="409">
        <f t="shared" ref="DL103:EH103" si="650">DL99/DK99-1</f>
        <v>3.4562211981566726E-2</v>
      </c>
      <c r="DM103" s="409">
        <f t="shared" si="650"/>
        <v>0.14877505567928728</v>
      </c>
      <c r="DN103" s="409">
        <f t="shared" si="650"/>
        <v>0.21636293136874762</v>
      </c>
      <c r="DO103" s="409">
        <f t="shared" si="650"/>
        <v>0.14568058654765692</v>
      </c>
      <c r="DP103" s="409">
        <f t="shared" si="650"/>
        <v>7.0673344462993892E-2</v>
      </c>
      <c r="DQ103" s="409">
        <f t="shared" si="650"/>
        <v>0.11252598752598764</v>
      </c>
      <c r="DR103" s="409">
        <f t="shared" si="650"/>
        <v>0.24900724129876206</v>
      </c>
      <c r="DS103" s="409">
        <f t="shared" si="650"/>
        <v>0.11782307836169825</v>
      </c>
      <c r="DT103" s="409">
        <f t="shared" si="650"/>
        <v>0.24234565835703537</v>
      </c>
      <c r="DU103" s="409">
        <f t="shared" si="650"/>
        <v>0.15487172580970987</v>
      </c>
      <c r="DV103" s="409">
        <f t="shared" si="650"/>
        <v>0.137951139875226</v>
      </c>
      <c r="DW103" s="409">
        <f t="shared" si="650"/>
        <v>0.13378080647640522</v>
      </c>
      <c r="DX103" s="409">
        <f t="shared" si="650"/>
        <v>8.7671728127258763E-3</v>
      </c>
      <c r="DY103" s="409">
        <f t="shared" si="650"/>
        <v>4.2334916226144603E-2</v>
      </c>
      <c r="DZ103" s="409">
        <f t="shared" si="650"/>
        <v>6.8723943783040253E-2</v>
      </c>
      <c r="EA103" s="409">
        <f>EA99/DZ99-1</f>
        <v>-1.2024451057669139E-2</v>
      </c>
      <c r="EB103" s="400">
        <f t="shared" si="650"/>
        <v>-8.3323157080636645E-2</v>
      </c>
      <c r="EC103" s="409">
        <f t="shared" si="650"/>
        <v>-1.1367673179396132E-2</v>
      </c>
      <c r="ED103" s="409">
        <f t="shared" si="650"/>
        <v>9.4502335609055077E-2</v>
      </c>
      <c r="EE103" s="409">
        <f t="shared" si="650"/>
        <v>6.1802363755745215E-2</v>
      </c>
      <c r="EF103" s="409">
        <f t="shared" si="650"/>
        <v>8.6998531344206542E-2</v>
      </c>
      <c r="EG103" s="409">
        <f t="shared" si="650"/>
        <v>0.15124657777777784</v>
      </c>
      <c r="EH103" s="409">
        <f t="shared" si="650"/>
        <v>1.7595303842234955E-3</v>
      </c>
      <c r="EI103" s="409">
        <f t="shared" ref="EI103" si="651">EI99/EH99-1</f>
        <v>-0.13407182743538948</v>
      </c>
      <c r="EJ103" s="409"/>
      <c r="EK103" s="409"/>
      <c r="EL103" s="409"/>
      <c r="EM103" s="409"/>
    </row>
    <row r="104" spans="2:153" ht="12.75" customHeight="1" x14ac:dyDescent="0.2">
      <c r="B104" s="353" t="s">
        <v>382</v>
      </c>
      <c r="AE104" s="351"/>
      <c r="AF104" s="351"/>
      <c r="AG104" s="351"/>
      <c r="AH104" s="351"/>
      <c r="AI104" s="410"/>
      <c r="AJ104" s="410"/>
      <c r="AK104" s="410"/>
      <c r="AL104" s="410"/>
      <c r="AM104" s="410"/>
      <c r="AN104" s="410"/>
      <c r="AO104" s="401">
        <v>6.7000000000000004E-2</v>
      </c>
      <c r="AP104" s="401"/>
      <c r="AQ104" s="410"/>
      <c r="AR104" s="410"/>
      <c r="AS104" s="410"/>
      <c r="AT104" s="410"/>
      <c r="AU104" s="410"/>
      <c r="AV104" s="401">
        <v>-1.2999999999999999E-2</v>
      </c>
      <c r="AW104" s="410"/>
      <c r="AX104" s="410"/>
      <c r="AY104" s="401">
        <v>-5.0999999999999997E-2</v>
      </c>
      <c r="AZ104" s="401">
        <v>-8.5000000000000006E-2</v>
      </c>
      <c r="BD104" s="401">
        <v>0.01</v>
      </c>
      <c r="BI104" s="401">
        <v>4.9000000000000002E-2</v>
      </c>
      <c r="DL104" s="409"/>
      <c r="DX104" s="409"/>
      <c r="DY104" s="409"/>
      <c r="DZ104" s="409"/>
      <c r="EA104" s="409"/>
      <c r="EB104" s="400">
        <v>-6.0999999999999999E-2</v>
      </c>
      <c r="EC104" s="409"/>
      <c r="ED104" s="409"/>
      <c r="EE104" s="409"/>
      <c r="EF104" s="409"/>
      <c r="EG104" s="409"/>
      <c r="EH104" s="409"/>
      <c r="EI104" s="409"/>
      <c r="EJ104" s="409"/>
      <c r="EK104" s="409"/>
      <c r="EL104" s="409"/>
      <c r="EM104" s="409"/>
      <c r="EN104" s="375"/>
      <c r="EO104" s="375"/>
      <c r="EP104" s="375"/>
      <c r="EQ104" s="375"/>
      <c r="ER104" s="375"/>
      <c r="ES104" s="375"/>
      <c r="ET104" s="375"/>
      <c r="EU104" s="375"/>
      <c r="EV104" s="375"/>
      <c r="EW104" s="375"/>
    </row>
    <row r="105" spans="2:153" ht="12.75" customHeight="1" x14ac:dyDescent="0.2">
      <c r="B105" s="353" t="s">
        <v>1234</v>
      </c>
      <c r="AE105" s="351"/>
      <c r="AF105" s="351"/>
      <c r="AG105" s="351"/>
      <c r="AH105" s="351"/>
      <c r="AI105" s="410"/>
      <c r="AJ105" s="410"/>
      <c r="AK105" s="410"/>
      <c r="AL105" s="410"/>
      <c r="AM105" s="410"/>
      <c r="AN105" s="410"/>
      <c r="AO105" s="401"/>
      <c r="AP105" s="401"/>
      <c r="AQ105" s="410"/>
      <c r="AR105" s="410"/>
      <c r="AS105" s="410"/>
      <c r="AT105" s="410"/>
      <c r="AU105" s="410"/>
      <c r="AV105" s="401"/>
      <c r="AW105" s="410"/>
      <c r="AX105" s="410"/>
      <c r="AY105" s="401"/>
      <c r="AZ105" s="401">
        <f>AZ103-AZ104</f>
        <v>-4.7807570977917949E-2</v>
      </c>
      <c r="BD105" s="401">
        <f>BD103-BD104</f>
        <v>1.0734812659148671E-2</v>
      </c>
      <c r="BI105" s="401">
        <v>0.04</v>
      </c>
      <c r="DL105" s="409"/>
      <c r="DX105" s="409"/>
      <c r="DY105" s="409"/>
      <c r="DZ105" s="409"/>
      <c r="EA105" s="409"/>
      <c r="EB105" s="400">
        <f>EB103-EB104</f>
        <v>-2.2323157080636646E-2</v>
      </c>
      <c r="EC105" s="409"/>
      <c r="ED105" s="409"/>
      <c r="EE105" s="409"/>
      <c r="EF105" s="409"/>
      <c r="EG105" s="409"/>
      <c r="EH105" s="409"/>
      <c r="EI105" s="409"/>
      <c r="EJ105" s="409"/>
      <c r="EK105" s="409"/>
      <c r="EL105" s="409"/>
      <c r="EM105" s="409"/>
      <c r="EN105" s="375"/>
      <c r="EO105" s="375"/>
      <c r="EP105" s="375"/>
      <c r="EQ105" s="375"/>
      <c r="ER105" s="375"/>
      <c r="ES105" s="375"/>
      <c r="ET105" s="375"/>
      <c r="EU105" s="375"/>
      <c r="EV105" s="375"/>
      <c r="EW105" s="375"/>
    </row>
    <row r="106" spans="2:153" ht="12.75" customHeight="1" x14ac:dyDescent="0.2">
      <c r="B106" s="353" t="s">
        <v>383</v>
      </c>
      <c r="K106" s="317">
        <v>2434</v>
      </c>
      <c r="L106" s="317">
        <v>2455</v>
      </c>
      <c r="M106" s="317">
        <v>2445</v>
      </c>
      <c r="N106" s="317">
        <v>2581</v>
      </c>
      <c r="O106" s="317">
        <v>2525</v>
      </c>
      <c r="P106" s="317">
        <v>2580</v>
      </c>
      <c r="Q106" s="317">
        <v>2548</v>
      </c>
      <c r="R106" s="317">
        <v>2628</v>
      </c>
      <c r="S106" s="317">
        <v>2735.2</v>
      </c>
      <c r="T106" s="317">
        <v>2785</v>
      </c>
      <c r="U106" s="317">
        <v>2771</v>
      </c>
      <c r="V106" s="317">
        <v>2855</v>
      </c>
      <c r="W106" s="317">
        <v>2958</v>
      </c>
      <c r="X106" s="317">
        <v>3166</v>
      </c>
      <c r="Y106" s="317">
        <v>3141</v>
      </c>
      <c r="Z106" s="317">
        <v>3318</v>
      </c>
      <c r="AA106" s="317">
        <v>3364</v>
      </c>
      <c r="AB106" s="317">
        <v>3629</v>
      </c>
      <c r="AC106" s="317">
        <v>3779</v>
      </c>
      <c r="AD106" s="317">
        <v>4141</v>
      </c>
      <c r="AE106" s="351">
        <v>4136</v>
      </c>
      <c r="AF106" s="351">
        <f t="shared" ref="AF106:BJ106" si="652">SUM(AF44:AF53)</f>
        <v>4057</v>
      </c>
      <c r="AG106" s="351">
        <f t="shared" si="652"/>
        <v>4044</v>
      </c>
      <c r="AH106" s="351">
        <f t="shared" si="652"/>
        <v>4650</v>
      </c>
      <c r="AI106" s="351">
        <f t="shared" si="652"/>
        <v>4797</v>
      </c>
      <c r="AJ106" s="351">
        <f t="shared" si="652"/>
        <v>4856</v>
      </c>
      <c r="AK106" s="351">
        <f t="shared" si="652"/>
        <v>4622</v>
      </c>
      <c r="AL106" s="351">
        <f t="shared" si="652"/>
        <v>4821</v>
      </c>
      <c r="AM106" s="313">
        <f t="shared" si="652"/>
        <v>5011</v>
      </c>
      <c r="AN106" s="313">
        <f t="shared" si="652"/>
        <v>5155</v>
      </c>
      <c r="AO106" s="313">
        <f t="shared" si="652"/>
        <v>4950</v>
      </c>
      <c r="AP106" s="351">
        <f t="shared" si="652"/>
        <v>5167</v>
      </c>
      <c r="AQ106" s="351">
        <f t="shared" si="652"/>
        <v>5320</v>
      </c>
      <c r="AR106" s="351">
        <f t="shared" si="652"/>
        <v>5418</v>
      </c>
      <c r="AS106" s="351">
        <f t="shared" si="652"/>
        <v>5248</v>
      </c>
      <c r="AT106" s="351">
        <f t="shared" si="652"/>
        <v>5750</v>
      </c>
      <c r="AU106" s="351">
        <f t="shared" si="652"/>
        <v>5701</v>
      </c>
      <c r="AV106" s="351">
        <f t="shared" si="652"/>
        <v>6074</v>
      </c>
      <c r="AW106" s="351">
        <f t="shared" si="652"/>
        <v>5709</v>
      </c>
      <c r="AX106" s="351">
        <f t="shared" si="652"/>
        <v>5642</v>
      </c>
      <c r="AY106" s="351">
        <f t="shared" si="652"/>
        <v>5535</v>
      </c>
      <c r="AZ106" s="351">
        <f t="shared" si="652"/>
        <v>5887</v>
      </c>
      <c r="BA106" s="313">
        <f t="shared" si="652"/>
        <v>5843</v>
      </c>
      <c r="BB106" s="313">
        <f t="shared" si="652"/>
        <v>6309</v>
      </c>
      <c r="BC106" s="313">
        <f t="shared" si="652"/>
        <v>6227</v>
      </c>
      <c r="BD106" s="313">
        <f t="shared" si="652"/>
        <v>6130</v>
      </c>
      <c r="BE106" s="313">
        <f t="shared" si="652"/>
        <v>5920</v>
      </c>
      <c r="BF106" s="313">
        <f t="shared" si="652"/>
        <v>6324</v>
      </c>
      <c r="BG106" s="313">
        <f t="shared" si="652"/>
        <v>7225</v>
      </c>
      <c r="BH106" s="313">
        <f t="shared" si="652"/>
        <v>6571</v>
      </c>
      <c r="BI106" s="313">
        <f t="shared" si="652"/>
        <v>8701</v>
      </c>
      <c r="BJ106" s="313">
        <f t="shared" si="652"/>
        <v>9059</v>
      </c>
      <c r="BK106" s="351"/>
      <c r="BL106" s="351"/>
      <c r="BM106" s="351"/>
      <c r="BN106" s="351"/>
      <c r="BO106" s="351"/>
      <c r="BP106" s="351"/>
      <c r="BQ106" s="351"/>
      <c r="BR106" s="351"/>
      <c r="BS106" s="351"/>
      <c r="BT106" s="351"/>
      <c r="BU106" s="351"/>
      <c r="BV106" s="351"/>
      <c r="BW106" s="351"/>
      <c r="BX106" s="351"/>
      <c r="BY106" s="351"/>
      <c r="BZ106" s="351"/>
      <c r="CA106" s="351"/>
      <c r="CB106" s="351"/>
      <c r="CC106" s="351"/>
      <c r="CD106" s="351"/>
      <c r="CE106" s="351"/>
      <c r="CF106" s="351"/>
      <c r="CG106" s="351"/>
      <c r="CH106" s="351"/>
      <c r="CI106" s="351"/>
      <c r="CJ106" s="351"/>
      <c r="CK106" s="351"/>
      <c r="CL106" s="351"/>
      <c r="CM106" s="351"/>
      <c r="CN106" s="351"/>
      <c r="CO106" s="351"/>
      <c r="CP106" s="351"/>
      <c r="CQ106" s="351"/>
      <c r="CR106" s="351"/>
      <c r="CS106" s="351"/>
      <c r="CT106" s="351"/>
      <c r="CU106" s="351"/>
      <c r="CV106" s="351"/>
      <c r="CW106" s="351"/>
      <c r="CX106" s="351"/>
      <c r="CY106" s="351"/>
      <c r="CZ106" s="351"/>
      <c r="DA106" s="351"/>
      <c r="DB106" s="351"/>
      <c r="DC106" s="351"/>
      <c r="DD106" s="351"/>
      <c r="DE106" s="351"/>
      <c r="DF106" s="351"/>
      <c r="DK106" s="351">
        <v>4633</v>
      </c>
      <c r="DL106" s="351">
        <v>4824</v>
      </c>
      <c r="DM106" s="351">
        <v>5325</v>
      </c>
      <c r="DN106" s="351">
        <v>6737</v>
      </c>
      <c r="DO106" s="351">
        <v>8068</v>
      </c>
      <c r="DP106" s="351">
        <v>8435</v>
      </c>
      <c r="DQ106" s="351">
        <v>8569</v>
      </c>
      <c r="DR106" s="351">
        <v>9913</v>
      </c>
      <c r="DS106" s="351">
        <v>10281</v>
      </c>
      <c r="DT106" s="351">
        <v>11191</v>
      </c>
      <c r="DU106" s="351">
        <f>SUM(DU44:DU53)</f>
        <v>12585</v>
      </c>
      <c r="DV106" s="351">
        <v>14914</v>
      </c>
      <c r="DW106" s="351">
        <f t="shared" ref="DW106:EI106" si="653">SUM(DW44:DW53)</f>
        <v>16887</v>
      </c>
      <c r="DX106" s="351">
        <f t="shared" si="653"/>
        <v>19096</v>
      </c>
      <c r="DY106" s="351">
        <f t="shared" si="653"/>
        <v>20283</v>
      </c>
      <c r="DZ106" s="351">
        <f t="shared" si="653"/>
        <v>21736</v>
      </c>
      <c r="EA106" s="351">
        <f t="shared" si="653"/>
        <v>23126</v>
      </c>
      <c r="EB106" s="351">
        <f t="shared" si="653"/>
        <v>23574</v>
      </c>
      <c r="EC106" s="351">
        <f t="shared" si="653"/>
        <v>24601</v>
      </c>
      <c r="ED106" s="351">
        <f t="shared" si="653"/>
        <v>25779</v>
      </c>
      <c r="EE106" s="351">
        <f t="shared" si="653"/>
        <v>27426</v>
      </c>
      <c r="EF106" s="351">
        <f t="shared" si="653"/>
        <v>28490</v>
      </c>
      <c r="EG106" s="351">
        <f t="shared" si="653"/>
        <v>28878.885000000002</v>
      </c>
      <c r="EH106" s="351">
        <f t="shared" si="653"/>
        <v>29278.314474999999</v>
      </c>
      <c r="EI106" s="351">
        <f t="shared" si="653"/>
        <v>29688.570665625008</v>
      </c>
      <c r="EJ106" s="351"/>
      <c r="EK106" s="351"/>
      <c r="EL106" s="351"/>
      <c r="EM106" s="351"/>
    </row>
    <row r="107" spans="2:153" ht="12.75" customHeight="1" x14ac:dyDescent="0.2">
      <c r="B107" s="353" t="s">
        <v>378</v>
      </c>
      <c r="W107" s="351">
        <v>662</v>
      </c>
      <c r="X107" s="351">
        <v>564</v>
      </c>
      <c r="Y107" s="351">
        <v>677</v>
      </c>
      <c r="Z107" s="351">
        <v>586</v>
      </c>
      <c r="AA107" s="351">
        <v>731</v>
      </c>
      <c r="AB107" s="351">
        <v>671</v>
      </c>
      <c r="AC107" s="351">
        <v>931</v>
      </c>
      <c r="AD107" s="351">
        <v>1037</v>
      </c>
      <c r="AE107" s="351">
        <v>1067</v>
      </c>
      <c r="AF107" s="351">
        <v>1055</v>
      </c>
      <c r="AG107" s="351">
        <v>1052</v>
      </c>
      <c r="AH107" s="351">
        <v>917</v>
      </c>
      <c r="AI107" s="351">
        <v>1488</v>
      </c>
      <c r="AJ107" s="351">
        <v>1409</v>
      </c>
      <c r="AK107" s="351">
        <v>1363</v>
      </c>
      <c r="AL107" s="351">
        <v>1153</v>
      </c>
      <c r="AM107" s="313">
        <f>2160-622</f>
        <v>1538</v>
      </c>
      <c r="AN107" s="313">
        <v>1340</v>
      </c>
      <c r="AO107" s="313"/>
      <c r="AP107" s="351"/>
      <c r="AQ107" s="351"/>
      <c r="AR107" s="351"/>
      <c r="AS107" s="351"/>
      <c r="AT107" s="351"/>
      <c r="AU107" s="351"/>
      <c r="AV107" s="351"/>
      <c r="AW107" s="351"/>
      <c r="AX107" s="351"/>
      <c r="BC107" s="351">
        <v>3702</v>
      </c>
      <c r="DK107" s="351">
        <v>598</v>
      </c>
      <c r="DL107" s="351">
        <v>655</v>
      </c>
      <c r="DM107" s="351">
        <v>843</v>
      </c>
      <c r="DN107" s="351">
        <v>1203</v>
      </c>
      <c r="DO107" s="351">
        <v>1416</v>
      </c>
      <c r="DP107" s="351">
        <v>1550</v>
      </c>
      <c r="DQ107" s="351">
        <v>1409</v>
      </c>
      <c r="DR107" s="351">
        <v>1632</v>
      </c>
      <c r="DS107" s="351">
        <v>1696</v>
      </c>
      <c r="DT107" s="351">
        <v>2001</v>
      </c>
      <c r="DU107" s="351">
        <v>2489</v>
      </c>
      <c r="DV107" s="351">
        <v>3370</v>
      </c>
      <c r="DW107" s="351">
        <v>4091</v>
      </c>
      <c r="DX107" s="351">
        <v>5418</v>
      </c>
      <c r="DY107" s="351"/>
      <c r="DZ107" s="351"/>
      <c r="EA107" s="351"/>
      <c r="EB107" s="351"/>
      <c r="EC107" s="351"/>
      <c r="ED107" s="351"/>
      <c r="EE107" s="351"/>
      <c r="EF107" s="351"/>
      <c r="EG107" s="351"/>
      <c r="EH107" s="351"/>
      <c r="EI107" s="351"/>
      <c r="EJ107" s="351"/>
      <c r="EK107" s="351"/>
      <c r="EL107" s="351"/>
      <c r="EM107" s="351"/>
    </row>
    <row r="108" spans="2:153" ht="12.75" customHeight="1" x14ac:dyDescent="0.2">
      <c r="B108" s="353" t="s">
        <v>379</v>
      </c>
      <c r="W108" s="410">
        <f t="shared" ref="W108:AN108" si="654">W107/W106</f>
        <v>0.22379986477349562</v>
      </c>
      <c r="X108" s="410">
        <f t="shared" si="654"/>
        <v>0.17814276689829439</v>
      </c>
      <c r="Y108" s="410">
        <f t="shared" si="654"/>
        <v>0.21553645335880292</v>
      </c>
      <c r="Z108" s="410">
        <f t="shared" si="654"/>
        <v>0.17661241711874623</v>
      </c>
      <c r="AA108" s="410">
        <f t="shared" si="654"/>
        <v>0.21730083234244946</v>
      </c>
      <c r="AB108" s="410">
        <f t="shared" si="654"/>
        <v>0.18489942132818959</v>
      </c>
      <c r="AC108" s="410">
        <f t="shared" si="654"/>
        <v>0.2463614712887007</v>
      </c>
      <c r="AD108" s="410">
        <f t="shared" si="654"/>
        <v>0.25042260323593335</v>
      </c>
      <c r="AE108" s="410">
        <f t="shared" si="654"/>
        <v>0.25797872340425532</v>
      </c>
      <c r="AF108" s="410">
        <f t="shared" si="654"/>
        <v>0.26004436775942813</v>
      </c>
      <c r="AG108" s="410">
        <f t="shared" si="654"/>
        <v>0.26013847675568746</v>
      </c>
      <c r="AH108" s="410">
        <f t="shared" si="654"/>
        <v>0.19720430107526882</v>
      </c>
      <c r="AI108" s="410">
        <f t="shared" si="654"/>
        <v>0.31019387116948094</v>
      </c>
      <c r="AJ108" s="410">
        <f t="shared" si="654"/>
        <v>0.29015650741350907</v>
      </c>
      <c r="AK108" s="410">
        <f t="shared" si="654"/>
        <v>0.29489398528775423</v>
      </c>
      <c r="AL108" s="410">
        <f t="shared" si="654"/>
        <v>0.2391619995851483</v>
      </c>
      <c r="AM108" s="410">
        <f t="shared" si="654"/>
        <v>0.30692476551586512</v>
      </c>
      <c r="AN108" s="410">
        <f t="shared" si="654"/>
        <v>0.25994180407371487</v>
      </c>
      <c r="AO108" s="313"/>
      <c r="AP108" s="351"/>
      <c r="AQ108" s="351"/>
      <c r="AR108" s="351"/>
      <c r="AS108" s="351"/>
      <c r="AT108" s="351"/>
      <c r="AU108" s="351"/>
      <c r="AV108" s="351"/>
      <c r="AW108" s="351"/>
      <c r="AX108" s="351"/>
      <c r="BC108" s="409">
        <f>+BC107/BC106</f>
        <v>0.59450778866227716</v>
      </c>
      <c r="DK108" s="409">
        <f t="shared" ref="DK108:DX108" si="655">DK107/DK106</f>
        <v>0.12907403410317289</v>
      </c>
      <c r="DL108" s="409">
        <f t="shared" si="655"/>
        <v>0.13577943615257049</v>
      </c>
      <c r="DM108" s="409">
        <f t="shared" si="655"/>
        <v>0.15830985915492957</v>
      </c>
      <c r="DN108" s="409">
        <f t="shared" si="655"/>
        <v>0.17856612735639008</v>
      </c>
      <c r="DO108" s="409">
        <f t="shared" si="655"/>
        <v>0.17550818046603867</v>
      </c>
      <c r="DP108" s="409">
        <f t="shared" si="655"/>
        <v>0.18375815056312983</v>
      </c>
      <c r="DQ108" s="409">
        <f t="shared" si="655"/>
        <v>0.16442992181117982</v>
      </c>
      <c r="DR108" s="409">
        <f t="shared" si="655"/>
        <v>0.16463230101886411</v>
      </c>
      <c r="DS108" s="409">
        <f t="shared" si="655"/>
        <v>0.16496449761696333</v>
      </c>
      <c r="DT108" s="409">
        <f t="shared" si="655"/>
        <v>0.17880439638995621</v>
      </c>
      <c r="DU108" s="409">
        <f t="shared" si="655"/>
        <v>0.19777512912197059</v>
      </c>
      <c r="DV108" s="409">
        <f t="shared" si="655"/>
        <v>0.22596218318358588</v>
      </c>
      <c r="DW108" s="409">
        <f t="shared" si="655"/>
        <v>0.24225735773079884</v>
      </c>
      <c r="DX108" s="409">
        <f t="shared" si="655"/>
        <v>0.2837243401759531</v>
      </c>
      <c r="DY108" s="351"/>
      <c r="DZ108" s="351"/>
      <c r="EA108" s="351"/>
      <c r="EB108" s="351"/>
      <c r="EC108" s="351"/>
      <c r="ED108" s="351"/>
      <c r="EE108" s="351"/>
      <c r="EF108" s="351"/>
      <c r="EG108" s="351"/>
      <c r="EH108" s="351"/>
      <c r="EI108" s="351"/>
      <c r="EJ108" s="351"/>
      <c r="EK108" s="351"/>
      <c r="EL108" s="351"/>
      <c r="EM108" s="351"/>
    </row>
    <row r="109" spans="2:153" ht="12.75" customHeight="1" x14ac:dyDescent="0.2">
      <c r="B109" s="353" t="s">
        <v>380</v>
      </c>
      <c r="Z109" s="410">
        <f t="shared" ref="Z109:BB109" si="656">Z106/Z55</f>
        <v>0.35286610656173562</v>
      </c>
      <c r="AA109" s="410">
        <f t="shared" si="656"/>
        <v>0.34249643657096313</v>
      </c>
      <c r="AB109" s="410">
        <f t="shared" si="656"/>
        <v>0.35123886953155248</v>
      </c>
      <c r="AC109" s="410">
        <f t="shared" si="656"/>
        <v>0.3614884254830687</v>
      </c>
      <c r="AD109" s="410">
        <f t="shared" si="656"/>
        <v>0.36359645271753449</v>
      </c>
      <c r="AE109" s="410">
        <f t="shared" si="656"/>
        <v>0.34512683578104136</v>
      </c>
      <c r="AF109" s="410">
        <f t="shared" si="656"/>
        <v>0.34115371678439288</v>
      </c>
      <c r="AG109" s="410">
        <f t="shared" si="656"/>
        <v>0.35003895092183851</v>
      </c>
      <c r="AH109" s="410">
        <f t="shared" si="656"/>
        <v>0.36464868255959848</v>
      </c>
      <c r="AI109" s="410">
        <f t="shared" si="656"/>
        <v>0.37383104738154616</v>
      </c>
      <c r="AJ109" s="410">
        <f t="shared" si="656"/>
        <v>0.38050462309982763</v>
      </c>
      <c r="AK109" s="410">
        <f t="shared" si="656"/>
        <v>0.37546709991876526</v>
      </c>
      <c r="AL109" s="410">
        <f t="shared" si="656"/>
        <v>0.38231562252180806</v>
      </c>
      <c r="AM109" s="410">
        <f t="shared" si="656"/>
        <v>0.38569889162561577</v>
      </c>
      <c r="AN109" s="410">
        <f t="shared" si="656"/>
        <v>0.38576666916111652</v>
      </c>
      <c r="AO109" s="410">
        <f t="shared" si="656"/>
        <v>0.37254459245879429</v>
      </c>
      <c r="AP109" s="410">
        <f t="shared" si="656"/>
        <v>0.37764946645227304</v>
      </c>
      <c r="AQ109" s="410">
        <f t="shared" si="656"/>
        <v>0.35262146218598794</v>
      </c>
      <c r="AR109" s="410">
        <f t="shared" si="656"/>
        <v>0.35781270637960638</v>
      </c>
      <c r="AS109" s="410">
        <f t="shared" si="656"/>
        <v>0.34970347171320049</v>
      </c>
      <c r="AT109" s="410">
        <f t="shared" si="656"/>
        <v>0.36034342294917593</v>
      </c>
      <c r="AU109" s="410">
        <f t="shared" si="656"/>
        <v>0.3520439669013215</v>
      </c>
      <c r="AV109" s="410">
        <f t="shared" si="656"/>
        <v>0.36924012158054709</v>
      </c>
      <c r="AW109" s="410">
        <f t="shared" si="656"/>
        <v>0.35858300358017714</v>
      </c>
      <c r="AX109" s="410">
        <f t="shared" si="656"/>
        <v>0.37162429192464763</v>
      </c>
      <c r="AY109" s="410">
        <f t="shared" si="656"/>
        <v>0.36836150672168244</v>
      </c>
      <c r="AZ109" s="410">
        <f t="shared" si="656"/>
        <v>0.38631143775838311</v>
      </c>
      <c r="BA109" s="410">
        <f t="shared" si="656"/>
        <v>0.38744115111729993</v>
      </c>
      <c r="BB109" s="410">
        <f t="shared" si="656"/>
        <v>0.38118542686242524</v>
      </c>
      <c r="BC109" s="410">
        <f t="shared" ref="BC109:BG109" si="657">BC106/BC55</f>
        <v>0.39837502399078756</v>
      </c>
      <c r="BD109" s="410">
        <f t="shared" si="657"/>
        <v>0.3983364741048801</v>
      </c>
      <c r="BE109" s="410">
        <f t="shared" si="657"/>
        <v>0.39514083566947</v>
      </c>
      <c r="BF109" s="410">
        <f t="shared" si="657"/>
        <v>0.40424443876246485</v>
      </c>
      <c r="BG109" s="410">
        <f t="shared" si="657"/>
        <v>0.42585170340681361</v>
      </c>
      <c r="BH109" s="410">
        <f t="shared" ref="BH109:BI109" si="658">BH106/BH55</f>
        <v>0.39591492438392478</v>
      </c>
      <c r="BI109" s="410">
        <f t="shared" si="658"/>
        <v>0.54364261168384875</v>
      </c>
      <c r="BJ109" s="410">
        <f t="shared" ref="BJ109" si="659">BJ106/BJ55</f>
        <v>0.48132405291961106</v>
      </c>
      <c r="BK109" s="410"/>
      <c r="BL109" s="410"/>
      <c r="BM109" s="410"/>
      <c r="BN109" s="410"/>
      <c r="BO109" s="410"/>
      <c r="BP109" s="410"/>
      <c r="BQ109" s="410"/>
      <c r="BR109" s="410"/>
      <c r="BS109" s="410"/>
      <c r="BT109" s="410"/>
      <c r="BU109" s="410"/>
      <c r="BV109" s="410"/>
      <c r="BW109" s="410"/>
      <c r="BX109" s="410"/>
      <c r="BY109" s="410"/>
      <c r="BZ109" s="410"/>
      <c r="CA109" s="410"/>
      <c r="CB109" s="410"/>
      <c r="CC109" s="410"/>
      <c r="CD109" s="410"/>
      <c r="CE109" s="410"/>
      <c r="CF109" s="410"/>
      <c r="CG109" s="410"/>
      <c r="CH109" s="410"/>
      <c r="CI109" s="410"/>
      <c r="CJ109" s="410"/>
      <c r="CK109" s="410"/>
      <c r="CL109" s="410"/>
      <c r="CM109" s="410"/>
      <c r="CN109" s="410"/>
      <c r="CO109" s="410"/>
      <c r="CP109" s="410"/>
      <c r="CQ109" s="410"/>
      <c r="CR109" s="410"/>
      <c r="CS109" s="410"/>
      <c r="CT109" s="410"/>
      <c r="CU109" s="410"/>
      <c r="CV109" s="410"/>
      <c r="CW109" s="410"/>
      <c r="CX109" s="410"/>
      <c r="CY109" s="410"/>
      <c r="CZ109" s="410"/>
      <c r="DA109" s="410"/>
      <c r="DB109" s="410"/>
      <c r="DC109" s="410"/>
      <c r="DD109" s="410"/>
      <c r="DE109" s="410"/>
      <c r="DF109" s="410"/>
      <c r="DK109" s="409">
        <f t="shared" ref="DK109:EH109" si="660">DK106/DK55</f>
        <v>0.33687195520977242</v>
      </c>
      <c r="DL109" s="409">
        <f t="shared" si="660"/>
        <v>0.34120809166784555</v>
      </c>
      <c r="DM109" s="409">
        <f t="shared" si="660"/>
        <v>0.3384390491928308</v>
      </c>
      <c r="DN109" s="409">
        <f t="shared" si="660"/>
        <v>0.35755227682836216</v>
      </c>
      <c r="DO109" s="409">
        <f t="shared" si="660"/>
        <v>0.37317298797409804</v>
      </c>
      <c r="DP109" s="409">
        <f t="shared" si="660"/>
        <v>0.37275177869106013</v>
      </c>
      <c r="DQ109" s="409">
        <f t="shared" si="660"/>
        <v>0.36221837088388215</v>
      </c>
      <c r="DR109" s="409">
        <f t="shared" si="660"/>
        <v>0.36085326344144736</v>
      </c>
      <c r="DS109" s="409">
        <f t="shared" si="660"/>
        <v>0.35282610933800063</v>
      </c>
      <c r="DT109" s="409">
        <f t="shared" si="660"/>
        <v>0.33908011150163614</v>
      </c>
      <c r="DU109" s="409">
        <f t="shared" si="660"/>
        <v>0.34094695748525544</v>
      </c>
      <c r="DV109" s="409">
        <f t="shared" si="660"/>
        <v>0.35203255486788748</v>
      </c>
      <c r="DW109" s="409">
        <f t="shared" si="660"/>
        <v>0.35095704220961405</v>
      </c>
      <c r="DX109" s="409">
        <f t="shared" si="660"/>
        <v>0.38579336538850056</v>
      </c>
      <c r="DY109" s="409">
        <f t="shared" si="660"/>
        <v>0.38037281524266747</v>
      </c>
      <c r="DZ109" s="409">
        <f t="shared" si="660"/>
        <v>0.35577379490956706</v>
      </c>
      <c r="EA109" s="409">
        <f t="shared" si="660"/>
        <v>0.36277785621284137</v>
      </c>
      <c r="EB109" s="409">
        <f t="shared" si="660"/>
        <v>0.38085852303019535</v>
      </c>
      <c r="EC109" s="409">
        <f t="shared" si="660"/>
        <v>0.4003091693108779</v>
      </c>
      <c r="ED109" s="409">
        <f t="shared" si="660"/>
        <v>0.39641703829002001</v>
      </c>
      <c r="EE109" s="409">
        <f t="shared" si="660"/>
        <v>0.40482973415797008</v>
      </c>
      <c r="EF109" s="409">
        <f t="shared" si="660"/>
        <v>0.39951200358985867</v>
      </c>
      <c r="EG109" s="409">
        <f t="shared" si="660"/>
        <v>0.37874625558870667</v>
      </c>
      <c r="EH109" s="409">
        <f t="shared" si="660"/>
        <v>0.38021387820999236</v>
      </c>
      <c r="EI109" s="409"/>
      <c r="EJ109" s="409"/>
      <c r="EK109" s="409"/>
      <c r="EL109" s="409"/>
      <c r="EM109" s="409"/>
    </row>
    <row r="110" spans="2:153" ht="12.75" customHeight="1" x14ac:dyDescent="0.2">
      <c r="B110" s="353" t="s">
        <v>381</v>
      </c>
      <c r="AE110" s="351"/>
      <c r="AF110" s="351"/>
      <c r="AG110" s="351"/>
      <c r="AH110" s="401"/>
      <c r="AI110" s="401"/>
      <c r="AJ110" s="401">
        <f t="shared" ref="AJ110:BD110" si="661">AJ106/AF106-1</f>
        <v>0.19694355435050537</v>
      </c>
      <c r="AK110" s="401">
        <f t="shared" si="661"/>
        <v>0.14292779426310576</v>
      </c>
      <c r="AL110" s="401">
        <f t="shared" si="661"/>
        <v>3.677419354838718E-2</v>
      </c>
      <c r="AM110" s="401">
        <f t="shared" si="661"/>
        <v>4.4611215342922561E-2</v>
      </c>
      <c r="AN110" s="401">
        <f t="shared" si="661"/>
        <v>6.1573311367380645E-2</v>
      </c>
      <c r="AO110" s="401">
        <f t="shared" si="661"/>
        <v>7.0964950237992319E-2</v>
      </c>
      <c r="AP110" s="401">
        <f t="shared" si="661"/>
        <v>7.1769342460070495E-2</v>
      </c>
      <c r="AQ110" s="401">
        <f t="shared" si="661"/>
        <v>6.1664338455398093E-2</v>
      </c>
      <c r="AR110" s="401">
        <f t="shared" si="661"/>
        <v>5.1018428709990404E-2</v>
      </c>
      <c r="AS110" s="401">
        <f t="shared" si="661"/>
        <v>6.0202020202020146E-2</v>
      </c>
      <c r="AT110" s="401">
        <f t="shared" si="661"/>
        <v>0.11283143023030773</v>
      </c>
      <c r="AU110" s="401">
        <f t="shared" si="661"/>
        <v>7.1616541353383356E-2</v>
      </c>
      <c r="AV110" s="401">
        <f t="shared" si="661"/>
        <v>0.12107788851974899</v>
      </c>
      <c r="AW110" s="401">
        <f t="shared" si="661"/>
        <v>8.7842987804878092E-2</v>
      </c>
      <c r="AX110" s="401">
        <f t="shared" si="661"/>
        <v>-1.8782608695652181E-2</v>
      </c>
      <c r="AY110" s="401">
        <f t="shared" si="661"/>
        <v>-2.9117698649359758E-2</v>
      </c>
      <c r="AZ110" s="401">
        <f t="shared" si="661"/>
        <v>-3.0786960816595377E-2</v>
      </c>
      <c r="BA110" s="401">
        <f t="shared" si="661"/>
        <v>2.3471711332982981E-2</v>
      </c>
      <c r="BB110" s="401">
        <f t="shared" si="661"/>
        <v>0.11822048918823103</v>
      </c>
      <c r="BC110" s="401">
        <f t="shared" si="661"/>
        <v>0.12502258355916895</v>
      </c>
      <c r="BD110" s="401">
        <f t="shared" si="661"/>
        <v>4.1277390861219621E-2</v>
      </c>
      <c r="BE110" s="401">
        <f t="shared" ref="BE110" si="662">BE106/BA106-1</f>
        <v>1.3178161903131924E-2</v>
      </c>
      <c r="BF110" s="401">
        <f t="shared" ref="BF110" si="663">BF106/BB106-1</f>
        <v>2.377555872562942E-3</v>
      </c>
      <c r="BG110" s="401">
        <f t="shared" ref="BG110" si="664">BG106/BC106-1</f>
        <v>0.16026979283764242</v>
      </c>
      <c r="BH110" s="401">
        <f t="shared" ref="BH110" si="665">BH106/BD106-1</f>
        <v>7.1941272430668946E-2</v>
      </c>
      <c r="BI110" s="401">
        <f t="shared" ref="BI110" si="666">BI106/BE106-1</f>
        <v>0.46976351351351342</v>
      </c>
      <c r="BJ110" s="401">
        <f t="shared" ref="BJ110" si="667">BJ106/BF106-1</f>
        <v>0.43247944339025923</v>
      </c>
      <c r="BK110" s="401"/>
      <c r="BL110" s="401"/>
      <c r="BM110" s="401"/>
      <c r="BN110" s="401"/>
      <c r="BO110" s="401"/>
      <c r="BP110" s="401"/>
      <c r="BQ110" s="401"/>
      <c r="BR110" s="401"/>
      <c r="BS110" s="401"/>
      <c r="BT110" s="401"/>
      <c r="BU110" s="401"/>
      <c r="BV110" s="401"/>
      <c r="BW110" s="401"/>
      <c r="BX110" s="401"/>
      <c r="BY110" s="401"/>
      <c r="BZ110" s="401"/>
      <c r="CA110" s="401"/>
      <c r="CB110" s="401"/>
      <c r="CC110" s="401"/>
      <c r="CD110" s="401"/>
      <c r="CE110" s="401"/>
      <c r="CF110" s="401"/>
      <c r="CG110" s="401"/>
      <c r="CH110" s="401"/>
      <c r="CI110" s="401"/>
      <c r="CJ110" s="401"/>
      <c r="CK110" s="401"/>
      <c r="CL110" s="401"/>
      <c r="CM110" s="401"/>
      <c r="CN110" s="401"/>
      <c r="CO110" s="401"/>
      <c r="CP110" s="401"/>
      <c r="CQ110" s="401"/>
      <c r="CR110" s="401"/>
      <c r="CS110" s="401"/>
      <c r="CT110" s="401"/>
      <c r="CU110" s="401"/>
      <c r="CV110" s="401"/>
      <c r="CW110" s="401"/>
      <c r="CX110" s="401"/>
      <c r="CY110" s="401"/>
      <c r="CZ110" s="401"/>
      <c r="DA110" s="401"/>
      <c r="DB110" s="401"/>
      <c r="DC110" s="401"/>
      <c r="DD110" s="401"/>
      <c r="DE110" s="401"/>
      <c r="DF110" s="401"/>
      <c r="DY110" s="400">
        <f>DY106/DX106-1</f>
        <v>6.2159614578969347E-2</v>
      </c>
      <c r="DZ110" s="400">
        <f t="shared" ref="DZ110:EA110" si="668">DZ106/DY106-1</f>
        <v>7.1636345708228522E-2</v>
      </c>
      <c r="EA110" s="400">
        <f t="shared" si="668"/>
        <v>6.3949208686050696E-2</v>
      </c>
      <c r="EB110" s="400">
        <f>EB106/EA106-1</f>
        <v>1.9372135259015932E-2</v>
      </c>
      <c r="EC110" s="351"/>
      <c r="ED110" s="351"/>
      <c r="EE110" s="351"/>
      <c r="EF110" s="351"/>
      <c r="EG110" s="351"/>
      <c r="EH110" s="351"/>
      <c r="EI110" s="351"/>
      <c r="EJ110" s="351"/>
      <c r="EK110" s="351"/>
      <c r="EL110" s="351"/>
      <c r="EM110" s="351"/>
    </row>
    <row r="111" spans="2:153" ht="12.75" customHeight="1" x14ac:dyDescent="0.2">
      <c r="B111" s="353" t="s">
        <v>382</v>
      </c>
      <c r="AE111" s="351"/>
      <c r="AF111" s="351"/>
      <c r="AG111" s="351"/>
      <c r="AH111" s="351"/>
      <c r="AI111" s="409"/>
      <c r="AJ111" s="351"/>
      <c r="AK111" s="351"/>
      <c r="AL111" s="351"/>
      <c r="AM111" s="410"/>
      <c r="AN111" s="313"/>
      <c r="AO111" s="401">
        <v>6.0999999999999999E-2</v>
      </c>
      <c r="AP111" s="351"/>
      <c r="AQ111" s="351"/>
      <c r="AR111" s="351"/>
      <c r="AS111" s="351"/>
      <c r="AT111" s="351"/>
      <c r="AU111" s="351"/>
      <c r="AV111" s="401">
        <v>5.7000000000000002E-2</v>
      </c>
      <c r="AW111" s="351"/>
      <c r="AX111" s="351"/>
      <c r="AY111" s="401">
        <v>3.1E-2</v>
      </c>
      <c r="AZ111" s="401">
        <v>2.9000000000000001E-2</v>
      </c>
      <c r="BD111" s="401">
        <v>3.5000000000000003E-2</v>
      </c>
      <c r="BG111" s="400">
        <v>1.2999999999999999E-2</v>
      </c>
      <c r="BI111" s="401">
        <v>1.7000000000000001E-2</v>
      </c>
      <c r="DY111" s="400">
        <v>6.4000000000000001E-2</v>
      </c>
      <c r="DZ111" s="351"/>
      <c r="EA111" s="351"/>
      <c r="EB111" s="400">
        <v>4.2000000000000003E-2</v>
      </c>
      <c r="EC111" s="351"/>
      <c r="ED111" s="351"/>
      <c r="EE111" s="351"/>
      <c r="EF111" s="351"/>
      <c r="EG111" s="351"/>
      <c r="EH111" s="351"/>
      <c r="EI111" s="351"/>
      <c r="EJ111" s="351"/>
      <c r="EK111" s="351"/>
      <c r="EL111" s="351"/>
      <c r="EM111" s="351"/>
    </row>
    <row r="112" spans="2:153" ht="12.75" customHeight="1" x14ac:dyDescent="0.2">
      <c r="B112" s="353" t="s">
        <v>1234</v>
      </c>
      <c r="AE112" s="351"/>
      <c r="AF112" s="351"/>
      <c r="AG112" s="351"/>
      <c r="AH112" s="351"/>
      <c r="AI112" s="409"/>
      <c r="AJ112" s="351"/>
      <c r="AK112" s="351"/>
      <c r="AL112" s="351"/>
      <c r="AM112" s="410"/>
      <c r="AN112" s="313"/>
      <c r="AO112" s="401"/>
      <c r="AP112" s="351"/>
      <c r="AQ112" s="351"/>
      <c r="AR112" s="351"/>
      <c r="AS112" s="351"/>
      <c r="AT112" s="351"/>
      <c r="AU112" s="351"/>
      <c r="AV112" s="401"/>
      <c r="AW112" s="351"/>
      <c r="AX112" s="351"/>
      <c r="AY112" s="401"/>
      <c r="AZ112" s="401">
        <f>AZ110-AZ111</f>
        <v>-5.9786960816595375E-2</v>
      </c>
      <c r="BD112" s="401">
        <f>BD110-BD111</f>
        <v>6.2773908612196172E-3</v>
      </c>
      <c r="BG112" s="400">
        <v>0.02</v>
      </c>
      <c r="BI112" s="401">
        <v>4.3999999999999997E-2</v>
      </c>
      <c r="DY112" s="400"/>
      <c r="DZ112" s="351"/>
      <c r="EA112" s="351"/>
      <c r="EB112" s="400">
        <f>EB110-EB111</f>
        <v>-2.262786474098407E-2</v>
      </c>
      <c r="EC112" s="351"/>
      <c r="ED112" s="351"/>
      <c r="EE112" s="351"/>
      <c r="EF112" s="351"/>
      <c r="EG112" s="351"/>
      <c r="EH112" s="351"/>
      <c r="EI112" s="351"/>
      <c r="EJ112" s="351"/>
      <c r="EK112" s="351"/>
      <c r="EL112" s="351"/>
      <c r="EM112" s="351"/>
    </row>
    <row r="113" spans="2:143" ht="12.75" customHeight="1" x14ac:dyDescent="0.2">
      <c r="B113" s="353" t="s">
        <v>250</v>
      </c>
      <c r="K113" s="317">
        <v>1728</v>
      </c>
      <c r="L113" s="317">
        <v>1687</v>
      </c>
      <c r="M113" s="317">
        <v>1704</v>
      </c>
      <c r="N113" s="317">
        <v>1744</v>
      </c>
      <c r="O113" s="317">
        <v>1752</v>
      </c>
      <c r="P113" s="317">
        <v>1707</v>
      </c>
      <c r="Q113" s="317">
        <v>1722</v>
      </c>
      <c r="R113" s="317">
        <v>1723</v>
      </c>
      <c r="S113" s="351">
        <f t="shared" ref="S113:AN113" si="669">S235</f>
        <v>1631</v>
      </c>
      <c r="T113" s="351">
        <f t="shared" si="669"/>
        <v>1530</v>
      </c>
      <c r="U113" s="351">
        <f t="shared" si="669"/>
        <v>1609</v>
      </c>
      <c r="V113" s="351">
        <f t="shared" si="669"/>
        <v>1550</v>
      </c>
      <c r="W113" s="351">
        <f t="shared" si="669"/>
        <v>1604</v>
      </c>
      <c r="X113" s="351">
        <f t="shared" si="669"/>
        <v>1649</v>
      </c>
      <c r="Y113" s="351">
        <f t="shared" si="669"/>
        <v>1661</v>
      </c>
      <c r="Z113" s="351">
        <f t="shared" si="669"/>
        <v>1650</v>
      </c>
      <c r="AA113" s="351">
        <f t="shared" si="669"/>
        <v>1791</v>
      </c>
      <c r="AB113" s="351">
        <f t="shared" si="669"/>
        <v>1819</v>
      </c>
      <c r="AC113" s="351">
        <f t="shared" si="669"/>
        <v>1841</v>
      </c>
      <c r="AD113" s="351">
        <f t="shared" si="669"/>
        <v>1979</v>
      </c>
      <c r="AE113" s="351">
        <f t="shared" si="669"/>
        <v>2047</v>
      </c>
      <c r="AF113" s="351">
        <f t="shared" si="669"/>
        <v>2000</v>
      </c>
      <c r="AG113" s="351">
        <f t="shared" si="669"/>
        <v>2024</v>
      </c>
      <c r="AH113" s="351">
        <f t="shared" si="669"/>
        <v>2262</v>
      </c>
      <c r="AI113" s="351">
        <f t="shared" si="669"/>
        <v>2280</v>
      </c>
      <c r="AJ113" s="351">
        <f t="shared" si="669"/>
        <v>2278</v>
      </c>
      <c r="AK113" s="351">
        <f t="shared" si="669"/>
        <v>2231</v>
      </c>
      <c r="AL113" s="351">
        <f t="shared" si="669"/>
        <v>2307</v>
      </c>
      <c r="AM113" s="351">
        <f t="shared" si="669"/>
        <v>2355</v>
      </c>
      <c r="AN113" s="351">
        <f t="shared" si="669"/>
        <v>2398</v>
      </c>
      <c r="AO113" s="313">
        <f t="shared" ref="AO113:BG113" si="670">AO54</f>
        <v>2456</v>
      </c>
      <c r="AP113" s="351">
        <f t="shared" si="670"/>
        <v>2565</v>
      </c>
      <c r="AQ113" s="351">
        <f t="shared" si="670"/>
        <v>3496</v>
      </c>
      <c r="AR113" s="351">
        <f t="shared" si="670"/>
        <v>3564</v>
      </c>
      <c r="AS113" s="351">
        <f t="shared" si="670"/>
        <v>3623</v>
      </c>
      <c r="AT113" s="351">
        <f t="shared" si="670"/>
        <v>3810</v>
      </c>
      <c r="AU113" s="351">
        <f t="shared" si="670"/>
        <v>4064</v>
      </c>
      <c r="AV113" s="351">
        <f t="shared" si="670"/>
        <v>4036</v>
      </c>
      <c r="AW113" s="351">
        <f t="shared" si="670"/>
        <v>4099</v>
      </c>
      <c r="AX113" s="351">
        <f t="shared" si="670"/>
        <v>3855</v>
      </c>
      <c r="AY113" s="351">
        <f t="shared" si="670"/>
        <v>3711</v>
      </c>
      <c r="AZ113" s="351">
        <f t="shared" si="670"/>
        <v>3854</v>
      </c>
      <c r="BA113" s="313">
        <f t="shared" si="670"/>
        <v>3989</v>
      </c>
      <c r="BB113" s="313">
        <f t="shared" si="670"/>
        <v>4249</v>
      </c>
      <c r="BC113" s="313">
        <f t="shared" si="670"/>
        <v>3766</v>
      </c>
      <c r="BD113" s="313">
        <f t="shared" si="670"/>
        <v>3647</v>
      </c>
      <c r="BE113" s="313">
        <f t="shared" si="670"/>
        <v>3567</v>
      </c>
      <c r="BF113" s="313">
        <f t="shared" si="670"/>
        <v>3610</v>
      </c>
      <c r="BG113" s="313">
        <f t="shared" si="670"/>
        <v>3682</v>
      </c>
      <c r="BH113" s="313">
        <f t="shared" ref="BH113:BJ113" si="671">BH54</f>
        <v>3793</v>
      </c>
      <c r="BI113" s="313">
        <f t="shared" si="671"/>
        <v>3740</v>
      </c>
      <c r="BJ113" s="313">
        <f t="shared" si="671"/>
        <v>3668</v>
      </c>
      <c r="BK113" s="351"/>
      <c r="BL113" s="351"/>
      <c r="BM113" s="351"/>
      <c r="BN113" s="351"/>
      <c r="BO113" s="351"/>
      <c r="BP113" s="351"/>
      <c r="BQ113" s="351"/>
      <c r="BR113" s="351"/>
      <c r="BS113" s="351"/>
      <c r="BT113" s="351"/>
      <c r="BU113" s="351"/>
      <c r="BV113" s="351"/>
      <c r="BW113" s="351"/>
      <c r="BX113" s="351"/>
      <c r="BY113" s="351"/>
      <c r="BZ113" s="351"/>
      <c r="CA113" s="351"/>
      <c r="CB113" s="351"/>
      <c r="CC113" s="351"/>
      <c r="CD113" s="351"/>
      <c r="CE113" s="351"/>
      <c r="CF113" s="351"/>
      <c r="CG113" s="351"/>
      <c r="CH113" s="351"/>
      <c r="CI113" s="351"/>
      <c r="CJ113" s="351"/>
      <c r="CK113" s="351"/>
      <c r="CL113" s="351"/>
      <c r="CM113" s="351"/>
      <c r="CN113" s="351"/>
      <c r="CO113" s="351"/>
      <c r="CP113" s="351"/>
      <c r="CQ113" s="351"/>
      <c r="CR113" s="351"/>
      <c r="CS113" s="351"/>
      <c r="CT113" s="351"/>
      <c r="CU113" s="351"/>
      <c r="CV113" s="351"/>
      <c r="CW113" s="351"/>
      <c r="CX113" s="351"/>
      <c r="CY113" s="351"/>
      <c r="CZ113" s="351"/>
      <c r="DA113" s="351"/>
      <c r="DB113" s="351"/>
      <c r="DC113" s="351"/>
      <c r="DD113" s="351"/>
      <c r="DE113" s="351"/>
      <c r="DF113" s="351"/>
      <c r="DK113" s="351">
        <v>4780</v>
      </c>
      <c r="DL113" s="351">
        <v>4824</v>
      </c>
      <c r="DM113" s="351">
        <v>5251</v>
      </c>
      <c r="DN113" s="351">
        <v>5831</v>
      </c>
      <c r="DO113" s="351">
        <v>6364</v>
      </c>
      <c r="DP113" s="351">
        <v>6498</v>
      </c>
      <c r="DQ113" s="351">
        <v>6526</v>
      </c>
      <c r="DR113" s="351">
        <v>6864</v>
      </c>
      <c r="DS113" s="351">
        <v>6904</v>
      </c>
      <c r="DT113" s="351">
        <v>6962</v>
      </c>
      <c r="DU113" s="351">
        <v>6564</v>
      </c>
      <c r="DV113" s="351">
        <v>7431</v>
      </c>
      <c r="DW113" s="351">
        <v>8333</v>
      </c>
      <c r="DX113" s="351">
        <f t="shared" ref="DX113:EI113" si="672">DX54</f>
        <v>9096</v>
      </c>
      <c r="DY113" s="351">
        <f t="shared" si="672"/>
        <v>9774</v>
      </c>
      <c r="DZ113" s="351">
        <f t="shared" si="672"/>
        <v>14493</v>
      </c>
      <c r="EA113" s="351">
        <f t="shared" si="672"/>
        <v>16054</v>
      </c>
      <c r="EB113" s="351">
        <f t="shared" si="672"/>
        <v>15803</v>
      </c>
      <c r="EC113" s="351">
        <f t="shared" si="672"/>
        <v>14590</v>
      </c>
      <c r="ED113" s="351">
        <f t="shared" si="672"/>
        <v>14883</v>
      </c>
      <c r="EE113" s="351">
        <f t="shared" si="672"/>
        <v>14447</v>
      </c>
      <c r="EF113" s="351">
        <f t="shared" si="672"/>
        <v>14697</v>
      </c>
      <c r="EG113" s="351">
        <f t="shared" si="672"/>
        <v>14990.94</v>
      </c>
      <c r="EH113" s="351">
        <f t="shared" si="672"/>
        <v>15290.758800000001</v>
      </c>
      <c r="EI113" s="351">
        <f t="shared" si="672"/>
        <v>15596.573976000001</v>
      </c>
      <c r="EJ113" s="351"/>
      <c r="EK113" s="351"/>
      <c r="EL113" s="351"/>
      <c r="EM113" s="351"/>
    </row>
    <row r="114" spans="2:143" ht="12.75" customHeight="1" x14ac:dyDescent="0.2">
      <c r="B114" s="353" t="s">
        <v>378</v>
      </c>
      <c r="W114" s="351">
        <v>315</v>
      </c>
      <c r="X114" s="351">
        <v>339</v>
      </c>
      <c r="Y114" s="351">
        <v>337</v>
      </c>
      <c r="Z114" s="351">
        <v>238</v>
      </c>
      <c r="AA114" s="351">
        <v>413</v>
      </c>
      <c r="AB114" s="351">
        <v>372</v>
      </c>
      <c r="AC114" s="351">
        <v>364</v>
      </c>
      <c r="AD114" s="351">
        <v>244</v>
      </c>
      <c r="AE114" s="351">
        <v>440</v>
      </c>
      <c r="AF114" s="351">
        <v>382</v>
      </c>
      <c r="AG114" s="351">
        <v>358</v>
      </c>
      <c r="AH114" s="351">
        <v>334</v>
      </c>
      <c r="AI114" s="351">
        <v>438</v>
      </c>
      <c r="AJ114" s="351">
        <v>418</v>
      </c>
      <c r="AK114" s="351">
        <v>426</v>
      </c>
      <c r="AL114" s="351">
        <v>366</v>
      </c>
      <c r="AM114" s="313">
        <v>465</v>
      </c>
      <c r="AN114" s="313">
        <v>473</v>
      </c>
      <c r="AO114" s="313"/>
      <c r="AP114" s="351"/>
      <c r="AQ114" s="351"/>
      <c r="AR114" s="351"/>
      <c r="AS114" s="351"/>
      <c r="AT114" s="351"/>
      <c r="AU114" s="351"/>
      <c r="AV114" s="351"/>
      <c r="AW114" s="351"/>
      <c r="AX114" s="351"/>
      <c r="BC114" s="349">
        <v>785</v>
      </c>
      <c r="DK114" s="351">
        <v>501</v>
      </c>
      <c r="DL114" s="351">
        <v>521</v>
      </c>
      <c r="DM114" s="351">
        <v>443</v>
      </c>
      <c r="DN114" s="351">
        <v>298</v>
      </c>
      <c r="DO114" s="351">
        <v>361</v>
      </c>
      <c r="DP114" s="351">
        <v>558</v>
      </c>
      <c r="DQ114" s="351">
        <v>658</v>
      </c>
      <c r="DR114" s="351">
        <v>683</v>
      </c>
      <c r="DS114" s="351">
        <v>867</v>
      </c>
      <c r="DT114" s="351">
        <v>1004</v>
      </c>
      <c r="DU114" s="351">
        <v>1229</v>
      </c>
      <c r="DV114" s="351">
        <v>1393</v>
      </c>
      <c r="DW114" s="351">
        <v>1514</v>
      </c>
      <c r="DX114" s="351">
        <v>1667</v>
      </c>
      <c r="DY114" s="351"/>
      <c r="DZ114" s="351"/>
      <c r="EA114" s="351"/>
      <c r="EB114" s="351"/>
      <c r="EC114" s="351"/>
      <c r="ED114" s="351"/>
      <c r="EE114" s="351"/>
      <c r="EF114" s="351"/>
      <c r="EG114" s="351"/>
      <c r="EH114" s="351"/>
      <c r="EI114" s="351"/>
      <c r="EJ114" s="351"/>
      <c r="EK114" s="351"/>
      <c r="EL114" s="351"/>
      <c r="EM114" s="351"/>
    </row>
    <row r="115" spans="2:143" ht="12.75" customHeight="1" x14ac:dyDescent="0.2">
      <c r="B115" s="353" t="s">
        <v>379</v>
      </c>
      <c r="W115" s="409">
        <f t="shared" ref="W115:AN115" si="673">W114/W113</f>
        <v>0.19638403990024939</v>
      </c>
      <c r="X115" s="409">
        <f t="shared" si="673"/>
        <v>0.20557913887204365</v>
      </c>
      <c r="Y115" s="409">
        <f t="shared" si="673"/>
        <v>0.2028898254063817</v>
      </c>
      <c r="Z115" s="409">
        <f t="shared" si="673"/>
        <v>0.14424242424242426</v>
      </c>
      <c r="AA115" s="409">
        <f t="shared" si="673"/>
        <v>0.23059743160245672</v>
      </c>
      <c r="AB115" s="409">
        <f t="shared" si="673"/>
        <v>0.2045079714128642</v>
      </c>
      <c r="AC115" s="409">
        <f t="shared" si="673"/>
        <v>0.19771863117870722</v>
      </c>
      <c r="AD115" s="409">
        <f t="shared" si="673"/>
        <v>0.12329459322890349</v>
      </c>
      <c r="AE115" s="409">
        <f t="shared" si="673"/>
        <v>0.21494870542256961</v>
      </c>
      <c r="AF115" s="409">
        <f t="shared" si="673"/>
        <v>0.191</v>
      </c>
      <c r="AG115" s="409">
        <f t="shared" si="673"/>
        <v>0.17687747035573123</v>
      </c>
      <c r="AH115" s="409">
        <f t="shared" si="673"/>
        <v>0.14765694076038904</v>
      </c>
      <c r="AI115" s="409">
        <f t="shared" si="673"/>
        <v>0.19210526315789472</v>
      </c>
      <c r="AJ115" s="409">
        <f t="shared" si="673"/>
        <v>0.18349429323968394</v>
      </c>
      <c r="AK115" s="409">
        <f t="shared" si="673"/>
        <v>0.19094576423128642</v>
      </c>
      <c r="AL115" s="409">
        <f t="shared" si="673"/>
        <v>0.15864759427828348</v>
      </c>
      <c r="AM115" s="409">
        <f t="shared" si="673"/>
        <v>0.19745222929936307</v>
      </c>
      <c r="AN115" s="409">
        <f t="shared" si="673"/>
        <v>0.19724770642201836</v>
      </c>
      <c r="BC115" s="409">
        <f>+BC114/BC113</f>
        <v>0.20844397238449283</v>
      </c>
      <c r="DK115" s="409">
        <f t="shared" ref="DK115:EA115" si="674">DK114/DK113</f>
        <v>0.10481171548117155</v>
      </c>
      <c r="DL115" s="409">
        <f t="shared" si="674"/>
        <v>0.1080016583747927</v>
      </c>
      <c r="DM115" s="409">
        <f t="shared" si="674"/>
        <v>8.4364882879451528E-2</v>
      </c>
      <c r="DN115" s="409">
        <f t="shared" si="674"/>
        <v>5.110615674841365E-2</v>
      </c>
      <c r="DO115" s="409">
        <f t="shared" si="674"/>
        <v>5.6725329981143935E-2</v>
      </c>
      <c r="DP115" s="409">
        <f t="shared" si="674"/>
        <v>8.5872576177285317E-2</v>
      </c>
      <c r="DQ115" s="409">
        <f t="shared" si="674"/>
        <v>0.10082745939319644</v>
      </c>
      <c r="DR115" s="409">
        <f t="shared" si="674"/>
        <v>9.9504662004662001E-2</v>
      </c>
      <c r="DS115" s="409">
        <f t="shared" si="674"/>
        <v>0.12557937427578217</v>
      </c>
      <c r="DT115" s="409">
        <f t="shared" si="674"/>
        <v>0.14421143349612181</v>
      </c>
      <c r="DU115" s="409">
        <f t="shared" si="674"/>
        <v>0.18723339427178551</v>
      </c>
      <c r="DV115" s="409">
        <f t="shared" si="674"/>
        <v>0.18745794644058672</v>
      </c>
      <c r="DW115" s="409">
        <f t="shared" si="674"/>
        <v>0.18168726749069963</v>
      </c>
      <c r="DX115" s="409">
        <f t="shared" si="674"/>
        <v>0.18326737027264731</v>
      </c>
      <c r="DY115" s="409">
        <f t="shared" si="674"/>
        <v>0</v>
      </c>
      <c r="DZ115" s="409">
        <f t="shared" si="674"/>
        <v>0</v>
      </c>
      <c r="EA115" s="409">
        <f t="shared" si="674"/>
        <v>0</v>
      </c>
    </row>
    <row r="116" spans="2:143" ht="12.75" customHeight="1" x14ac:dyDescent="0.2">
      <c r="B116" s="353" t="s">
        <v>380</v>
      </c>
      <c r="Z116" s="409">
        <f t="shared" ref="Z116:BB116" si="675">Z113/Z55</f>
        <v>0.17547591194299691</v>
      </c>
      <c r="AA116" s="409">
        <f t="shared" si="675"/>
        <v>0.18234575442883322</v>
      </c>
      <c r="AB116" s="409">
        <f t="shared" si="675"/>
        <v>0.17605497483546265</v>
      </c>
      <c r="AC116" s="409">
        <f t="shared" si="675"/>
        <v>0.17610484025253492</v>
      </c>
      <c r="AD116" s="409">
        <f t="shared" si="675"/>
        <v>0.17376415839845466</v>
      </c>
      <c r="AE116" s="409">
        <f t="shared" si="675"/>
        <v>0.17081108144192256</v>
      </c>
      <c r="AF116" s="409">
        <f t="shared" si="675"/>
        <v>0.16818028927009754</v>
      </c>
      <c r="AG116" s="409">
        <f t="shared" si="675"/>
        <v>0.17519259066909029</v>
      </c>
      <c r="AH116" s="409">
        <f t="shared" si="675"/>
        <v>0.17738393977415307</v>
      </c>
      <c r="AI116" s="409">
        <f t="shared" si="675"/>
        <v>0.17768079800498754</v>
      </c>
      <c r="AJ116" s="409">
        <f t="shared" si="675"/>
        <v>0.17849866792038865</v>
      </c>
      <c r="AK116" s="409">
        <f t="shared" si="675"/>
        <v>0.18123476848090983</v>
      </c>
      <c r="AL116" s="409">
        <f t="shared" si="675"/>
        <v>0.18295003965107057</v>
      </c>
      <c r="AM116" s="410">
        <f t="shared" si="675"/>
        <v>0.18126539408866996</v>
      </c>
      <c r="AN116" s="410">
        <f t="shared" si="675"/>
        <v>0.17945072214323132</v>
      </c>
      <c r="AO116" s="410">
        <f t="shared" si="675"/>
        <v>0.18484232708662601</v>
      </c>
      <c r="AP116" s="410">
        <f t="shared" si="675"/>
        <v>0.1874725917263558</v>
      </c>
      <c r="AQ116" s="410">
        <f t="shared" si="675"/>
        <v>0.23172267515079206</v>
      </c>
      <c r="AR116" s="410">
        <f t="shared" si="675"/>
        <v>0.23537181349887729</v>
      </c>
      <c r="AS116" s="410">
        <f t="shared" si="675"/>
        <v>0.24142067035383488</v>
      </c>
      <c r="AT116" s="410">
        <f t="shared" si="675"/>
        <v>0.23876668546719307</v>
      </c>
      <c r="AU116" s="410">
        <f t="shared" si="675"/>
        <v>0.25095714462146473</v>
      </c>
      <c r="AV116" s="410">
        <f t="shared" si="675"/>
        <v>0.24534954407294832</v>
      </c>
      <c r="AW116" s="410">
        <f t="shared" si="675"/>
        <v>0.25745870234281765</v>
      </c>
      <c r="AX116" s="410">
        <f t="shared" si="675"/>
        <v>0.25391911474114082</v>
      </c>
      <c r="AY116" s="410">
        <f t="shared" si="675"/>
        <v>0.24697191534673232</v>
      </c>
      <c r="AZ116" s="410">
        <f t="shared" si="675"/>
        <v>0.25290373384080322</v>
      </c>
      <c r="BA116" s="410">
        <f t="shared" si="675"/>
        <v>0.264505006299317</v>
      </c>
      <c r="BB116" s="410">
        <f t="shared" si="675"/>
        <v>0.25672164823877713</v>
      </c>
      <c r="BC116" s="410">
        <f t="shared" ref="BC116:BG116" si="676">BC113/BC55</f>
        <v>0.24093148231079264</v>
      </c>
      <c r="BD116" s="410">
        <f t="shared" si="676"/>
        <v>0.23698745857430631</v>
      </c>
      <c r="BE116" s="410">
        <f t="shared" si="676"/>
        <v>0.2380857028434121</v>
      </c>
      <c r="BF116" s="410">
        <f t="shared" si="676"/>
        <v>0.23075939657376629</v>
      </c>
      <c r="BG116" s="410">
        <f t="shared" si="676"/>
        <v>0.2170222798538253</v>
      </c>
      <c r="BH116" s="410">
        <f t="shared" ref="BH116:BI116" si="677">BH113/BH55</f>
        <v>0.22853527745978189</v>
      </c>
      <c r="BI116" s="410">
        <f t="shared" si="677"/>
        <v>0.23367697594501718</v>
      </c>
      <c r="BJ116" s="410">
        <f t="shared" ref="BJ116" si="678">BJ113/BJ55</f>
        <v>0.19488868816747251</v>
      </c>
      <c r="BK116" s="410"/>
      <c r="BL116" s="410"/>
      <c r="BM116" s="410"/>
      <c r="BN116" s="410"/>
      <c r="BO116" s="410"/>
      <c r="BP116" s="410"/>
      <c r="BQ116" s="410"/>
      <c r="BR116" s="410"/>
      <c r="BS116" s="410"/>
      <c r="BT116" s="410"/>
      <c r="BU116" s="410"/>
      <c r="BV116" s="410"/>
      <c r="BW116" s="410"/>
      <c r="BX116" s="410"/>
      <c r="BY116" s="410"/>
      <c r="BZ116" s="410"/>
      <c r="CA116" s="410"/>
      <c r="CB116" s="410"/>
      <c r="CC116" s="410"/>
      <c r="CD116" s="410"/>
      <c r="CE116" s="410"/>
      <c r="CF116" s="410"/>
      <c r="CG116" s="410"/>
      <c r="CH116" s="410"/>
      <c r="CI116" s="410"/>
      <c r="CJ116" s="410"/>
      <c r="CK116" s="410"/>
      <c r="CL116" s="410"/>
      <c r="CM116" s="410"/>
      <c r="CN116" s="410"/>
      <c r="CO116" s="410"/>
      <c r="CP116" s="410"/>
      <c r="CQ116" s="410"/>
      <c r="CR116" s="410"/>
      <c r="CS116" s="410"/>
      <c r="CT116" s="410"/>
      <c r="CU116" s="410"/>
      <c r="CV116" s="410"/>
      <c r="CW116" s="410"/>
      <c r="CX116" s="410"/>
      <c r="CY116" s="410"/>
      <c r="CZ116" s="410"/>
      <c r="DA116" s="410"/>
      <c r="DB116" s="410"/>
      <c r="DC116" s="410"/>
      <c r="DD116" s="410"/>
      <c r="DE116" s="410"/>
      <c r="DF116" s="410"/>
      <c r="DK116" s="409">
        <f t="shared" ref="DK116:EH116" si="679">DK113/DK55</f>
        <v>0.34756053224750966</v>
      </c>
      <c r="DL116" s="409">
        <f t="shared" si="679"/>
        <v>0.34120809166784555</v>
      </c>
      <c r="DM116" s="409">
        <f t="shared" si="679"/>
        <v>0.33373585865005723</v>
      </c>
      <c r="DN116" s="409">
        <f t="shared" si="679"/>
        <v>0.30946820931960511</v>
      </c>
      <c r="DO116" s="409">
        <f t="shared" si="679"/>
        <v>0.29435707678075856</v>
      </c>
      <c r="DP116" s="409">
        <f t="shared" si="679"/>
        <v>0.2871536523929471</v>
      </c>
      <c r="DQ116" s="409">
        <f t="shared" si="679"/>
        <v>0.27585915373885106</v>
      </c>
      <c r="DR116" s="409">
        <f t="shared" si="679"/>
        <v>0.249863492410178</v>
      </c>
      <c r="DS116" s="409">
        <f t="shared" si="679"/>
        <v>0.23693331960602629</v>
      </c>
      <c r="DT116" s="409">
        <f t="shared" si="679"/>
        <v>0.21094412798448672</v>
      </c>
      <c r="DU116" s="409">
        <f t="shared" si="679"/>
        <v>0.17782883026882929</v>
      </c>
      <c r="DV116" s="409">
        <f t="shared" si="679"/>
        <v>0.17540256907759633</v>
      </c>
      <c r="DW116" s="409">
        <f t="shared" si="679"/>
        <v>0.17318203545524452</v>
      </c>
      <c r="DX116" s="409">
        <f t="shared" si="679"/>
        <v>0.18376500060608508</v>
      </c>
      <c r="DY116" s="409">
        <f t="shared" si="679"/>
        <v>0.1832945765508964</v>
      </c>
      <c r="DZ116" s="409">
        <f t="shared" si="679"/>
        <v>0.2372207218266634</v>
      </c>
      <c r="EA116" s="409">
        <f t="shared" si="679"/>
        <v>0.25183930224167411</v>
      </c>
      <c r="EB116" s="409">
        <f t="shared" si="679"/>
        <v>0.25531124287122153</v>
      </c>
      <c r="EC116" s="409">
        <f t="shared" si="679"/>
        <v>0.23740948661622324</v>
      </c>
      <c r="ED116" s="409">
        <f t="shared" si="679"/>
        <v>0.22886360141473167</v>
      </c>
      <c r="EE116" s="409">
        <f t="shared" si="679"/>
        <v>0.21324929517174193</v>
      </c>
      <c r="EF116" s="409">
        <f t="shared" si="679"/>
        <v>0.20609434597262732</v>
      </c>
      <c r="EG116" s="409">
        <f t="shared" si="679"/>
        <v>0.19660601137318723</v>
      </c>
      <c r="EH116" s="409">
        <f t="shared" si="679"/>
        <v>0.19856876354975245</v>
      </c>
      <c r="EI116" s="409"/>
      <c r="EJ116" s="409"/>
      <c r="EK116" s="409"/>
      <c r="EL116" s="409"/>
      <c r="EM116" s="409"/>
    </row>
    <row r="117" spans="2:143" ht="12.75" customHeight="1" x14ac:dyDescent="0.2">
      <c r="B117" s="353" t="s">
        <v>381</v>
      </c>
      <c r="AI117" s="409"/>
      <c r="AM117" s="409"/>
      <c r="AO117" s="401">
        <f t="shared" ref="AO117:BB117" si="680">AO113/AK113-1</f>
        <v>0.10085163603765124</v>
      </c>
      <c r="AP117" s="401">
        <f t="shared" si="680"/>
        <v>0.1118335500650196</v>
      </c>
      <c r="AQ117" s="401">
        <f t="shared" si="680"/>
        <v>0.48450106157112516</v>
      </c>
      <c r="AR117" s="401">
        <f t="shared" si="680"/>
        <v>0.48623853211009171</v>
      </c>
      <c r="AS117" s="401">
        <f t="shared" si="680"/>
        <v>0.47516286644951133</v>
      </c>
      <c r="AT117" s="401">
        <f t="shared" si="680"/>
        <v>0.48538011695906436</v>
      </c>
      <c r="AU117" s="401">
        <f t="shared" si="680"/>
        <v>0.1624713958810069</v>
      </c>
      <c r="AV117" s="401">
        <f t="shared" si="680"/>
        <v>0.13243546576879917</v>
      </c>
      <c r="AW117" s="401">
        <f t="shared" si="680"/>
        <v>0.13138283190725919</v>
      </c>
      <c r="AX117" s="401">
        <f t="shared" si="680"/>
        <v>1.1811023622047223E-2</v>
      </c>
      <c r="AY117" s="401">
        <f t="shared" si="680"/>
        <v>-8.6860236220472453E-2</v>
      </c>
      <c r="AZ117" s="401">
        <f>AZ113/AV113-1</f>
        <v>-4.5094152626362738E-2</v>
      </c>
      <c r="BA117" s="401">
        <f t="shared" si="680"/>
        <v>-2.6835813613076409E-2</v>
      </c>
      <c r="BB117" s="401">
        <f t="shared" si="680"/>
        <v>0.10220492866407271</v>
      </c>
      <c r="BC117" s="401">
        <f>BC113/AY113-1</f>
        <v>1.4820803018054329E-2</v>
      </c>
      <c r="BD117" s="401">
        <f>BD113/AZ113-1</f>
        <v>-5.3710430721328528E-2</v>
      </c>
      <c r="BE117" s="401">
        <f>BE113/BA113-1</f>
        <v>-0.10579092504387066</v>
      </c>
      <c r="BF117" s="401">
        <f>BF113/BB113-1</f>
        <v>-0.15038832666509772</v>
      </c>
      <c r="BG117" s="401">
        <f>BG113/BC113-1</f>
        <v>-2.2304832713754608E-2</v>
      </c>
      <c r="BH117" s="401">
        <f t="shared" ref="BH117:BI117" si="681">BH113/BD113-1</f>
        <v>4.0032903756512139E-2</v>
      </c>
      <c r="BI117" s="401">
        <f t="shared" si="681"/>
        <v>4.8500140173815431E-2</v>
      </c>
      <c r="BJ117" s="401">
        <f t="shared" ref="BJ117" si="682">BJ113/BF113-1</f>
        <v>1.6066481994459814E-2</v>
      </c>
      <c r="BK117" s="401"/>
      <c r="BL117" s="401"/>
      <c r="BM117" s="401"/>
      <c r="BN117" s="401"/>
      <c r="BO117" s="401"/>
      <c r="BP117" s="401"/>
      <c r="BQ117" s="401"/>
      <c r="BR117" s="401"/>
      <c r="BS117" s="401"/>
      <c r="BT117" s="401"/>
      <c r="BU117" s="401"/>
      <c r="BV117" s="401"/>
      <c r="BW117" s="401"/>
      <c r="BX117" s="401"/>
      <c r="BY117" s="401"/>
      <c r="BZ117" s="401"/>
      <c r="CA117" s="401"/>
      <c r="CB117" s="401"/>
      <c r="CC117" s="401"/>
      <c r="CD117" s="401"/>
      <c r="CE117" s="401"/>
      <c r="CF117" s="401"/>
      <c r="CG117" s="401"/>
      <c r="CH117" s="401"/>
      <c r="CI117" s="401"/>
      <c r="CJ117" s="401"/>
      <c r="CK117" s="401"/>
      <c r="CL117" s="401"/>
      <c r="CM117" s="401"/>
      <c r="CN117" s="401"/>
      <c r="CO117" s="401"/>
      <c r="CP117" s="401"/>
      <c r="CQ117" s="401"/>
      <c r="CR117" s="401"/>
      <c r="CS117" s="401"/>
      <c r="CT117" s="401"/>
      <c r="CU117" s="401"/>
      <c r="CV117" s="401"/>
      <c r="CW117" s="401"/>
      <c r="CX117" s="401"/>
      <c r="CY117" s="401"/>
      <c r="CZ117" s="401"/>
      <c r="DA117" s="401"/>
      <c r="DB117" s="401"/>
      <c r="DC117" s="401"/>
      <c r="DD117" s="401"/>
      <c r="DE117" s="401"/>
      <c r="DF117" s="401"/>
      <c r="DY117" s="400">
        <f>DY113/DX113-1</f>
        <v>7.4538258575197913E-2</v>
      </c>
      <c r="DZ117" s="400">
        <f>DZ113/DY113-1</f>
        <v>0.48281154082259059</v>
      </c>
      <c r="EA117" s="400">
        <f>EA113/DZ113-1</f>
        <v>0.10770716897812727</v>
      </c>
      <c r="EB117" s="400">
        <f>EB113/EA113-1</f>
        <v>-1.5634732776877991E-2</v>
      </c>
    </row>
    <row r="118" spans="2:143" ht="12.75" customHeight="1" x14ac:dyDescent="0.2">
      <c r="B118" s="353" t="s">
        <v>382</v>
      </c>
      <c r="AI118" s="409"/>
      <c r="AM118" s="409"/>
      <c r="AO118" s="401">
        <v>8.1000000000000003E-2</v>
      </c>
      <c r="AY118" s="401">
        <v>-0.01</v>
      </c>
      <c r="AZ118" s="401">
        <f>AZ117-AZ119</f>
        <v>3.090584737363726E-2</v>
      </c>
      <c r="BA118" s="401">
        <f>BA117-BA119</f>
        <v>1.116418638692359E-2</v>
      </c>
      <c r="BB118" s="401"/>
      <c r="BC118" s="401"/>
      <c r="BD118" s="401">
        <f>BD117-BD119</f>
        <v>-6.4710430721328524E-2</v>
      </c>
      <c r="BE118" s="401"/>
      <c r="BF118" s="401"/>
      <c r="BG118" s="401">
        <v>-4.1000000000000002E-2</v>
      </c>
      <c r="BH118" s="401"/>
      <c r="BI118" s="401">
        <v>5.0000000000000001E-3</v>
      </c>
      <c r="BJ118" s="401"/>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v>6.4000000000000001E-2</v>
      </c>
      <c r="EB118" s="400">
        <v>0.02</v>
      </c>
    </row>
    <row r="119" spans="2:143" ht="12.75" customHeight="1" x14ac:dyDescent="0.2">
      <c r="B119" s="353" t="s">
        <v>1234</v>
      </c>
      <c r="AI119" s="409"/>
      <c r="AM119" s="409"/>
      <c r="AO119" s="401"/>
      <c r="AY119" s="401"/>
      <c r="AZ119" s="401">
        <v>-7.5999999999999998E-2</v>
      </c>
      <c r="BA119" s="401">
        <v>-3.7999999999999999E-2</v>
      </c>
      <c r="BB119" s="401"/>
      <c r="BC119" s="401"/>
      <c r="BD119" s="401">
        <v>1.0999999999999999E-2</v>
      </c>
      <c r="BE119" s="401"/>
      <c r="BF119" s="401"/>
      <c r="BG119" s="401">
        <v>1.9E-2</v>
      </c>
      <c r="BH119" s="401"/>
      <c r="BI119" s="401">
        <v>4.3999999999999997E-2</v>
      </c>
      <c r="BJ119" s="401"/>
      <c r="BK119" s="401"/>
      <c r="BL119" s="401"/>
      <c r="BM119" s="401"/>
      <c r="BN119" s="401"/>
      <c r="BO119" s="401"/>
      <c r="BP119" s="401"/>
      <c r="BQ119" s="401"/>
      <c r="BR119" s="401"/>
      <c r="BS119" s="401"/>
      <c r="BT119" s="401"/>
      <c r="BU119" s="401"/>
      <c r="BV119" s="401"/>
      <c r="BW119" s="401"/>
      <c r="BX119" s="401"/>
      <c r="BY119" s="401"/>
      <c r="BZ119" s="401"/>
      <c r="CA119" s="401"/>
      <c r="CB119" s="401"/>
      <c r="CC119" s="401"/>
      <c r="CD119" s="401"/>
      <c r="CE119" s="401"/>
      <c r="CF119" s="401"/>
      <c r="CG119" s="401"/>
      <c r="CH119" s="401"/>
      <c r="CI119" s="401"/>
      <c r="CJ119" s="401"/>
      <c r="CK119" s="401"/>
      <c r="CL119" s="401"/>
      <c r="CM119" s="401"/>
      <c r="CN119" s="401"/>
      <c r="CO119" s="401"/>
      <c r="CP119" s="401"/>
      <c r="CQ119" s="401"/>
      <c r="CR119" s="401"/>
      <c r="CS119" s="401"/>
      <c r="CT119" s="401"/>
      <c r="CU119" s="401"/>
      <c r="CV119" s="401"/>
      <c r="CW119" s="401"/>
      <c r="CX119" s="401"/>
      <c r="CY119" s="401"/>
      <c r="CZ119" s="401"/>
      <c r="DA119" s="401"/>
      <c r="DB119" s="401"/>
      <c r="DC119" s="401"/>
      <c r="DD119" s="401"/>
      <c r="DE119" s="401"/>
      <c r="DF119" s="401"/>
      <c r="DY119" s="400">
        <f>DY117-DY118</f>
        <v>1.0538258575197912E-2</v>
      </c>
      <c r="EB119" s="400">
        <f>EB117-EB118</f>
        <v>-3.5634732776877995E-2</v>
      </c>
    </row>
    <row r="120" spans="2:143" ht="12.75" customHeight="1" x14ac:dyDescent="0.2">
      <c r="AI120" s="409"/>
      <c r="AM120" s="409"/>
      <c r="AO120" s="401"/>
      <c r="AY120" s="401"/>
      <c r="AZ120" s="401"/>
      <c r="BA120" s="401"/>
      <c r="BB120" s="401"/>
      <c r="BC120" s="401"/>
      <c r="BD120" s="401"/>
      <c r="BE120" s="401"/>
      <c r="BF120" s="401"/>
      <c r="BG120" s="401"/>
      <c r="BH120" s="401"/>
      <c r="BI120" s="401"/>
      <c r="BJ120" s="401"/>
      <c r="BK120" s="401"/>
      <c r="BL120" s="401"/>
      <c r="BM120" s="401"/>
      <c r="BN120" s="401"/>
      <c r="BO120" s="401"/>
      <c r="BP120" s="401"/>
      <c r="BQ120" s="401"/>
      <c r="BR120" s="401"/>
      <c r="BS120" s="401"/>
      <c r="BT120" s="401"/>
      <c r="BU120" s="401"/>
      <c r="BV120" s="401"/>
      <c r="BW120" s="401"/>
      <c r="BX120" s="401"/>
      <c r="BY120" s="401"/>
      <c r="BZ120" s="401"/>
      <c r="CA120" s="401"/>
      <c r="CB120" s="401"/>
      <c r="CC120" s="401"/>
      <c r="CD120" s="401"/>
      <c r="CE120" s="401"/>
      <c r="CF120" s="401"/>
      <c r="CG120" s="401"/>
      <c r="CH120" s="401"/>
      <c r="CI120" s="401"/>
      <c r="CJ120" s="401"/>
      <c r="CK120" s="401"/>
      <c r="CL120" s="401"/>
      <c r="CM120" s="401"/>
      <c r="CN120" s="401"/>
      <c r="CO120" s="401"/>
      <c r="CP120" s="401"/>
      <c r="CQ120" s="401"/>
      <c r="CR120" s="401"/>
      <c r="CS120" s="401"/>
      <c r="CT120" s="401"/>
      <c r="CU120" s="401"/>
      <c r="CV120" s="401"/>
      <c r="CW120" s="401"/>
      <c r="CX120" s="401"/>
      <c r="CY120" s="401"/>
      <c r="CZ120" s="401"/>
      <c r="DA120" s="401"/>
      <c r="DB120" s="401"/>
      <c r="DC120" s="401"/>
      <c r="DD120" s="401"/>
      <c r="DE120" s="401"/>
      <c r="DF120" s="401"/>
      <c r="DY120" s="400"/>
      <c r="EB120" s="400"/>
    </row>
    <row r="121" spans="2:143" s="229" customFormat="1" ht="12.75" customHeight="1" x14ac:dyDescent="0.2">
      <c r="B121" s="229" t="s">
        <v>662</v>
      </c>
      <c r="C121" s="396"/>
      <c r="D121" s="396"/>
      <c r="E121" s="396"/>
      <c r="F121" s="396"/>
      <c r="G121" s="396"/>
      <c r="H121" s="396"/>
      <c r="I121" s="396"/>
      <c r="J121" s="396"/>
      <c r="K121" s="396"/>
      <c r="L121" s="396"/>
      <c r="M121" s="396"/>
      <c r="N121" s="396"/>
      <c r="O121" s="396"/>
      <c r="P121" s="396"/>
      <c r="Q121" s="396"/>
      <c r="R121" s="396"/>
      <c r="S121" s="396"/>
      <c r="T121" s="396"/>
      <c r="U121" s="396"/>
      <c r="V121" s="396"/>
      <c r="W121" s="396"/>
      <c r="X121" s="396"/>
      <c r="Y121" s="396"/>
      <c r="Z121" s="396"/>
      <c r="AA121" s="396"/>
      <c r="AB121" s="396"/>
      <c r="AC121" s="396"/>
      <c r="AD121" s="396"/>
      <c r="AE121" s="396"/>
      <c r="AF121" s="396"/>
      <c r="AG121" s="396"/>
      <c r="AH121" s="396"/>
      <c r="AI121" s="396"/>
      <c r="AJ121" s="396"/>
      <c r="AK121" s="396"/>
      <c r="AL121" s="396"/>
      <c r="AM121" s="396"/>
      <c r="AN121" s="398"/>
      <c r="AO121" s="398"/>
      <c r="AP121" s="398"/>
      <c r="AQ121" s="398"/>
      <c r="AR121" s="403">
        <v>0.108</v>
      </c>
      <c r="AS121" s="403">
        <v>9.7000000000000003E-2</v>
      </c>
      <c r="AT121" s="403">
        <v>0.11899999999999999</v>
      </c>
      <c r="AU121" s="403">
        <v>2.5999999999999999E-2</v>
      </c>
      <c r="AV121" s="403">
        <f>AV71-AV123</f>
        <v>3.038224805177641E-2</v>
      </c>
      <c r="AW121" s="403">
        <f>AW71-AW123</f>
        <v>2.9904911041513854E-2</v>
      </c>
      <c r="AX121" s="402">
        <v>-0.01</v>
      </c>
      <c r="AY121" s="402">
        <v>-1.2E-2</v>
      </c>
      <c r="AZ121" s="402">
        <f>AZ124-AZ123</f>
        <v>-1.3617021276595753E-2</v>
      </c>
      <c r="BA121" s="403">
        <f>BA124-BA123</f>
        <v>-2.7760504993404898E-2</v>
      </c>
      <c r="BB121" s="403">
        <f>BB124-BB123</f>
        <v>4.5172572783559392E-2</v>
      </c>
      <c r="BC121" s="403">
        <v>-1E-3</v>
      </c>
      <c r="BD121" s="403">
        <v>1E-3</v>
      </c>
      <c r="BE121" s="403">
        <v>1E-3</v>
      </c>
      <c r="BF121" s="396"/>
      <c r="BG121" s="403">
        <v>1.7999999999999999E-2</v>
      </c>
      <c r="BH121" s="396"/>
      <c r="BI121" s="403">
        <v>2.5999999999999999E-2</v>
      </c>
      <c r="BJ121" s="403">
        <v>0.04</v>
      </c>
      <c r="BK121" s="396"/>
      <c r="BL121" s="396"/>
      <c r="BM121" s="396"/>
      <c r="BN121" s="396"/>
      <c r="BO121" s="396"/>
      <c r="BP121" s="396"/>
      <c r="BQ121" s="396"/>
      <c r="BR121" s="396"/>
      <c r="BS121" s="396"/>
      <c r="BT121" s="396"/>
      <c r="BU121" s="396"/>
      <c r="BV121" s="396"/>
      <c r="BW121" s="396"/>
      <c r="BX121" s="396"/>
      <c r="BY121" s="396"/>
      <c r="BZ121" s="396"/>
      <c r="CA121" s="396"/>
      <c r="CB121" s="396"/>
      <c r="CC121" s="396"/>
      <c r="CD121" s="396"/>
      <c r="CE121" s="396"/>
      <c r="CF121" s="396"/>
      <c r="CG121" s="396"/>
      <c r="CH121" s="396"/>
      <c r="CI121" s="396"/>
      <c r="CJ121" s="396"/>
      <c r="CK121" s="396"/>
      <c r="CL121" s="396"/>
      <c r="CM121" s="396"/>
      <c r="CN121" s="396"/>
      <c r="CO121" s="396"/>
      <c r="CP121" s="396"/>
      <c r="CQ121" s="396"/>
      <c r="CR121" s="396"/>
      <c r="CS121" s="396"/>
      <c r="CT121" s="396"/>
      <c r="CU121" s="396"/>
      <c r="CV121" s="396"/>
      <c r="CW121" s="396"/>
      <c r="CX121" s="396"/>
      <c r="CY121" s="396"/>
      <c r="CZ121" s="396"/>
      <c r="DA121" s="396"/>
      <c r="DB121" s="396"/>
      <c r="DC121" s="396"/>
      <c r="DD121" s="396"/>
      <c r="DE121" s="396"/>
      <c r="DF121" s="396"/>
      <c r="DH121" s="396"/>
      <c r="DI121" s="396"/>
      <c r="DJ121" s="396"/>
      <c r="DK121" s="396"/>
      <c r="DL121" s="396"/>
      <c r="DM121" s="396"/>
      <c r="DN121" s="396"/>
      <c r="DO121" s="396"/>
      <c r="DP121" s="396"/>
      <c r="DQ121" s="396"/>
      <c r="DR121" s="396"/>
      <c r="DS121" s="396"/>
      <c r="DT121" s="402">
        <v>0.122</v>
      </c>
      <c r="DU121" s="402">
        <v>0.104</v>
      </c>
      <c r="DV121" s="402">
        <v>9.4E-2</v>
      </c>
      <c r="DW121" s="402">
        <v>8.6999999999999994E-2</v>
      </c>
      <c r="DX121" s="402">
        <v>5.3999999999999999E-2</v>
      </c>
      <c r="DY121" s="396"/>
      <c r="DZ121" s="416">
        <v>0.10100000000000001</v>
      </c>
      <c r="EA121" s="416">
        <v>1.0999999999999999E-2</v>
      </c>
      <c r="EB121" s="416">
        <v>-2E-3</v>
      </c>
      <c r="EC121" s="396"/>
      <c r="ED121" s="402">
        <v>2.8000000000000001E-2</v>
      </c>
      <c r="EE121" s="396"/>
      <c r="EF121" s="396"/>
      <c r="EG121" s="396"/>
      <c r="EH121" s="396"/>
      <c r="EI121" s="396"/>
      <c r="EJ121" s="396"/>
      <c r="EK121" s="396"/>
      <c r="EL121" s="396"/>
      <c r="EM121" s="396"/>
    </row>
    <row r="122" spans="2:143" ht="12.75" customHeight="1" x14ac:dyDescent="0.2">
      <c r="B122" s="353" t="s">
        <v>168</v>
      </c>
      <c r="AE122" s="400"/>
      <c r="DT122" s="400">
        <v>1.2E-2</v>
      </c>
      <c r="DU122" s="400">
        <v>1.7000000000000001E-2</v>
      </c>
      <c r="DV122" s="400">
        <v>1.2999999999999999E-2</v>
      </c>
      <c r="DW122" s="400">
        <v>0.01</v>
      </c>
      <c r="DX122" s="400">
        <v>6.0000000000000001E-3</v>
      </c>
      <c r="DZ122" s="417">
        <v>1.4E-2</v>
      </c>
      <c r="EA122" s="417">
        <v>8.0000000000000002E-3</v>
      </c>
      <c r="EB122" s="417">
        <v>-1E-3</v>
      </c>
      <c r="ED122" s="400">
        <v>0</v>
      </c>
    </row>
    <row r="123" spans="2:143" ht="12.75" customHeight="1" x14ac:dyDescent="0.2">
      <c r="B123" s="353" t="s">
        <v>384</v>
      </c>
      <c r="AE123" s="400">
        <v>5.3999999999999999E-2</v>
      </c>
      <c r="AF123" s="400">
        <v>2.5999999999999999E-2</v>
      </c>
      <c r="AG123" s="400">
        <v>2.8000000000000001E-2</v>
      </c>
      <c r="AH123" s="400">
        <v>2.9000000000000001E-2</v>
      </c>
      <c r="AI123" s="400">
        <v>2.1999999999999999E-2</v>
      </c>
      <c r="AJ123" s="400">
        <v>0.02</v>
      </c>
      <c r="AK123" s="400">
        <v>8.0000000000000002E-3</v>
      </c>
      <c r="AL123" s="400">
        <v>-1.7999999999999999E-2</v>
      </c>
      <c r="AM123" s="400">
        <v>-2.3E-2</v>
      </c>
      <c r="AO123" s="400">
        <v>1.2E-2</v>
      </c>
      <c r="AR123" s="400">
        <v>2.4E-2</v>
      </c>
      <c r="AS123" s="400">
        <v>0.03</v>
      </c>
      <c r="AT123" s="400">
        <v>4.7E-2</v>
      </c>
      <c r="AU123" s="400">
        <v>5.0999999999999997E-2</v>
      </c>
      <c r="AV123" s="400">
        <v>5.6000000000000001E-2</v>
      </c>
      <c r="AW123" s="400">
        <v>3.1E-2</v>
      </c>
      <c r="AX123" s="400">
        <v>-3.9E-2</v>
      </c>
      <c r="AY123" s="400">
        <v>-0.06</v>
      </c>
      <c r="AZ123" s="400">
        <v>-0.06</v>
      </c>
      <c r="BA123" s="401">
        <v>-2.5000000000000001E-2</v>
      </c>
      <c r="BB123" s="401">
        <v>4.4999999999999998E-2</v>
      </c>
      <c r="BC123" s="401">
        <v>4.1000000000000002E-2</v>
      </c>
      <c r="BD123" s="401">
        <v>5.0000000000000001E-3</v>
      </c>
      <c r="BE123" s="401">
        <v>-8.0000000000000002E-3</v>
      </c>
      <c r="BG123" s="401">
        <v>1.7000000000000001E-2</v>
      </c>
      <c r="BI123" s="401">
        <v>4.2000000000000003E-2</v>
      </c>
      <c r="BJ123" s="400">
        <v>-1E-3</v>
      </c>
      <c r="DP123" s="400">
        <v>-0.04</v>
      </c>
      <c r="DQ123" s="400">
        <v>-2.7558829638206016E-2</v>
      </c>
      <c r="DR123" s="400">
        <v>-1.8336618644173741E-2</v>
      </c>
      <c r="DT123" s="400">
        <v>-2.5999999999999999E-2</v>
      </c>
      <c r="DU123" s="400">
        <v>2E-3</v>
      </c>
      <c r="DV123" s="400">
        <v>4.5999999999999999E-2</v>
      </c>
      <c r="DW123" s="400">
        <v>3.4000000000000002E-2</v>
      </c>
      <c r="DX123" s="400">
        <v>7.0000000000000001E-3</v>
      </c>
      <c r="DZ123" s="400">
        <v>3.1E-2</v>
      </c>
      <c r="EA123" s="400">
        <v>2.4E-2</v>
      </c>
      <c r="EB123" s="400">
        <v>-2.5999999999999999E-2</v>
      </c>
      <c r="ED123" s="400">
        <v>2.8000000000000001E-2</v>
      </c>
    </row>
    <row r="124" spans="2:143" ht="12.75" customHeight="1" x14ac:dyDescent="0.2">
      <c r="B124" s="353" t="s">
        <v>385</v>
      </c>
      <c r="AE124" s="400">
        <f t="shared" ref="AE124:AO124" si="683">AE71</f>
        <v>0.22011810221950734</v>
      </c>
      <c r="AF124" s="400">
        <f t="shared" si="683"/>
        <v>0.15098722415795596</v>
      </c>
      <c r="AG124" s="400">
        <f t="shared" si="683"/>
        <v>0.1051272240290797</v>
      </c>
      <c r="AH124" s="400">
        <f t="shared" si="683"/>
        <v>0.11967688120115905</v>
      </c>
      <c r="AI124" s="400">
        <f t="shared" si="683"/>
        <v>7.0761014686248291E-2</v>
      </c>
      <c r="AJ124" s="400">
        <f t="shared" si="683"/>
        <v>7.3158425832492435E-2</v>
      </c>
      <c r="AK124" s="400">
        <f t="shared" si="683"/>
        <v>6.552410629273786E-2</v>
      </c>
      <c r="AL124" s="400">
        <f t="shared" si="683"/>
        <v>-1.1135508155583396E-2</v>
      </c>
      <c r="AM124" s="400">
        <f t="shared" si="683"/>
        <v>1.2468827930174564E-2</v>
      </c>
      <c r="AN124" s="400">
        <f t="shared" si="683"/>
        <v>4.7092932142297483E-2</v>
      </c>
      <c r="AO124" s="400">
        <f t="shared" si="683"/>
        <v>7.9366368805848797E-2</v>
      </c>
      <c r="AR124" s="400">
        <f>AR71</f>
        <v>0.13312878844570819</v>
      </c>
      <c r="AS124" s="400">
        <f>AS71</f>
        <v>0.12944983818770228</v>
      </c>
      <c r="AT124" s="400">
        <f>AT71</f>
        <v>0.16627686010817122</v>
      </c>
      <c r="AU124" s="400">
        <f t="shared" ref="AU124:AZ124" si="684">AU71</f>
        <v>7.3374428315768458E-2</v>
      </c>
      <c r="AV124" s="400">
        <f t="shared" si="684"/>
        <v>8.6382248051776411E-2</v>
      </c>
      <c r="AW124" s="400">
        <f t="shared" si="684"/>
        <v>6.0904911041513854E-2</v>
      </c>
      <c r="AX124" s="400">
        <f t="shared" si="684"/>
        <v>-4.8568026571410683E-2</v>
      </c>
      <c r="AY124" s="400">
        <f t="shared" si="684"/>
        <v>-7.2125478572310775E-2</v>
      </c>
      <c r="AZ124" s="400">
        <f t="shared" si="684"/>
        <v>-7.3617021276595751E-2</v>
      </c>
      <c r="BA124" s="401">
        <f t="shared" ref="BA124" si="685">BA71</f>
        <v>-5.27605049934049E-2</v>
      </c>
      <c r="BB124" s="401">
        <f>BB71</f>
        <v>9.017257278355939E-2</v>
      </c>
      <c r="BC124" s="401">
        <f>BC71</f>
        <v>4.026354319180081E-2</v>
      </c>
      <c r="BD124" s="401">
        <f>BD71</f>
        <v>9.8431655620447867E-3</v>
      </c>
      <c r="BE124" s="401">
        <f>BE71</f>
        <v>-6.5645514223194867E-3</v>
      </c>
      <c r="BG124" s="401">
        <f>BG71</f>
        <v>8.5407203633804718E-2</v>
      </c>
      <c r="BI124" s="401">
        <f>BI71</f>
        <v>6.8281938325991165E-2</v>
      </c>
      <c r="BJ124" s="401">
        <f>BJ71</f>
        <v>0.20308105343901817</v>
      </c>
      <c r="DS124" s="400"/>
      <c r="DT124" s="400">
        <f>DT123+DT122+DT121</f>
        <v>0.108</v>
      </c>
      <c r="DU124" s="400">
        <f>DU123+DU122+DU121</f>
        <v>0.123</v>
      </c>
      <c r="DV124" s="400">
        <f>DV123+DV122+DV121</f>
        <v>0.153</v>
      </c>
      <c r="DW124" s="400">
        <f>DW123+DW122+DW121</f>
        <v>0.13100000000000001</v>
      </c>
      <c r="DX124" s="400">
        <f>DX123+DX122+DX121</f>
        <v>6.7000000000000004E-2</v>
      </c>
      <c r="DZ124" s="400">
        <f>DZ123+DZ122+DZ121</f>
        <v>0.14600000000000002</v>
      </c>
      <c r="EA124" s="400">
        <f>EA123+EA122+EA121</f>
        <v>4.2999999999999997E-2</v>
      </c>
      <c r="EB124" s="400">
        <f>EB123+EB122+EB121</f>
        <v>-2.8999999999999998E-2</v>
      </c>
      <c r="ED124" s="400">
        <f>ED123+ED122+ED121</f>
        <v>5.6000000000000001E-2</v>
      </c>
    </row>
    <row r="126" spans="2:143" ht="12.75" customHeight="1" x14ac:dyDescent="0.2">
      <c r="B126" s="353" t="s">
        <v>386</v>
      </c>
      <c r="K126" s="317">
        <v>3863</v>
      </c>
      <c r="L126" s="317">
        <v>4035</v>
      </c>
      <c r="M126" s="317">
        <v>4137.3999999999996</v>
      </c>
      <c r="N126" s="317">
        <v>3884.4</v>
      </c>
      <c r="O126" s="317">
        <v>4324</v>
      </c>
      <c r="P126" s="317">
        <v>4545</v>
      </c>
      <c r="Q126" s="317">
        <v>4463</v>
      </c>
      <c r="R126" s="317">
        <v>4378.5</v>
      </c>
      <c r="S126" s="317"/>
      <c r="T126" s="317"/>
      <c r="U126" s="317"/>
      <c r="V126" s="317"/>
      <c r="W126" s="317">
        <v>5521</v>
      </c>
      <c r="X126" s="317">
        <v>5599</v>
      </c>
      <c r="Y126" s="317">
        <v>5589</v>
      </c>
      <c r="Z126" s="317">
        <v>5746</v>
      </c>
      <c r="AA126" s="317">
        <v>6010.6</v>
      </c>
      <c r="AB126" s="317">
        <v>6112</v>
      </c>
      <c r="AC126" s="317">
        <v>6414.399082150001</v>
      </c>
      <c r="AD126" s="317">
        <v>6735.9594690499998</v>
      </c>
      <c r="AE126" s="317">
        <v>6918</v>
      </c>
      <c r="AF126" s="317">
        <v>6667.8836656399999</v>
      </c>
      <c r="AG126" s="317">
        <v>6790</v>
      </c>
      <c r="AH126" s="317">
        <v>7394</v>
      </c>
      <c r="AI126" s="317">
        <v>7258</v>
      </c>
      <c r="AJ126" s="317">
        <v>7064.5647360624998</v>
      </c>
      <c r="AK126" s="317">
        <v>6967</v>
      </c>
      <c r="AL126" s="317">
        <v>7087.0275146566255</v>
      </c>
      <c r="AM126" s="351">
        <v>7371</v>
      </c>
      <c r="AN126" s="351">
        <v>7375</v>
      </c>
      <c r="AO126" s="351">
        <v>7488</v>
      </c>
      <c r="AV126" s="351">
        <v>8210</v>
      </c>
      <c r="AY126" s="351">
        <v>8052</v>
      </c>
      <c r="AZ126" s="351">
        <v>7656</v>
      </c>
      <c r="BD126" s="351">
        <v>7438</v>
      </c>
      <c r="DR126" s="317">
        <v>15919.8</v>
      </c>
      <c r="DS126" s="317">
        <v>17710.5</v>
      </c>
      <c r="DT126" s="317">
        <v>19825</v>
      </c>
      <c r="DU126" s="317">
        <v>22455</v>
      </c>
      <c r="DV126" s="317">
        <v>25273</v>
      </c>
      <c r="DW126" s="317">
        <v>27770</v>
      </c>
      <c r="DX126" s="317">
        <v>28376</v>
      </c>
    </row>
    <row r="127" spans="2:143" ht="12.75" customHeight="1" x14ac:dyDescent="0.2">
      <c r="B127" s="353" t="s">
        <v>1257</v>
      </c>
      <c r="K127" s="317"/>
      <c r="L127" s="317"/>
      <c r="M127" s="317"/>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51"/>
      <c r="AN127" s="351"/>
      <c r="AO127" s="351"/>
      <c r="AV127" s="351">
        <v>4547</v>
      </c>
      <c r="AY127" s="351"/>
      <c r="AZ127" s="351">
        <v>3972</v>
      </c>
      <c r="BD127" s="351">
        <v>3832</v>
      </c>
      <c r="DR127" s="317"/>
      <c r="DS127" s="317"/>
      <c r="DT127" s="317"/>
      <c r="DU127" s="317"/>
      <c r="DV127" s="317"/>
      <c r="DW127" s="317"/>
      <c r="DX127" s="317"/>
    </row>
    <row r="128" spans="2:143" ht="12.75" customHeight="1" x14ac:dyDescent="0.2">
      <c r="B128" s="353" t="s">
        <v>1258</v>
      </c>
      <c r="K128" s="317"/>
      <c r="L128" s="317"/>
      <c r="M128" s="317"/>
      <c r="N128" s="317"/>
      <c r="O128" s="317"/>
      <c r="P128" s="317"/>
      <c r="Q128" s="317"/>
      <c r="R128" s="317"/>
      <c r="S128" s="317"/>
      <c r="T128" s="317"/>
      <c r="U128" s="317"/>
      <c r="V128" s="317"/>
      <c r="W128" s="317"/>
      <c r="X128" s="317"/>
      <c r="Y128" s="317"/>
      <c r="Z128" s="317"/>
      <c r="AA128" s="317"/>
      <c r="AB128" s="317"/>
      <c r="AC128" s="317"/>
      <c r="AD128" s="317"/>
      <c r="AE128" s="317"/>
      <c r="AF128" s="317"/>
      <c r="AG128" s="317"/>
      <c r="AH128" s="317"/>
      <c r="AI128" s="317"/>
      <c r="AJ128" s="317"/>
      <c r="AK128" s="317"/>
      <c r="AL128" s="317"/>
      <c r="AM128" s="351"/>
      <c r="AN128" s="351"/>
      <c r="AO128" s="351"/>
      <c r="AV128" s="351">
        <v>1280</v>
      </c>
      <c r="AY128" s="351"/>
      <c r="AZ128" s="351">
        <v>1215</v>
      </c>
      <c r="BD128" s="351">
        <v>1375</v>
      </c>
      <c r="DR128" s="317"/>
      <c r="DS128" s="317"/>
      <c r="DT128" s="317"/>
      <c r="DU128" s="317"/>
      <c r="DV128" s="317"/>
      <c r="DW128" s="317"/>
      <c r="DX128" s="317"/>
    </row>
    <row r="129" spans="2:153" ht="12.75" customHeight="1" x14ac:dyDescent="0.2">
      <c r="B129" s="353" t="s">
        <v>1259</v>
      </c>
      <c r="K129" s="317"/>
      <c r="L129" s="317"/>
      <c r="M129" s="317"/>
      <c r="N129" s="317"/>
      <c r="O129" s="317"/>
      <c r="P129" s="317"/>
      <c r="Q129" s="317"/>
      <c r="R129" s="317"/>
      <c r="S129" s="317"/>
      <c r="T129" s="317"/>
      <c r="U129" s="317"/>
      <c r="V129" s="317"/>
      <c r="W129" s="317"/>
      <c r="X129" s="317"/>
      <c r="Y129" s="317"/>
      <c r="Z129" s="317"/>
      <c r="AA129" s="317"/>
      <c r="AB129" s="317"/>
      <c r="AC129" s="317"/>
      <c r="AD129" s="317"/>
      <c r="AE129" s="317"/>
      <c r="AF129" s="317"/>
      <c r="AG129" s="317"/>
      <c r="AH129" s="317"/>
      <c r="AI129" s="317"/>
      <c r="AJ129" s="317"/>
      <c r="AK129" s="317"/>
      <c r="AL129" s="317"/>
      <c r="AM129" s="351"/>
      <c r="AN129" s="351"/>
      <c r="AO129" s="351"/>
      <c r="AV129" s="351">
        <v>2413</v>
      </c>
      <c r="AY129" s="351"/>
      <c r="AZ129" s="351">
        <v>2396</v>
      </c>
      <c r="BD129" s="351">
        <v>2685</v>
      </c>
      <c r="DR129" s="317"/>
      <c r="DS129" s="317"/>
      <c r="DT129" s="317"/>
      <c r="DU129" s="317"/>
      <c r="DV129" s="317"/>
      <c r="DW129" s="317"/>
      <c r="DX129" s="317"/>
    </row>
    <row r="130" spans="2:153" ht="12.75" customHeight="1" x14ac:dyDescent="0.2">
      <c r="B130" s="353" t="s">
        <v>387</v>
      </c>
      <c r="K130" s="317">
        <v>2996</v>
      </c>
      <c r="L130" s="317">
        <v>3064</v>
      </c>
      <c r="M130" s="317">
        <v>2948</v>
      </c>
      <c r="N130" s="317">
        <v>3080</v>
      </c>
      <c r="O130" s="317">
        <v>3116</v>
      </c>
      <c r="P130" s="317">
        <v>3125</v>
      </c>
      <c r="Q130" s="317">
        <v>2975</v>
      </c>
      <c r="R130" s="317">
        <v>2919.5</v>
      </c>
      <c r="S130" s="317"/>
      <c r="T130" s="317"/>
      <c r="U130" s="317"/>
      <c r="V130" s="317"/>
      <c r="W130" s="317">
        <v>3222</v>
      </c>
      <c r="X130" s="317">
        <v>3474</v>
      </c>
      <c r="Y130" s="317">
        <v>3490</v>
      </c>
      <c r="Z130" s="317">
        <v>3657</v>
      </c>
      <c r="AA130" s="317">
        <v>3809.6</v>
      </c>
      <c r="AB130" s="317">
        <v>4220</v>
      </c>
      <c r="AC130" s="317">
        <v>4039.55</v>
      </c>
      <c r="AD130" s="317">
        <v>4516.3999999999996</v>
      </c>
      <c r="AE130" s="317">
        <v>4641</v>
      </c>
      <c r="AF130" s="317">
        <v>4816.3999999999996</v>
      </c>
      <c r="AG130" s="317">
        <v>4763</v>
      </c>
      <c r="AH130" s="317">
        <v>5358</v>
      </c>
      <c r="AI130" s="317">
        <v>5574</v>
      </c>
      <c r="AJ130" s="317">
        <v>5697</v>
      </c>
      <c r="AK130" s="317">
        <v>5343</v>
      </c>
      <c r="AL130" s="317">
        <v>5523</v>
      </c>
      <c r="AM130" s="351">
        <v>5621</v>
      </c>
      <c r="AN130" s="351">
        <v>5988</v>
      </c>
      <c r="AO130" s="351">
        <v>5799</v>
      </c>
      <c r="AV130" s="351">
        <v>8240</v>
      </c>
      <c r="AY130" s="351">
        <v>6974</v>
      </c>
      <c r="AZ130" s="351">
        <v>7583</v>
      </c>
      <c r="BD130" s="351">
        <v>7892</v>
      </c>
      <c r="DR130" s="317">
        <v>12088</v>
      </c>
      <c r="DS130" s="317">
        <v>12135.5</v>
      </c>
      <c r="DT130" s="317">
        <v>12492</v>
      </c>
      <c r="DU130" s="317">
        <v>13843</v>
      </c>
      <c r="DV130" s="317">
        <v>16586</v>
      </c>
      <c r="DW130" s="317">
        <v>19578</v>
      </c>
      <c r="DX130" s="317">
        <v>22137</v>
      </c>
    </row>
    <row r="131" spans="2:153" ht="12.75" customHeight="1" x14ac:dyDescent="0.2">
      <c r="B131" s="353" t="s">
        <v>388</v>
      </c>
      <c r="AK131" s="400"/>
      <c r="AM131" s="400">
        <v>6.0999999999999999E-2</v>
      </c>
      <c r="AO131" s="400">
        <v>6.7000000000000004E-2</v>
      </c>
      <c r="AV131" s="400">
        <v>3.9E-2</v>
      </c>
      <c r="AY131" s="400">
        <v>0.03</v>
      </c>
      <c r="AZ131" s="400">
        <v>3.9E-2</v>
      </c>
      <c r="BB131" s="400">
        <v>6.4000000000000001E-2</v>
      </c>
      <c r="BD131" s="400">
        <v>0.03</v>
      </c>
      <c r="BH131" s="400"/>
      <c r="BI131" s="400">
        <v>8.3000000000000004E-2</v>
      </c>
      <c r="EB131" s="400">
        <v>3.9E-2</v>
      </c>
    </row>
    <row r="132" spans="2:153" ht="12.75" customHeight="1" x14ac:dyDescent="0.2">
      <c r="B132" s="353" t="s">
        <v>389</v>
      </c>
      <c r="AK132" s="400"/>
      <c r="AM132" s="400">
        <v>-5.2999999999999999E-2</v>
      </c>
      <c r="AO132" s="400">
        <v>1.2E-2</v>
      </c>
      <c r="AV132" s="400">
        <v>-0.11899999999999999</v>
      </c>
      <c r="AY132" s="400">
        <v>-0.126</v>
      </c>
      <c r="AZ132" s="400">
        <v>-0.11899999999999999</v>
      </c>
      <c r="BB132" s="400">
        <v>9.1999999999999998E-2</v>
      </c>
      <c r="BD132" s="400">
        <v>1.0999999999999999E-2</v>
      </c>
      <c r="BH132" s="400"/>
      <c r="BI132" s="400">
        <v>8.1000000000000003E-2</v>
      </c>
      <c r="EB132" s="400">
        <v>-5.2999999999999999E-2</v>
      </c>
    </row>
    <row r="134" spans="2:153" ht="12.75" customHeight="1" x14ac:dyDescent="0.2">
      <c r="B134" s="353" t="s">
        <v>390</v>
      </c>
      <c r="AM134" s="349">
        <v>116000</v>
      </c>
      <c r="AO134" s="354">
        <v>115700</v>
      </c>
      <c r="AZ134" s="351">
        <v>117000</v>
      </c>
      <c r="DX134" s="349">
        <v>115600</v>
      </c>
    </row>
    <row r="135" spans="2:153" ht="12.75" customHeight="1" x14ac:dyDescent="0.2">
      <c r="B135" s="353" t="s">
        <v>391</v>
      </c>
      <c r="DY135" s="351">
        <v>14200</v>
      </c>
      <c r="DZ135" s="351">
        <v>15022</v>
      </c>
      <c r="EA135" s="351">
        <v>14972</v>
      </c>
      <c r="EB135" s="351">
        <v>16571</v>
      </c>
    </row>
    <row r="136" spans="2:153" ht="12.75" customHeight="1" x14ac:dyDescent="0.2">
      <c r="B136" s="353" t="s">
        <v>392</v>
      </c>
      <c r="DY136" s="351">
        <v>11600</v>
      </c>
      <c r="DZ136" s="351">
        <f>+DZ135-2942</f>
        <v>12080</v>
      </c>
      <c r="EA136" s="351">
        <f>+EA135-3066</f>
        <v>11906</v>
      </c>
      <c r="EB136" s="351">
        <f>+EB135-2365</f>
        <v>14206</v>
      </c>
    </row>
    <row r="137" spans="2:153" ht="12.75" customHeight="1" x14ac:dyDescent="0.2">
      <c r="B137" s="353" t="s">
        <v>1279</v>
      </c>
      <c r="AP137" s="313">
        <f t="shared" ref="AP137:AY137" si="686">+AP141-AP153-AP160</f>
        <v>-2493</v>
      </c>
      <c r="AQ137" s="313">
        <f t="shared" si="686"/>
        <v>-1489</v>
      </c>
      <c r="AR137" s="313">
        <f t="shared" si="686"/>
        <v>-495</v>
      </c>
      <c r="AS137" s="313">
        <f t="shared" si="686"/>
        <v>431</v>
      </c>
      <c r="AT137" s="313">
        <f t="shared" si="686"/>
        <v>-220</v>
      </c>
      <c r="AU137" s="313">
        <f t="shared" si="686"/>
        <v>-269</v>
      </c>
      <c r="AV137" s="313">
        <f t="shared" si="686"/>
        <v>-865</v>
      </c>
      <c r="AW137" s="313">
        <f t="shared" si="686"/>
        <v>161</v>
      </c>
      <c r="AX137" s="313">
        <f t="shared" si="686"/>
        <v>961</v>
      </c>
      <c r="AY137" s="313">
        <f t="shared" si="686"/>
        <v>-124</v>
      </c>
      <c r="AZ137" s="313">
        <f t="shared" ref="AZ137:BF137" si="687">+AZ141-AZ153-AZ160</f>
        <v>1120</v>
      </c>
      <c r="BA137" s="313">
        <f t="shared" si="687"/>
        <v>2756</v>
      </c>
      <c r="BB137" s="313">
        <f t="shared" si="687"/>
        <v>4884</v>
      </c>
      <c r="BC137" s="313">
        <f t="shared" si="687"/>
        <v>5907</v>
      </c>
      <c r="BD137" s="313">
        <f t="shared" si="687"/>
        <v>7249</v>
      </c>
      <c r="BE137" s="313">
        <f t="shared" si="687"/>
        <v>10101</v>
      </c>
      <c r="BF137" s="313">
        <f t="shared" si="687"/>
        <v>10885</v>
      </c>
      <c r="BG137" s="313">
        <f t="shared" ref="BG137:BH137" si="688">+BG141-BG153-BG160</f>
        <v>9037</v>
      </c>
      <c r="BH137" s="313">
        <f t="shared" si="688"/>
        <v>10956</v>
      </c>
      <c r="BI137" s="313">
        <f t="shared" ref="BI137:BP137" si="689">+BI141-BI153-BI160</f>
        <v>12570</v>
      </c>
      <c r="BJ137" s="313">
        <f t="shared" si="689"/>
        <v>12634</v>
      </c>
      <c r="BK137" s="313">
        <f t="shared" si="689"/>
        <v>14398</v>
      </c>
      <c r="BL137" s="313">
        <f>+BL141-BL153-BL160</f>
        <v>-650</v>
      </c>
      <c r="BM137" s="313">
        <f t="shared" si="689"/>
        <v>2920</v>
      </c>
      <c r="BN137" s="313">
        <f t="shared" si="689"/>
        <v>4924</v>
      </c>
      <c r="BO137" s="313">
        <f t="shared" si="689"/>
        <v>5776</v>
      </c>
      <c r="BP137" s="313">
        <f t="shared" si="689"/>
        <v>10147</v>
      </c>
      <c r="BQ137" s="313">
        <f t="shared" ref="BQ137:BR137" si="690">+BQ141-BQ153-BQ160</f>
        <v>10121</v>
      </c>
      <c r="BR137" s="313">
        <f t="shared" si="690"/>
        <v>11026</v>
      </c>
      <c r="EB137" s="351">
        <f>EB141-EB153-EB160</f>
        <v>4884</v>
      </c>
    </row>
    <row r="138" spans="2:153" ht="12.75" customHeight="1" x14ac:dyDescent="0.2">
      <c r="B138" s="353" t="s">
        <v>405</v>
      </c>
      <c r="AM138" s="351"/>
      <c r="AN138" s="313"/>
      <c r="AO138" s="313"/>
      <c r="AP138" s="313">
        <f t="shared" ref="AP138:BF138" si="691">(AP142/AP55)*91.25</f>
        <v>58.103347463821081</v>
      </c>
      <c r="AQ138" s="313">
        <f t="shared" si="691"/>
        <v>56.206419433949755</v>
      </c>
      <c r="AR138" s="313">
        <f t="shared" si="691"/>
        <v>57.068914278166687</v>
      </c>
      <c r="AS138" s="313">
        <f t="shared" si="691"/>
        <v>57.059372292929972</v>
      </c>
      <c r="AT138" s="313">
        <f t="shared" si="691"/>
        <v>54.005452152660276</v>
      </c>
      <c r="AU138" s="313">
        <f t="shared" si="691"/>
        <v>58.511794491787086</v>
      </c>
      <c r="AV138" s="313">
        <f t="shared" si="691"/>
        <v>58.461018237082065</v>
      </c>
      <c r="AW138" s="313">
        <f t="shared" si="691"/>
        <v>58.208341184598957</v>
      </c>
      <c r="AX138" s="313">
        <f t="shared" si="691"/>
        <v>58.415146225793706</v>
      </c>
      <c r="AY138" s="313">
        <f t="shared" si="691"/>
        <v>59.701766937308669</v>
      </c>
      <c r="AZ138" s="313">
        <f t="shared" si="691"/>
        <v>60.675651289454684</v>
      </c>
      <c r="BA138" s="313">
        <f t="shared" si="691"/>
        <v>62.194731781712086</v>
      </c>
      <c r="BB138" s="313">
        <f t="shared" si="691"/>
        <v>53.180925623829374</v>
      </c>
      <c r="BC138" s="313">
        <f t="shared" si="691"/>
        <v>58.482662657539507</v>
      </c>
      <c r="BD138" s="313">
        <f t="shared" ref="BD138" si="692">(BD142/BD55)*91.25</f>
        <v>57.09573396581974</v>
      </c>
      <c r="BE138" s="313">
        <f t="shared" si="691"/>
        <v>62.672707248698437</v>
      </c>
      <c r="BF138" s="313">
        <f t="shared" si="691"/>
        <v>57.010834824852978</v>
      </c>
      <c r="BG138" s="313">
        <f t="shared" ref="BG138:BH138" si="693">(BG142/BG55)*91.25</f>
        <v>58.414844394671704</v>
      </c>
      <c r="BH138" s="313">
        <f t="shared" si="693"/>
        <v>60.378833524130869</v>
      </c>
      <c r="BI138" s="313">
        <f t="shared" ref="BI138:BP138" si="694">(BI142/BI55)*91.25</f>
        <v>60.160574820368637</v>
      </c>
      <c r="BJ138" s="313">
        <f t="shared" si="694"/>
        <v>51.29994421125339</v>
      </c>
      <c r="BK138" s="313">
        <f t="shared" si="694"/>
        <v>62.092291963566517</v>
      </c>
      <c r="BL138" s="313">
        <f t="shared" si="694"/>
        <v>60.328401299169975</v>
      </c>
      <c r="BM138" s="313">
        <f t="shared" si="694"/>
        <v>59.317011808504446</v>
      </c>
      <c r="BN138" s="313">
        <f t="shared" si="694"/>
        <v>58.003836209319317</v>
      </c>
      <c r="BO138" s="313">
        <f t="shared" si="694"/>
        <v>59.878262480054708</v>
      </c>
      <c r="BP138" s="313">
        <f t="shared" si="694"/>
        <v>59.096498076172416</v>
      </c>
      <c r="BQ138" s="313">
        <f t="shared" ref="BQ138:BR138" si="695">(BQ142/BQ55)*91.25</f>
        <v>62.218025398265212</v>
      </c>
      <c r="BR138" s="313">
        <f t="shared" si="695"/>
        <v>57.927009376185573</v>
      </c>
      <c r="DX138" s="351"/>
      <c r="DY138" s="351"/>
      <c r="EB138" s="351">
        <f>EB142/EB55*365</f>
        <v>56.881432056480932</v>
      </c>
    </row>
    <row r="139" spans="2:153" ht="12.75" customHeight="1" x14ac:dyDescent="0.2">
      <c r="AM139" s="351"/>
      <c r="AN139" s="313"/>
      <c r="AO139" s="313"/>
      <c r="AP139" s="313"/>
      <c r="AQ139" s="313"/>
      <c r="AR139" s="313"/>
      <c r="AS139" s="313"/>
      <c r="AT139" s="313"/>
      <c r="AU139" s="313"/>
      <c r="AV139" s="313"/>
      <c r="AW139" s="313"/>
      <c r="AX139" s="313"/>
      <c r="AY139" s="313"/>
      <c r="AZ139" s="313"/>
      <c r="BA139" s="313"/>
      <c r="BB139" s="313"/>
      <c r="BC139" s="313"/>
      <c r="BD139" s="313"/>
      <c r="BE139" s="313"/>
      <c r="BF139" s="313"/>
      <c r="BG139" s="313"/>
      <c r="BH139" s="313"/>
      <c r="BI139" s="313"/>
      <c r="BJ139" s="313"/>
      <c r="BK139" s="313"/>
      <c r="BL139" s="313"/>
      <c r="BM139" s="313"/>
      <c r="BN139" s="313"/>
      <c r="BO139" s="313"/>
      <c r="BP139" s="313"/>
      <c r="BQ139" s="313"/>
      <c r="BR139" s="313"/>
      <c r="DX139" s="351"/>
      <c r="DY139" s="351"/>
      <c r="EB139" s="351"/>
    </row>
    <row r="140" spans="2:153" ht="12.75" customHeight="1" x14ac:dyDescent="0.2">
      <c r="B140" s="353" t="s">
        <v>1279</v>
      </c>
      <c r="AM140" s="351"/>
      <c r="AN140" s="313"/>
      <c r="AO140" s="313"/>
      <c r="AP140" s="313"/>
      <c r="AQ140" s="313"/>
      <c r="AR140" s="313"/>
      <c r="AS140" s="313"/>
      <c r="AT140" s="313"/>
      <c r="AU140" s="313"/>
      <c r="AV140" s="313"/>
      <c r="AW140" s="313"/>
      <c r="AX140" s="313"/>
      <c r="AY140" s="313"/>
      <c r="AZ140" s="313"/>
      <c r="BA140" s="313"/>
      <c r="BB140" s="313"/>
      <c r="BC140" s="313"/>
      <c r="BD140" s="313"/>
      <c r="BE140" s="313"/>
      <c r="BF140" s="313"/>
      <c r="BG140" s="313"/>
      <c r="BH140" s="313"/>
      <c r="BI140" s="313"/>
      <c r="BJ140" s="313"/>
      <c r="BK140" s="313"/>
      <c r="BL140" s="313"/>
      <c r="BM140" s="313"/>
      <c r="BN140" s="313"/>
      <c r="BO140" s="313"/>
      <c r="BP140" s="313"/>
      <c r="BQ140" s="313"/>
      <c r="BR140" s="313"/>
      <c r="CX140" s="351">
        <f>+CX141-CX153-CX160</f>
        <v>-2143</v>
      </c>
      <c r="CY140" s="351">
        <f>+CY141-CY153-CY160</f>
        <v>-2760</v>
      </c>
      <c r="CZ140" s="351">
        <f>+CY140+CZ66</f>
        <v>5151.4668000000001</v>
      </c>
      <c r="DA140" s="351">
        <f t="shared" ref="DA140:DF140" si="696">+CZ140+DA66</f>
        <v>12976.944200000004</v>
      </c>
      <c r="DB140" s="351">
        <f t="shared" si="696"/>
        <v>20956.023400000005</v>
      </c>
      <c r="DC140" s="351">
        <f t="shared" si="696"/>
        <v>28915.032400000004</v>
      </c>
      <c r="DD140" s="351">
        <f t="shared" si="696"/>
        <v>37019.015224000002</v>
      </c>
      <c r="DE140" s="351">
        <f t="shared" si="696"/>
        <v>45069.769994000002</v>
      </c>
      <c r="DF140" s="351">
        <f t="shared" si="696"/>
        <v>53311.313078000006</v>
      </c>
      <c r="DX140" s="351"/>
      <c r="DY140" s="351"/>
      <c r="EB140" s="351"/>
    </row>
    <row r="141" spans="2:153" ht="12.75" customHeight="1" x14ac:dyDescent="0.2">
      <c r="B141" s="353" t="s">
        <v>393</v>
      </c>
      <c r="AM141" s="351">
        <f>16822+363+20</f>
        <v>17205</v>
      </c>
      <c r="AN141" s="313"/>
      <c r="AO141" s="313"/>
      <c r="AP141" s="313">
        <f>4083+1+16</f>
        <v>4100</v>
      </c>
      <c r="AQ141" s="313">
        <f>5175+16+14</f>
        <v>5205</v>
      </c>
      <c r="AR141" s="313">
        <f>5571+400+17</f>
        <v>5988</v>
      </c>
      <c r="AS141" s="313">
        <f>6640+1680+8</f>
        <v>8328</v>
      </c>
      <c r="AT141" s="313">
        <f>7770+1545+2</f>
        <v>9317</v>
      </c>
      <c r="AU141" s="313">
        <f>10539+605+3</f>
        <v>11147</v>
      </c>
      <c r="AV141" s="313">
        <f>12646+412+3</f>
        <v>13061</v>
      </c>
      <c r="AW141" s="313">
        <f>14018+781+2</f>
        <v>14801</v>
      </c>
      <c r="AX141" s="313">
        <f>10768+2041+4</f>
        <v>12813</v>
      </c>
      <c r="AY141" s="313">
        <f>12589+1344+17</f>
        <v>13950</v>
      </c>
      <c r="AZ141" s="313">
        <f>11686+3030+18</f>
        <v>14734</v>
      </c>
      <c r="BA141" s="313">
        <f>11856+2481+19</f>
        <v>14356</v>
      </c>
      <c r="BB141" s="313">
        <f>15810+3615</f>
        <v>19425</v>
      </c>
      <c r="BC141" s="313">
        <f>13743+4267</f>
        <v>18010</v>
      </c>
      <c r="BD141" s="313">
        <f>12713+6188</f>
        <v>18901</v>
      </c>
      <c r="BE141" s="313">
        <f>14338+7788</f>
        <v>22126</v>
      </c>
      <c r="BF141" s="351">
        <f>19355+8303</f>
        <v>27658</v>
      </c>
      <c r="BG141" s="351">
        <f>22356+4511</f>
        <v>26867</v>
      </c>
      <c r="BH141" s="351">
        <f>14974+14708</f>
        <v>29682</v>
      </c>
      <c r="BI141" s="351">
        <f>15617+15310</f>
        <v>30927</v>
      </c>
      <c r="BJ141" s="313">
        <f>24542+7719</f>
        <v>32261</v>
      </c>
      <c r="BK141" s="313">
        <f>30267+3580</f>
        <v>33847</v>
      </c>
      <c r="BL141" s="313">
        <f>14042+2873</f>
        <v>16915</v>
      </c>
      <c r="BM141" s="313">
        <f>15486+4285</f>
        <v>19771</v>
      </c>
      <c r="BN141" s="313">
        <f>14911+6178</f>
        <v>21089</v>
      </c>
      <c r="BO141" s="313">
        <f>14855+6813</f>
        <v>21668</v>
      </c>
      <c r="BP141" s="313">
        <f>17307+7822</f>
        <v>25129</v>
      </c>
      <c r="BQ141" s="351">
        <f>17204+8024</f>
        <v>25228</v>
      </c>
      <c r="BR141" s="351">
        <f>20927+8279</f>
        <v>29206</v>
      </c>
      <c r="CX141" s="351">
        <f>14487+17121</f>
        <v>31608</v>
      </c>
      <c r="CY141" s="351">
        <f>10463+19925</f>
        <v>30388</v>
      </c>
      <c r="DX141" s="351">
        <f>16055+83</f>
        <v>16138</v>
      </c>
      <c r="DY141" s="351">
        <f>4083+1+16</f>
        <v>4100</v>
      </c>
      <c r="DZ141" s="351">
        <v>150</v>
      </c>
      <c r="EA141" s="351">
        <v>50</v>
      </c>
      <c r="EB141" s="351">
        <f>15810+3615</f>
        <v>19425</v>
      </c>
      <c r="EC141" s="351">
        <f t="shared" ref="EC141:EH141" si="697">EB141+EC66</f>
        <v>32572</v>
      </c>
      <c r="ED141" s="351">
        <f t="shared" si="697"/>
        <v>49103</v>
      </c>
      <c r="EE141" s="351">
        <f t="shared" si="697"/>
        <v>62614</v>
      </c>
      <c r="EF141" s="351">
        <f t="shared" si="697"/>
        <v>77935.554999999993</v>
      </c>
      <c r="EG141" s="351">
        <f t="shared" si="697"/>
        <v>98089.025070655771</v>
      </c>
      <c r="EH141" s="351">
        <f t="shared" si="697"/>
        <v>148712.81999075905</v>
      </c>
      <c r="EI141" s="351">
        <f t="shared" ref="EI141" si="698">EH141+EI66</f>
        <v>197083.20322343407</v>
      </c>
      <c r="EJ141" s="351">
        <f t="shared" ref="EJ141" si="699">EI141+EJ66</f>
        <v>232049.90016950844</v>
      </c>
      <c r="EK141" s="351">
        <f t="shared" ref="EK141" si="700">EJ141+EK66</f>
        <v>267150.76029403391</v>
      </c>
      <c r="EL141" s="351">
        <f t="shared" ref="EL141" si="701">EK141+EL66</f>
        <v>302611.10636824043</v>
      </c>
      <c r="EM141" s="351">
        <f t="shared" ref="EM141" si="702">EL141+EM66</f>
        <v>344234.15301712131</v>
      </c>
      <c r="EN141" s="351">
        <f t="shared" ref="EN141" si="703">EM141+EN66</f>
        <v>368116.15301712131</v>
      </c>
      <c r="EO141" s="351">
        <f t="shared" ref="EO141" si="704">EN141+EO66</f>
        <v>397296.81931593549</v>
      </c>
      <c r="EP141" s="351">
        <f t="shared" ref="EP141" si="705">EO141+EP66</f>
        <v>426663.87406187021</v>
      </c>
      <c r="EQ141" s="351">
        <f t="shared" ref="EQ141" si="706">EP141+EQ66</f>
        <v>456250.37838951848</v>
      </c>
      <c r="ER141" s="351"/>
      <c r="ES141" s="351"/>
      <c r="ET141" s="351"/>
      <c r="EU141" s="351"/>
      <c r="EV141" s="351"/>
      <c r="EW141" s="351"/>
    </row>
    <row r="142" spans="2:153" ht="12.75" customHeight="1" x14ac:dyDescent="0.2">
      <c r="B142" s="353" t="s">
        <v>394</v>
      </c>
      <c r="AM142" s="351">
        <v>7671</v>
      </c>
      <c r="AN142" s="313"/>
      <c r="AO142" s="313"/>
      <c r="AP142" s="313">
        <v>8712</v>
      </c>
      <c r="AQ142" s="313">
        <v>9293</v>
      </c>
      <c r="AR142" s="313">
        <v>9470</v>
      </c>
      <c r="AS142" s="313">
        <v>9384</v>
      </c>
      <c r="AT142" s="313">
        <v>9444</v>
      </c>
      <c r="AU142" s="313">
        <v>10384</v>
      </c>
      <c r="AV142" s="313">
        <v>10539</v>
      </c>
      <c r="AW142" s="313">
        <v>10156</v>
      </c>
      <c r="AX142" s="313">
        <v>9719</v>
      </c>
      <c r="AY142" s="313">
        <v>9831</v>
      </c>
      <c r="AZ142" s="313">
        <v>10133</v>
      </c>
      <c r="BA142" s="313">
        <v>10279</v>
      </c>
      <c r="BB142" s="313">
        <v>9646</v>
      </c>
      <c r="BC142" s="313">
        <v>10018</v>
      </c>
      <c r="BD142" s="313">
        <v>9629</v>
      </c>
      <c r="BE142" s="313">
        <v>10290</v>
      </c>
      <c r="BF142" s="351">
        <v>9774</v>
      </c>
      <c r="BG142" s="351">
        <v>10861</v>
      </c>
      <c r="BH142" s="351">
        <v>10982</v>
      </c>
      <c r="BI142" s="351">
        <v>10552</v>
      </c>
      <c r="BJ142" s="313">
        <v>10581</v>
      </c>
      <c r="BK142" s="313">
        <v>10982</v>
      </c>
      <c r="BL142" s="313">
        <v>10992</v>
      </c>
      <c r="BM142" s="313">
        <v>11175</v>
      </c>
      <c r="BN142" s="313">
        <v>11309</v>
      </c>
      <c r="BO142" s="313">
        <v>11515</v>
      </c>
      <c r="BP142" s="313">
        <v>11614</v>
      </c>
      <c r="BQ142" s="351">
        <v>12027</v>
      </c>
      <c r="BR142" s="351">
        <v>11713</v>
      </c>
      <c r="CX142" s="351">
        <v>15283</v>
      </c>
      <c r="CY142" s="351">
        <v>15594</v>
      </c>
      <c r="DX142" s="351"/>
      <c r="DY142" s="351">
        <v>8712</v>
      </c>
      <c r="EB142" s="351">
        <v>9646</v>
      </c>
    </row>
    <row r="143" spans="2:153" ht="12.75" customHeight="1" x14ac:dyDescent="0.2">
      <c r="B143" s="353" t="s">
        <v>395</v>
      </c>
      <c r="AM143" s="351">
        <v>4240</v>
      </c>
      <c r="AN143" s="313"/>
      <c r="AO143" s="313"/>
      <c r="AP143" s="313">
        <v>4889</v>
      </c>
      <c r="AQ143" s="313">
        <v>5047</v>
      </c>
      <c r="AR143" s="313">
        <v>5155</v>
      </c>
      <c r="AS143" s="313">
        <v>5414</v>
      </c>
      <c r="AT143" s="313">
        <v>5110</v>
      </c>
      <c r="AU143" s="418">
        <v>5575</v>
      </c>
      <c r="AV143" s="313">
        <v>5700</v>
      </c>
      <c r="AW143" s="313">
        <v>5473</v>
      </c>
      <c r="AX143" s="313">
        <v>5052</v>
      </c>
      <c r="AY143" s="313">
        <v>5359</v>
      </c>
      <c r="AZ143" s="313">
        <v>5472</v>
      </c>
      <c r="BA143" s="313">
        <v>5568</v>
      </c>
      <c r="BB143" s="313">
        <v>5180</v>
      </c>
      <c r="BC143" s="313">
        <v>5308</v>
      </c>
      <c r="BD143" s="313">
        <v>5071</v>
      </c>
      <c r="BE143" s="313">
        <v>5409</v>
      </c>
      <c r="BF143" s="351">
        <v>5378</v>
      </c>
      <c r="BG143" s="351">
        <v>6200</v>
      </c>
      <c r="BH143" s="351">
        <v>6413</v>
      </c>
      <c r="BI143" s="351">
        <v>6428</v>
      </c>
      <c r="BJ143" s="313">
        <v>6285</v>
      </c>
      <c r="BK143" s="313">
        <v>6800</v>
      </c>
      <c r="BL143" s="313">
        <v>7697</v>
      </c>
      <c r="BM143" s="313">
        <v>7809</v>
      </c>
      <c r="BN143" s="313">
        <v>7495</v>
      </c>
      <c r="BO143" s="313">
        <v>7691</v>
      </c>
      <c r="BP143" s="313">
        <v>7822</v>
      </c>
      <c r="BQ143" s="351">
        <v>8124</v>
      </c>
      <c r="BR143" s="351">
        <v>7878</v>
      </c>
      <c r="CX143" s="351">
        <v>10387</v>
      </c>
      <c r="CY143" s="351">
        <v>10990</v>
      </c>
      <c r="DX143" s="351"/>
      <c r="DY143" s="351">
        <v>4889</v>
      </c>
      <c r="EB143" s="351">
        <v>5180</v>
      </c>
    </row>
    <row r="144" spans="2:153" ht="12.75" customHeight="1" x14ac:dyDescent="0.2">
      <c r="B144" s="353" t="s">
        <v>396</v>
      </c>
      <c r="AM144" s="351">
        <v>1995</v>
      </c>
      <c r="AN144" s="313"/>
      <c r="AO144" s="313"/>
      <c r="AP144" s="313">
        <v>2094</v>
      </c>
      <c r="AQ144" s="313">
        <v>2088</v>
      </c>
      <c r="AR144" s="313">
        <v>2194</v>
      </c>
      <c r="AS144" s="313">
        <v>2594</v>
      </c>
      <c r="AT144" s="313">
        <v>2609</v>
      </c>
      <c r="AU144" s="313">
        <v>2602</v>
      </c>
      <c r="AV144" s="313">
        <v>2612</v>
      </c>
      <c r="AW144" s="313">
        <v>2584</v>
      </c>
      <c r="AX144" s="313">
        <v>3430</v>
      </c>
      <c r="AY144" s="313">
        <v>2342</v>
      </c>
      <c r="AZ144" s="313">
        <v>2454</v>
      </c>
      <c r="BA144" s="313">
        <v>2650</v>
      </c>
      <c r="BB144" s="313">
        <v>2793</v>
      </c>
      <c r="BC144" s="313">
        <v>2232</v>
      </c>
      <c r="BD144" s="313">
        <v>2250</v>
      </c>
      <c r="BE144" s="313">
        <v>2418</v>
      </c>
      <c r="BF144" s="351">
        <v>2224</v>
      </c>
      <c r="BG144" s="351">
        <v>2272</v>
      </c>
      <c r="BH144" s="351">
        <v>2306</v>
      </c>
      <c r="BI144" s="351">
        <v>2480</v>
      </c>
      <c r="BJ144" s="313">
        <v>2556</v>
      </c>
      <c r="BK144" s="313">
        <v>2695</v>
      </c>
      <c r="BL144" s="313">
        <v>3117</v>
      </c>
      <c r="BM144" s="313">
        <v>3247</v>
      </c>
      <c r="BN144" s="313">
        <v>3139</v>
      </c>
      <c r="BO144" s="313">
        <v>3094</v>
      </c>
      <c r="BP144" s="313">
        <v>3283</v>
      </c>
      <c r="BQ144" s="351">
        <v>3485</v>
      </c>
      <c r="BR144" s="351">
        <v>3607</v>
      </c>
      <c r="CX144" s="351">
        <v>0</v>
      </c>
      <c r="CY144" s="351">
        <v>0</v>
      </c>
      <c r="DX144" s="351"/>
      <c r="DY144" s="351">
        <v>2094</v>
      </c>
      <c r="EB144" s="351">
        <v>2793</v>
      </c>
    </row>
    <row r="145" spans="2:132" ht="12.75" customHeight="1" x14ac:dyDescent="0.2">
      <c r="B145" s="353" t="s">
        <v>397</v>
      </c>
      <c r="AM145" s="351">
        <v>2661</v>
      </c>
      <c r="AN145" s="313"/>
      <c r="AO145" s="313"/>
      <c r="AP145" s="313">
        <v>3196</v>
      </c>
      <c r="AQ145" s="313">
        <v>3054</v>
      </c>
      <c r="AR145" s="313">
        <v>3014</v>
      </c>
      <c r="AS145" s="313">
        <v>3229</v>
      </c>
      <c r="AT145" s="313">
        <v>3467</v>
      </c>
      <c r="AU145" s="313">
        <v>4413</v>
      </c>
      <c r="AV145" s="313">
        <v>3908</v>
      </c>
      <c r="AW145" s="313">
        <v>3578</v>
      </c>
      <c r="AX145" s="313">
        <v>3367</v>
      </c>
      <c r="AY145" s="313">
        <v>3374</v>
      </c>
      <c r="AZ145" s="313">
        <v>2719</v>
      </c>
      <c r="BA145" s="313">
        <v>2768</v>
      </c>
      <c r="BB145" s="313">
        <v>2497</v>
      </c>
      <c r="BC145" s="313">
        <v>3293</v>
      </c>
      <c r="BD145" s="313">
        <v>3172</v>
      </c>
      <c r="BE145" s="313">
        <v>2474</v>
      </c>
      <c r="BF145" s="351">
        <v>2273</v>
      </c>
      <c r="BG145" s="351">
        <v>3021</v>
      </c>
      <c r="BH145" s="351">
        <v>3290</v>
      </c>
      <c r="BI145" s="351">
        <v>3056</v>
      </c>
      <c r="BJ145" s="313">
        <v>2633</v>
      </c>
      <c r="BK145" s="313">
        <v>2683</v>
      </c>
      <c r="BL145" s="313">
        <v>2894</v>
      </c>
      <c r="BM145" s="313">
        <v>2789</v>
      </c>
      <c r="BN145" s="313">
        <v>3084</v>
      </c>
      <c r="BO145" s="313">
        <v>3260</v>
      </c>
      <c r="BP145" s="313">
        <v>3425</v>
      </c>
      <c r="BQ145" s="351">
        <v>3312</v>
      </c>
      <c r="BR145" s="351">
        <v>4003</v>
      </c>
      <c r="CX145" s="351">
        <v>3701</v>
      </c>
      <c r="CY145" s="351">
        <v>3452</v>
      </c>
      <c r="DX145" s="351"/>
      <c r="DY145" s="351">
        <v>3196</v>
      </c>
      <c r="EB145" s="351">
        <v>2497</v>
      </c>
    </row>
    <row r="146" spans="2:132" ht="12.75" customHeight="1" x14ac:dyDescent="0.2">
      <c r="B146" s="353" t="s">
        <v>398</v>
      </c>
      <c r="AM146" s="351">
        <f>SUM(AM141:AM145)</f>
        <v>33772</v>
      </c>
      <c r="AN146" s="313"/>
      <c r="AO146" s="313"/>
      <c r="AP146" s="313">
        <v>22975</v>
      </c>
      <c r="AQ146" s="313">
        <v>24673</v>
      </c>
      <c r="AR146" s="313">
        <v>28941</v>
      </c>
      <c r="AS146" s="313">
        <v>28941</v>
      </c>
      <c r="AT146" s="313">
        <v>29945</v>
      </c>
      <c r="AU146" s="313">
        <v>33818</v>
      </c>
      <c r="AV146" s="313">
        <v>35817</v>
      </c>
      <c r="AW146" s="313">
        <f t="shared" ref="AW146:BB146" si="707">SUM(AW141:AW145)</f>
        <v>36592</v>
      </c>
      <c r="AX146" s="313">
        <f t="shared" si="707"/>
        <v>34381</v>
      </c>
      <c r="AY146" s="313">
        <f t="shared" si="707"/>
        <v>34856</v>
      </c>
      <c r="AZ146" s="313">
        <f t="shared" si="707"/>
        <v>35512</v>
      </c>
      <c r="BA146" s="313">
        <f t="shared" si="707"/>
        <v>35621</v>
      </c>
      <c r="BB146" s="313">
        <f t="shared" si="707"/>
        <v>39541</v>
      </c>
      <c r="BC146" s="313">
        <f t="shared" ref="BC146:BF146" si="708">SUM(BC141:BC145)</f>
        <v>38861</v>
      </c>
      <c r="BD146" s="313">
        <f t="shared" ref="BD146" si="709">SUM(BD141:BD145)</f>
        <v>39023</v>
      </c>
      <c r="BE146" s="313">
        <f t="shared" si="708"/>
        <v>42717</v>
      </c>
      <c r="BF146" s="313">
        <f t="shared" si="708"/>
        <v>47307</v>
      </c>
      <c r="BG146" s="313">
        <f t="shared" ref="BG146:BH146" si="710">SUM(BG141:BG145)</f>
        <v>49221</v>
      </c>
      <c r="BH146" s="313">
        <f t="shared" si="710"/>
        <v>52673</v>
      </c>
      <c r="BI146" s="313">
        <f>SUM(BI141:BI145)</f>
        <v>53443</v>
      </c>
      <c r="BJ146" s="313">
        <f t="shared" ref="BJ146:BM146" si="711">SUM(BJ141:BJ145)</f>
        <v>54316</v>
      </c>
      <c r="BK146" s="313">
        <f t="shared" si="711"/>
        <v>57007</v>
      </c>
      <c r="BL146" s="313">
        <f t="shared" si="711"/>
        <v>41615</v>
      </c>
      <c r="BM146" s="313">
        <f t="shared" si="711"/>
        <v>44791</v>
      </c>
      <c r="BN146" s="313">
        <f>SUM(BN141:BN145)</f>
        <v>46116</v>
      </c>
      <c r="BO146" s="313">
        <f>SUM(BO141:BO145)</f>
        <v>47228</v>
      </c>
      <c r="BP146" s="313">
        <f>SUM(BP141:BP145)</f>
        <v>51273</v>
      </c>
      <c r="BQ146" s="313">
        <f>SUM(BQ141:BQ145)</f>
        <v>52176</v>
      </c>
      <c r="BR146" s="313">
        <f>SUM(BR141:BR145)</f>
        <v>56407</v>
      </c>
      <c r="CX146" s="351">
        <f>SUM(CX141:CX145)</f>
        <v>60979</v>
      </c>
      <c r="CY146" s="351">
        <f>SUM(CY141:CY145)</f>
        <v>60424</v>
      </c>
      <c r="DX146" s="351"/>
      <c r="DY146" s="351">
        <f>SUM(DY141:DY145)</f>
        <v>22991</v>
      </c>
      <c r="EB146" s="351">
        <f>SUM(EB141:EB145)</f>
        <v>39541</v>
      </c>
    </row>
    <row r="147" spans="2:132" ht="12.75" customHeight="1" x14ac:dyDescent="0.2">
      <c r="B147" s="353" t="s">
        <v>399</v>
      </c>
      <c r="AM147" s="351">
        <v>10951</v>
      </c>
      <c r="AN147" s="313"/>
      <c r="AO147" s="313"/>
      <c r="AP147" s="313">
        <v>13044</v>
      </c>
      <c r="AQ147" s="313">
        <v>13180</v>
      </c>
      <c r="AR147" s="313">
        <v>13385</v>
      </c>
      <c r="AS147" s="313">
        <v>13613</v>
      </c>
      <c r="AT147" s="313">
        <v>14185</v>
      </c>
      <c r="AU147" s="313">
        <v>14486</v>
      </c>
      <c r="AV147" s="313">
        <v>14627</v>
      </c>
      <c r="AW147" s="313">
        <v>14355</v>
      </c>
      <c r="AX147" s="313">
        <v>14365</v>
      </c>
      <c r="AY147" s="313">
        <v>14253</v>
      </c>
      <c r="AZ147" s="313">
        <v>14502</v>
      </c>
      <c r="BA147" s="313">
        <v>14815</v>
      </c>
      <c r="BB147" s="313">
        <v>14759</v>
      </c>
      <c r="BC147" s="313">
        <v>14277</v>
      </c>
      <c r="BD147" s="313">
        <v>13881</v>
      </c>
      <c r="BE147" s="313">
        <v>14360</v>
      </c>
      <c r="BF147" s="351">
        <v>14553</v>
      </c>
      <c r="BG147" s="351">
        <v>15084</v>
      </c>
      <c r="BH147" s="351">
        <v>14974</v>
      </c>
      <c r="BI147" s="351">
        <v>14635</v>
      </c>
      <c r="BJ147" s="313">
        <v>14739</v>
      </c>
      <c r="BK147" s="313">
        <v>14824</v>
      </c>
      <c r="BL147" s="313">
        <v>15622</v>
      </c>
      <c r="BM147" s="313">
        <v>15845</v>
      </c>
      <c r="BN147" s="313">
        <v>16097</v>
      </c>
      <c r="BO147" s="313">
        <v>15721</v>
      </c>
      <c r="BP147" s="313">
        <v>15794</v>
      </c>
      <c r="BQ147" s="351">
        <v>16127</v>
      </c>
      <c r="BR147" s="351">
        <v>16710</v>
      </c>
      <c r="CX147" s="351">
        <v>18962</v>
      </c>
      <c r="CY147" s="351">
        <v>18701</v>
      </c>
      <c r="DX147" s="351"/>
      <c r="DY147" s="351">
        <v>13044</v>
      </c>
      <c r="EB147" s="351">
        <v>14759</v>
      </c>
    </row>
    <row r="148" spans="2:132" ht="12.75" customHeight="1" x14ac:dyDescent="0.2">
      <c r="B148" s="353" t="s">
        <v>400</v>
      </c>
      <c r="AM148" s="351">
        <f>6438+6460</f>
        <v>12898</v>
      </c>
      <c r="AN148" s="313"/>
      <c r="AO148" s="313"/>
      <c r="AP148" s="313">
        <f>15348+13340</f>
        <v>28688</v>
      </c>
      <c r="AQ148" s="313">
        <f>15568+13663</f>
        <v>29231</v>
      </c>
      <c r="AR148" s="313">
        <f>15412+13754</f>
        <v>29166</v>
      </c>
      <c r="AS148" s="313">
        <f>15468+14040</f>
        <v>29508</v>
      </c>
      <c r="AT148" s="313">
        <f>14640+14123</f>
        <v>28763</v>
      </c>
      <c r="AU148" s="313">
        <f>14818+14615</f>
        <v>29433</v>
      </c>
      <c r="AV148" s="313">
        <f>14675+14526</f>
        <v>29201</v>
      </c>
      <c r="AW148" s="313">
        <f>14296+14275</f>
        <v>28571</v>
      </c>
      <c r="AX148" s="313">
        <f>13976+13719</f>
        <v>27695</v>
      </c>
      <c r="AY148" s="313">
        <f>14840+14083</f>
        <v>28923</v>
      </c>
      <c r="AZ148" s="313">
        <f>14720+14152</f>
        <v>28872</v>
      </c>
      <c r="BA148" s="313">
        <f>16636+15017</f>
        <v>31653</v>
      </c>
      <c r="BB148" s="313">
        <f>16323+14862</f>
        <v>31185</v>
      </c>
      <c r="BC148" s="313">
        <f>16799+14977</f>
        <v>31776</v>
      </c>
      <c r="BD148" s="313">
        <f>16459+14628</f>
        <v>31087</v>
      </c>
      <c r="BE148" s="313">
        <f>17068+15375</f>
        <v>32443</v>
      </c>
      <c r="BF148" s="351">
        <f>16716+15294</f>
        <v>32010</v>
      </c>
      <c r="BG148" s="351">
        <f>18687+16126</f>
        <v>34813</v>
      </c>
      <c r="BH148" s="351">
        <f>18378+16243</f>
        <v>34621</v>
      </c>
      <c r="BI148" s="351">
        <f>18225+16049</f>
        <v>34274</v>
      </c>
      <c r="BJ148" s="313">
        <f>18138+16138</f>
        <v>34276</v>
      </c>
      <c r="BK148" s="313">
        <f>18157+16339</f>
        <v>34496</v>
      </c>
      <c r="BL148" s="313">
        <f>29199+21412</f>
        <v>50611</v>
      </c>
      <c r="BM148" s="313">
        <f>28790+21777</f>
        <v>50567</v>
      </c>
      <c r="BN148" s="313">
        <f>28752+22424</f>
        <v>51176</v>
      </c>
      <c r="BO148" s="313">
        <f>28009+22349</f>
        <v>50358</v>
      </c>
      <c r="BP148" s="313">
        <f>27704+22337</f>
        <v>50041</v>
      </c>
      <c r="BQ148" s="351">
        <f>28467+22852</f>
        <v>51319</v>
      </c>
      <c r="BR148" s="351">
        <f>27947+22798</f>
        <v>50745</v>
      </c>
      <c r="CX148" s="351">
        <f>46392+35246</f>
        <v>81638</v>
      </c>
      <c r="CY148" s="351">
        <f>44420+34935</f>
        <v>79355</v>
      </c>
      <c r="DX148" s="351"/>
      <c r="DY148" s="351">
        <f>15348+13340</f>
        <v>28688</v>
      </c>
      <c r="EB148" s="351">
        <f>16323+14862</f>
        <v>31185</v>
      </c>
    </row>
    <row r="149" spans="2:132" ht="12.75" customHeight="1" x14ac:dyDescent="0.2">
      <c r="B149" s="353" t="s">
        <v>396</v>
      </c>
      <c r="AM149" s="351">
        <v>1269</v>
      </c>
      <c r="AN149" s="313"/>
      <c r="AO149" s="313"/>
      <c r="AP149" s="313">
        <v>3210</v>
      </c>
      <c r="AQ149" s="313">
        <v>3273</v>
      </c>
      <c r="AR149" s="313">
        <v>3575</v>
      </c>
      <c r="AS149" s="313">
        <v>3808</v>
      </c>
      <c r="AT149" s="313">
        <v>4889</v>
      </c>
      <c r="AU149" s="313">
        <v>5129</v>
      </c>
      <c r="AV149" s="313">
        <v>5422</v>
      </c>
      <c r="AW149" s="313">
        <v>5191</v>
      </c>
      <c r="AX149" s="313">
        <v>5841</v>
      </c>
      <c r="AY149" s="313">
        <v>5479</v>
      </c>
      <c r="AZ149" s="313">
        <v>5870</v>
      </c>
      <c r="BA149" s="313">
        <v>5888</v>
      </c>
      <c r="BB149" s="313">
        <v>5507</v>
      </c>
      <c r="BC149" s="313">
        <v>4905</v>
      </c>
      <c r="BD149" s="313">
        <v>5109</v>
      </c>
      <c r="BE149" s="313">
        <v>5175</v>
      </c>
      <c r="BF149" s="351">
        <v>5096</v>
      </c>
      <c r="BG149" s="351">
        <v>5327</v>
      </c>
      <c r="BH149" s="351">
        <v>5653</v>
      </c>
      <c r="BI149" s="351">
        <v>5564</v>
      </c>
      <c r="BJ149" s="313">
        <v>6540</v>
      </c>
      <c r="BK149" s="313">
        <v>5911</v>
      </c>
      <c r="BL149" s="313">
        <v>4011</v>
      </c>
      <c r="BM149" s="313">
        <v>4227</v>
      </c>
      <c r="BN149" s="313">
        <v>4541</v>
      </c>
      <c r="BO149" s="313">
        <v>4506</v>
      </c>
      <c r="BP149" s="313">
        <v>4740</v>
      </c>
      <c r="BQ149" s="351">
        <v>4596</v>
      </c>
      <c r="BR149" s="351">
        <v>3872</v>
      </c>
      <c r="CX149" s="351">
        <v>10223</v>
      </c>
      <c r="CY149" s="351">
        <v>9936</v>
      </c>
      <c r="DX149" s="351"/>
      <c r="DY149" s="351">
        <v>3210</v>
      </c>
      <c r="EB149" s="351">
        <v>5507</v>
      </c>
    </row>
    <row r="150" spans="2:132" ht="12.75" customHeight="1" x14ac:dyDescent="0.2">
      <c r="B150" s="353" t="s">
        <v>401</v>
      </c>
      <c r="AM150" s="351">
        <v>3243</v>
      </c>
      <c r="AN150" s="313"/>
      <c r="AO150" s="313"/>
      <c r="AP150" s="313">
        <v>2623</v>
      </c>
      <c r="AQ150" s="313">
        <v>2695</v>
      </c>
      <c r="AR150" s="313">
        <v>2736</v>
      </c>
      <c r="AS150" s="313">
        <v>2787</v>
      </c>
      <c r="AT150" s="313">
        <v>3170</v>
      </c>
      <c r="AU150" s="313">
        <v>3126</v>
      </c>
      <c r="AV150" s="313">
        <v>3043</v>
      </c>
      <c r="AW150" s="313">
        <v>3015</v>
      </c>
      <c r="AX150" s="313">
        <v>2630</v>
      </c>
      <c r="AY150" s="313">
        <v>2589</v>
      </c>
      <c r="AZ150" s="313">
        <v>2682</v>
      </c>
      <c r="BA150" s="313">
        <v>3581</v>
      </c>
      <c r="BB150" s="313">
        <v>3690</v>
      </c>
      <c r="BC150" s="313">
        <v>3622</v>
      </c>
      <c r="BD150" s="313">
        <v>3200</v>
      </c>
      <c r="BE150" s="313">
        <v>3552</v>
      </c>
      <c r="BF150" s="351">
        <v>3942</v>
      </c>
      <c r="BG150" s="351">
        <v>3705</v>
      </c>
      <c r="BH150" s="351">
        <v>4193</v>
      </c>
      <c r="BI150" s="351">
        <v>3905</v>
      </c>
      <c r="BJ150" s="313">
        <v>3773</v>
      </c>
      <c r="BK150" s="313">
        <v>3956</v>
      </c>
      <c r="BL150" s="313">
        <v>3891</v>
      </c>
      <c r="BM150" s="313">
        <v>3521</v>
      </c>
      <c r="BN150" s="313">
        <v>3417</v>
      </c>
      <c r="BO150" s="313">
        <v>3723</v>
      </c>
      <c r="BP150" s="313">
        <v>2477</v>
      </c>
      <c r="BQ150" s="351">
        <v>2715</v>
      </c>
      <c r="BR150" s="351">
        <v>4949</v>
      </c>
      <c r="CX150" s="351">
        <v>10216</v>
      </c>
      <c r="CY150" s="351">
        <v>9939</v>
      </c>
      <c r="DX150" s="351"/>
      <c r="DY150" s="351">
        <v>2623</v>
      </c>
      <c r="EB150" s="351">
        <v>3690</v>
      </c>
    </row>
    <row r="151" spans="2:132" ht="12.75" customHeight="1" x14ac:dyDescent="0.2">
      <c r="B151" s="353" t="s">
        <v>1502</v>
      </c>
      <c r="AM151" s="351">
        <f>SUM(AM146:AM150)</f>
        <v>62133</v>
      </c>
      <c r="AN151" s="313"/>
      <c r="AO151" s="313"/>
      <c r="AP151" s="313">
        <v>70556</v>
      </c>
      <c r="AQ151" s="313">
        <v>73066</v>
      </c>
      <c r="AR151" s="313">
        <v>74683</v>
      </c>
      <c r="AS151" s="313">
        <v>78665</v>
      </c>
      <c r="AT151" s="313">
        <v>80954</v>
      </c>
      <c r="AU151" s="313">
        <v>85995</v>
      </c>
      <c r="AV151" s="313">
        <v>88113</v>
      </c>
      <c r="AW151" s="313">
        <f t="shared" ref="AW151:BB151" si="712">SUM(AW146:AW150)</f>
        <v>87724</v>
      </c>
      <c r="AX151" s="313">
        <f t="shared" si="712"/>
        <v>84912</v>
      </c>
      <c r="AY151" s="313">
        <f t="shared" si="712"/>
        <v>86100</v>
      </c>
      <c r="AZ151" s="313">
        <f t="shared" si="712"/>
        <v>87438</v>
      </c>
      <c r="BA151" s="313">
        <f t="shared" si="712"/>
        <v>91558</v>
      </c>
      <c r="BB151" s="313">
        <f t="shared" si="712"/>
        <v>94682</v>
      </c>
      <c r="BC151" s="313">
        <f t="shared" ref="BC151:BF151" si="713">SUM(BC146:BC150)</f>
        <v>93441</v>
      </c>
      <c r="BD151" s="313">
        <f t="shared" ref="BD151" si="714">SUM(BD146:BD150)</f>
        <v>92300</v>
      </c>
      <c r="BE151" s="313">
        <f t="shared" si="713"/>
        <v>98247</v>
      </c>
      <c r="BF151" s="313">
        <f t="shared" si="713"/>
        <v>102908</v>
      </c>
      <c r="BG151" s="313">
        <f t="shared" ref="BG151:BH151" si="715">SUM(BG146:BG150)</f>
        <v>108150</v>
      </c>
      <c r="BH151" s="313">
        <f t="shared" si="715"/>
        <v>112114</v>
      </c>
      <c r="BI151" s="313">
        <f t="shared" ref="BI151:BJ151" si="716">SUM(BI146:BI150)</f>
        <v>111821</v>
      </c>
      <c r="BJ151" s="313">
        <f t="shared" si="716"/>
        <v>113644</v>
      </c>
      <c r="BK151" s="313">
        <f t="shared" ref="BK151:BL151" si="717">SUM(BK146:BK150)</f>
        <v>116194</v>
      </c>
      <c r="BL151" s="313">
        <f t="shared" si="717"/>
        <v>115750</v>
      </c>
      <c r="BM151" s="313">
        <f t="shared" ref="BM151:BN151" si="718">SUM(BM146:BM150)</f>
        <v>118951</v>
      </c>
      <c r="BN151" s="313">
        <f t="shared" si="718"/>
        <v>121347</v>
      </c>
      <c r="BO151" s="313">
        <f t="shared" ref="BO151:BQ151" si="719">SUM(BO146:BO150)</f>
        <v>121536</v>
      </c>
      <c r="BP151" s="313">
        <f t="shared" si="719"/>
        <v>124325</v>
      </c>
      <c r="BQ151" s="313">
        <f t="shared" si="719"/>
        <v>126933</v>
      </c>
      <c r="BR151" s="313">
        <f t="shared" ref="BR151" si="720">SUM(BR146:BR150)</f>
        <v>132683</v>
      </c>
      <c r="CX151" s="351">
        <f>SUM(CX146:CX150)</f>
        <v>182018</v>
      </c>
      <c r="CY151" s="351">
        <f>SUM(CY146:CY150)</f>
        <v>178355</v>
      </c>
      <c r="DX151" s="351"/>
      <c r="DY151" s="351">
        <f>SUM(DY146:DY150)</f>
        <v>70556</v>
      </c>
      <c r="EB151" s="351">
        <f>SUM(EB146:EB150)</f>
        <v>94682</v>
      </c>
    </row>
    <row r="152" spans="2:132" ht="12.75" customHeight="1" x14ac:dyDescent="0.2">
      <c r="AM152" s="351"/>
      <c r="AN152" s="313"/>
      <c r="AO152" s="313"/>
      <c r="AP152" s="313"/>
      <c r="AQ152" s="313"/>
      <c r="AR152" s="313"/>
      <c r="AS152" s="313"/>
      <c r="AT152" s="313"/>
      <c r="AU152" s="313"/>
      <c r="AV152" s="313"/>
      <c r="AW152" s="313"/>
      <c r="AX152" s="313"/>
      <c r="AY152" s="313"/>
      <c r="AZ152" s="313"/>
      <c r="BA152" s="313"/>
      <c r="BB152" s="313"/>
      <c r="BC152" s="313"/>
      <c r="BD152" s="313"/>
      <c r="BE152" s="313"/>
      <c r="BF152" s="313"/>
      <c r="BG152" s="313"/>
      <c r="BH152" s="313"/>
      <c r="BI152" s="313"/>
      <c r="BJ152" s="313"/>
      <c r="BK152" s="313"/>
      <c r="BL152" s="313"/>
      <c r="BM152" s="313"/>
      <c r="BN152" s="313"/>
      <c r="BO152" s="313"/>
      <c r="BP152" s="313"/>
      <c r="BQ152" s="313"/>
      <c r="BR152" s="313"/>
      <c r="CY152" s="351"/>
      <c r="DX152" s="351"/>
      <c r="DY152" s="351"/>
      <c r="EB152" s="351"/>
    </row>
    <row r="153" spans="2:132" ht="12.75" customHeight="1" x14ac:dyDescent="0.2">
      <c r="B153" s="353" t="s">
        <v>402</v>
      </c>
      <c r="AM153" s="351">
        <v>828</v>
      </c>
      <c r="AN153" s="313"/>
      <c r="AO153" s="313"/>
      <c r="AP153" s="313">
        <v>4579</v>
      </c>
      <c r="AQ153" s="313">
        <v>4682</v>
      </c>
      <c r="AR153" s="313">
        <v>4470</v>
      </c>
      <c r="AS153" s="313">
        <v>3264</v>
      </c>
      <c r="AT153" s="313">
        <v>2463</v>
      </c>
      <c r="AU153" s="313">
        <v>4250</v>
      </c>
      <c r="AV153" s="313">
        <v>5156</v>
      </c>
      <c r="AW153" s="313">
        <v>6245</v>
      </c>
      <c r="AX153" s="313">
        <v>3732</v>
      </c>
      <c r="AY153" s="313">
        <v>6022</v>
      </c>
      <c r="AZ153" s="313">
        <v>5435</v>
      </c>
      <c r="BA153" s="313">
        <v>3341</v>
      </c>
      <c r="BB153" s="313">
        <v>6318</v>
      </c>
      <c r="BC153" s="313">
        <v>4044</v>
      </c>
      <c r="BD153" s="313">
        <v>3715</v>
      </c>
      <c r="BE153" s="313">
        <v>2843</v>
      </c>
      <c r="BF153" s="351">
        <v>7617</v>
      </c>
      <c r="BG153" s="351">
        <v>8575</v>
      </c>
      <c r="BH153" s="351">
        <v>5046</v>
      </c>
      <c r="BI153" s="351">
        <v>5326</v>
      </c>
      <c r="BJ153" s="313">
        <v>6658</v>
      </c>
      <c r="BK153" s="313">
        <v>6439</v>
      </c>
      <c r="BL153" s="313">
        <v>6040</v>
      </c>
      <c r="BM153" s="313">
        <v>5423</v>
      </c>
      <c r="BN153" s="313">
        <v>4676</v>
      </c>
      <c r="BO153" s="313">
        <v>4529</v>
      </c>
      <c r="BP153" s="313">
        <v>5339</v>
      </c>
      <c r="BQ153" s="351">
        <v>5359</v>
      </c>
      <c r="BR153" s="351">
        <v>4852</v>
      </c>
      <c r="CX153" s="351">
        <v>3766</v>
      </c>
      <c r="CY153" s="351">
        <v>4297</v>
      </c>
      <c r="DX153" s="351"/>
      <c r="DY153" s="351">
        <v>4579</v>
      </c>
      <c r="EB153" s="351">
        <v>6318</v>
      </c>
    </row>
    <row r="154" spans="2:132" ht="12.75" customHeight="1" x14ac:dyDescent="0.2">
      <c r="B154" s="353" t="s">
        <v>403</v>
      </c>
      <c r="AM154" s="351">
        <v>3939</v>
      </c>
      <c r="AN154" s="313"/>
      <c r="AO154" s="313"/>
      <c r="AP154" s="313">
        <v>5691</v>
      </c>
      <c r="AQ154" s="313">
        <v>5643</v>
      </c>
      <c r="AR154" s="313">
        <v>5458</v>
      </c>
      <c r="AS154" s="313">
        <v>5963</v>
      </c>
      <c r="AT154" s="313">
        <v>6909</v>
      </c>
      <c r="AU154" s="313">
        <v>7487</v>
      </c>
      <c r="AV154" s="313">
        <v>6623</v>
      </c>
      <c r="AW154" s="313">
        <v>6384</v>
      </c>
      <c r="AX154" s="313">
        <v>7503</v>
      </c>
      <c r="AY154" s="313">
        <v>6395</v>
      </c>
      <c r="AZ154" s="313">
        <v>5832</v>
      </c>
      <c r="BA154" s="313">
        <v>6419</v>
      </c>
      <c r="BB154" s="313">
        <v>5541</v>
      </c>
      <c r="BC154" s="313">
        <v>5126</v>
      </c>
      <c r="BD154" s="313">
        <v>4871</v>
      </c>
      <c r="BE154" s="313">
        <v>5477</v>
      </c>
      <c r="BF154" s="351">
        <v>5623</v>
      </c>
      <c r="BG154" s="351">
        <v>5701</v>
      </c>
      <c r="BH154" s="351">
        <v>5689</v>
      </c>
      <c r="BI154" s="351">
        <v>5730</v>
      </c>
      <c r="BJ154" s="313">
        <v>5725</v>
      </c>
      <c r="BK154" s="313">
        <v>5085</v>
      </c>
      <c r="BL154" s="313">
        <v>5145</v>
      </c>
      <c r="BM154" s="313">
        <v>5344</v>
      </c>
      <c r="BN154" s="313">
        <v>5831</v>
      </c>
      <c r="BO154" s="313">
        <v>5372</v>
      </c>
      <c r="BP154" s="313">
        <v>5687</v>
      </c>
      <c r="BQ154" s="351">
        <v>6055</v>
      </c>
      <c r="BR154" s="351">
        <v>6266</v>
      </c>
      <c r="CX154" s="351">
        <v>11055</v>
      </c>
      <c r="CY154" s="351">
        <v>9309</v>
      </c>
      <c r="DX154" s="351"/>
      <c r="DY154" s="351">
        <v>5691</v>
      </c>
      <c r="EB154" s="351">
        <v>5541</v>
      </c>
    </row>
    <row r="155" spans="2:132" ht="12.75" customHeight="1" x14ac:dyDescent="0.2">
      <c r="B155" s="353" t="s">
        <v>404</v>
      </c>
      <c r="AM155" s="351">
        <v>3520</v>
      </c>
      <c r="AN155" s="313"/>
      <c r="AO155" s="313"/>
      <c r="AP155" s="313">
        <v>4587</v>
      </c>
      <c r="AQ155" s="313">
        <v>4483</v>
      </c>
      <c r="AR155" s="313">
        <v>4585</v>
      </c>
      <c r="AS155" s="313">
        <v>5076</v>
      </c>
      <c r="AT155" s="313">
        <v>6412</v>
      </c>
      <c r="AU155" s="313">
        <v>5751</v>
      </c>
      <c r="AV155" s="313">
        <v>5631</v>
      </c>
      <c r="AW155" s="313">
        <v>5521</v>
      </c>
      <c r="AX155" s="313">
        <v>5531</v>
      </c>
      <c r="AY155" s="313">
        <v>4561</v>
      </c>
      <c r="AZ155" s="313">
        <v>4765</v>
      </c>
      <c r="BA155" s="313">
        <v>4862</v>
      </c>
      <c r="BB155" s="313">
        <v>5796</v>
      </c>
      <c r="BC155" s="313">
        <v>4415</v>
      </c>
      <c r="BD155" s="313">
        <v>4186</v>
      </c>
      <c r="BE155" s="313">
        <v>4333</v>
      </c>
      <c r="BF155" s="351">
        <v>4100</v>
      </c>
      <c r="BG155" s="351">
        <v>4093</v>
      </c>
      <c r="BH155" s="351">
        <v>4405</v>
      </c>
      <c r="BI155" s="351">
        <v>4136</v>
      </c>
      <c r="BJ155" s="313">
        <v>4608</v>
      </c>
      <c r="BK155" s="313">
        <v>4369</v>
      </c>
      <c r="BL155" s="313">
        <v>6533</v>
      </c>
      <c r="BM155" s="313">
        <v>6498</v>
      </c>
      <c r="BN155" s="313">
        <v>7299</v>
      </c>
      <c r="BO155" s="313">
        <v>6904</v>
      </c>
      <c r="BP155" s="313">
        <v>6646</v>
      </c>
      <c r="BQ155" s="351">
        <v>6921</v>
      </c>
      <c r="BR155" s="351">
        <v>7685</v>
      </c>
      <c r="CX155" s="351">
        <v>13612</v>
      </c>
      <c r="CY155" s="351">
        <v>13006</v>
      </c>
      <c r="DX155" s="351"/>
      <c r="DY155" s="351">
        <v>4587</v>
      </c>
      <c r="EB155" s="351">
        <v>5796</v>
      </c>
    </row>
    <row r="156" spans="2:132" ht="12.75" customHeight="1" x14ac:dyDescent="0.2">
      <c r="B156" s="353" t="s">
        <v>406</v>
      </c>
      <c r="AM156" s="351">
        <v>2026</v>
      </c>
      <c r="AN156" s="313"/>
      <c r="AO156" s="313"/>
      <c r="AP156" s="313">
        <v>2189</v>
      </c>
      <c r="AQ156" s="313">
        <v>2352</v>
      </c>
      <c r="AR156" s="313">
        <v>2447</v>
      </c>
      <c r="AS156" s="313">
        <v>2519</v>
      </c>
      <c r="AT156" s="313">
        <v>2318</v>
      </c>
      <c r="AU156" s="313">
        <v>2659</v>
      </c>
      <c r="AV156" s="313">
        <v>2693</v>
      </c>
      <c r="AW156" s="313">
        <v>2609</v>
      </c>
      <c r="AX156" s="313">
        <v>2237</v>
      </c>
      <c r="AY156" s="313">
        <v>2489</v>
      </c>
      <c r="AZ156" s="313">
        <v>2153</v>
      </c>
      <c r="BA156" s="313">
        <v>2123</v>
      </c>
      <c r="BB156" s="313">
        <v>2028</v>
      </c>
      <c r="BC156" s="313">
        <v>2487</v>
      </c>
      <c r="BD156" s="313">
        <v>2404</v>
      </c>
      <c r="BE156" s="313">
        <v>2666</v>
      </c>
      <c r="BF156" s="351">
        <v>2512</v>
      </c>
      <c r="BG156" s="351">
        <v>2858</v>
      </c>
      <c r="BH156" s="351">
        <v>2933</v>
      </c>
      <c r="BI156" s="351">
        <v>2895</v>
      </c>
      <c r="BJ156" s="313">
        <v>2637</v>
      </c>
      <c r="BK156" s="313">
        <v>2865</v>
      </c>
      <c r="BL156" s="313">
        <v>2960</v>
      </c>
      <c r="BM156" s="313">
        <v>3040</v>
      </c>
      <c r="BN156" s="313">
        <v>2969</v>
      </c>
      <c r="BO156" s="313">
        <v>2910</v>
      </c>
      <c r="BP156" s="313">
        <v>3138</v>
      </c>
      <c r="BQ156" s="351">
        <v>3465</v>
      </c>
      <c r="BR156" s="351">
        <v>3308</v>
      </c>
      <c r="CX156" s="351">
        <v>12095</v>
      </c>
      <c r="CY156" s="351">
        <v>12972</v>
      </c>
      <c r="DX156" s="351"/>
      <c r="DY156" s="351">
        <v>2189</v>
      </c>
      <c r="EB156" s="351">
        <v>2028</v>
      </c>
    </row>
    <row r="157" spans="2:132" ht="12.75" customHeight="1" x14ac:dyDescent="0.2">
      <c r="B157" s="353" t="s">
        <v>407</v>
      </c>
      <c r="AM157" s="351">
        <v>939</v>
      </c>
      <c r="AN157" s="313"/>
      <c r="AO157" s="313"/>
      <c r="AP157" s="313">
        <v>1391</v>
      </c>
      <c r="AQ157" s="313">
        <v>1125</v>
      </c>
      <c r="AR157" s="313">
        <v>1140</v>
      </c>
      <c r="AS157" s="313">
        <v>1474</v>
      </c>
      <c r="AT157" s="313">
        <v>1512</v>
      </c>
      <c r="AU157" s="313">
        <v>1222</v>
      </c>
      <c r="AV157" s="313">
        <v>1292</v>
      </c>
      <c r="AW157" s="313">
        <v>1513</v>
      </c>
      <c r="AX157" s="313">
        <v>1432</v>
      </c>
      <c r="AY157" s="313">
        <v>1153</v>
      </c>
      <c r="AZ157" s="313">
        <v>1191</v>
      </c>
      <c r="BA157" s="313">
        <v>1471</v>
      </c>
      <c r="BB157" s="313">
        <v>1606</v>
      </c>
      <c r="BC157" s="313">
        <v>1054</v>
      </c>
      <c r="BD157" s="313">
        <v>1197</v>
      </c>
      <c r="BE157" s="313">
        <v>1314</v>
      </c>
      <c r="BF157" s="351">
        <v>2642</v>
      </c>
      <c r="BG157" s="351">
        <v>1777</v>
      </c>
      <c r="BH157" s="351">
        <v>2104</v>
      </c>
      <c r="BI157" s="351">
        <v>2263</v>
      </c>
      <c r="BJ157" s="313">
        <v>2329</v>
      </c>
      <c r="BK157" s="313">
        <v>1526</v>
      </c>
      <c r="BL157" s="313">
        <v>1911</v>
      </c>
      <c r="BM157" s="313">
        <v>2128</v>
      </c>
      <c r="BN157" s="313">
        <v>2423</v>
      </c>
      <c r="BO157" s="313">
        <v>1631</v>
      </c>
      <c r="BP157" s="313">
        <v>2001</v>
      </c>
      <c r="BQ157" s="351">
        <v>2324</v>
      </c>
      <c r="BR157" s="351">
        <v>2794</v>
      </c>
      <c r="CX157" s="351">
        <v>3586</v>
      </c>
      <c r="CY157" s="351">
        <v>2098</v>
      </c>
      <c r="DX157" s="351"/>
      <c r="DY157" s="351">
        <v>1391</v>
      </c>
      <c r="EB157" s="351">
        <v>1606</v>
      </c>
    </row>
    <row r="158" spans="2:132" ht="12.75" customHeight="1" x14ac:dyDescent="0.2">
      <c r="B158" s="353" t="s">
        <v>408</v>
      </c>
      <c r="AM158" s="351">
        <v>1940</v>
      </c>
      <c r="AN158" s="313"/>
      <c r="AO158" s="313"/>
      <c r="AP158" s="313">
        <v>724</v>
      </c>
      <c r="AQ158" s="313">
        <v>1378</v>
      </c>
      <c r="AR158" s="313">
        <v>883</v>
      </c>
      <c r="AS158" s="313">
        <v>1032</v>
      </c>
      <c r="AT158" s="313">
        <v>253</v>
      </c>
      <c r="AU158" s="313">
        <v>702</v>
      </c>
      <c r="AV158" s="313">
        <v>385</v>
      </c>
      <c r="AW158" s="313">
        <v>458</v>
      </c>
      <c r="AX158" s="313">
        <v>417</v>
      </c>
      <c r="AY158" s="313">
        <v>705</v>
      </c>
      <c r="AZ158" s="313">
        <v>510</v>
      </c>
      <c r="BA158" s="313">
        <v>1029</v>
      </c>
      <c r="BB158" s="313">
        <v>442</v>
      </c>
      <c r="BC158" s="313">
        <v>1373</v>
      </c>
      <c r="BD158" s="313">
        <v>791</v>
      </c>
      <c r="BE158" s="313">
        <v>781</v>
      </c>
      <c r="BF158" s="351">
        <v>578</v>
      </c>
      <c r="BG158" s="351">
        <v>1007</v>
      </c>
      <c r="BH158" s="351">
        <v>808</v>
      </c>
      <c r="BI158" s="351">
        <v>1336</v>
      </c>
      <c r="BJ158" s="313">
        <v>854</v>
      </c>
      <c r="BK158" s="313">
        <v>914</v>
      </c>
      <c r="BL158" s="313">
        <v>1259</v>
      </c>
      <c r="BM158" s="313">
        <v>1502</v>
      </c>
      <c r="BN158" s="313">
        <v>1064</v>
      </c>
      <c r="BO158" s="313">
        <v>1178</v>
      </c>
      <c r="BP158" s="313">
        <v>956</v>
      </c>
      <c r="BQ158" s="351">
        <v>1711</v>
      </c>
      <c r="BR158" s="351">
        <v>770</v>
      </c>
      <c r="CX158" s="351">
        <v>1112</v>
      </c>
      <c r="CY158" s="351">
        <v>1708</v>
      </c>
      <c r="DX158" s="351"/>
      <c r="DY158" s="351">
        <v>724</v>
      </c>
      <c r="EB158" s="351">
        <v>442</v>
      </c>
    </row>
    <row r="159" spans="2:132" ht="12.75" customHeight="1" x14ac:dyDescent="0.2">
      <c r="B159" s="353" t="s">
        <v>398</v>
      </c>
      <c r="AM159" s="351">
        <f>SUM(AM153:AM158)</f>
        <v>13192</v>
      </c>
      <c r="AN159" s="313"/>
      <c r="AO159" s="313"/>
      <c r="AP159" s="313">
        <v>19161</v>
      </c>
      <c r="AQ159" s="313">
        <v>19663</v>
      </c>
      <c r="AR159" s="313">
        <v>18983</v>
      </c>
      <c r="AS159" s="313">
        <v>19328</v>
      </c>
      <c r="AT159" s="313">
        <v>19837</v>
      </c>
      <c r="AU159" s="313">
        <v>22071</v>
      </c>
      <c r="AV159" s="313">
        <v>21780</v>
      </c>
      <c r="AW159" s="313">
        <f t="shared" ref="AW159:BB159" si="721">SUM(AW153:AW158)</f>
        <v>22730</v>
      </c>
      <c r="AX159" s="313">
        <f t="shared" si="721"/>
        <v>20852</v>
      </c>
      <c r="AY159" s="313">
        <f t="shared" si="721"/>
        <v>21325</v>
      </c>
      <c r="AZ159" s="313">
        <f t="shared" si="721"/>
        <v>19886</v>
      </c>
      <c r="BA159" s="313">
        <f t="shared" si="721"/>
        <v>19245</v>
      </c>
      <c r="BB159" s="313">
        <f t="shared" si="721"/>
        <v>21731</v>
      </c>
      <c r="BC159" s="313">
        <f t="shared" ref="BC159:BF159" si="722">SUM(BC153:BC158)</f>
        <v>18499</v>
      </c>
      <c r="BD159" s="313">
        <f t="shared" ref="BD159" si="723">SUM(BD153:BD158)</f>
        <v>17164</v>
      </c>
      <c r="BE159" s="313">
        <f t="shared" si="722"/>
        <v>17414</v>
      </c>
      <c r="BF159" s="313">
        <f t="shared" si="722"/>
        <v>23072</v>
      </c>
      <c r="BG159" s="313">
        <f t="shared" ref="BG159" si="724">SUM(BG153:BG158)</f>
        <v>24011</v>
      </c>
      <c r="BH159" s="313">
        <f>SUM(BH153:BH158)</f>
        <v>20985</v>
      </c>
      <c r="BI159" s="313">
        <f t="shared" ref="BI159:BJ159" si="725">SUM(BI153:BI158)</f>
        <v>21686</v>
      </c>
      <c r="BJ159" s="313">
        <f t="shared" si="725"/>
        <v>22811</v>
      </c>
      <c r="BK159" s="313">
        <f t="shared" ref="BK159:BL159" si="726">SUM(BK153:BK158)</f>
        <v>21198</v>
      </c>
      <c r="BL159" s="313">
        <f t="shared" si="726"/>
        <v>23848</v>
      </c>
      <c r="BM159" s="313">
        <f t="shared" ref="BM159:BN159" si="727">SUM(BM153:BM158)</f>
        <v>23935</v>
      </c>
      <c r="BN159" s="313">
        <f t="shared" si="727"/>
        <v>24262</v>
      </c>
      <c r="BO159" s="313">
        <f t="shared" ref="BO159:BQ159" si="728">SUM(BO153:BO158)</f>
        <v>22524</v>
      </c>
      <c r="BP159" s="313">
        <f t="shared" si="728"/>
        <v>23767</v>
      </c>
      <c r="BQ159" s="313">
        <f t="shared" si="728"/>
        <v>25835</v>
      </c>
      <c r="BR159" s="313">
        <f t="shared" ref="BR159" si="729">SUM(BR153:BR158)</f>
        <v>25675</v>
      </c>
      <c r="CX159" s="351">
        <f t="shared" ref="CX159" si="730">SUM(CX153:CX158)</f>
        <v>45226</v>
      </c>
      <c r="CY159" s="351">
        <f>SUM(CY153:CY158)</f>
        <v>43390</v>
      </c>
      <c r="DX159" s="351"/>
      <c r="DY159" s="351">
        <f>SUM(DY153:DY158)</f>
        <v>19161</v>
      </c>
      <c r="EB159" s="351">
        <f>SUM(EB153:EB158)</f>
        <v>21731</v>
      </c>
    </row>
    <row r="160" spans="2:132" ht="12.75" customHeight="1" x14ac:dyDescent="0.2">
      <c r="B160" s="353" t="s">
        <v>758</v>
      </c>
      <c r="AM160" s="351">
        <v>1980</v>
      </c>
      <c r="AN160" s="313"/>
      <c r="AO160" s="313"/>
      <c r="AP160" s="313">
        <v>2014</v>
      </c>
      <c r="AQ160" s="313">
        <v>2012</v>
      </c>
      <c r="AR160" s="313">
        <v>2013</v>
      </c>
      <c r="AS160" s="313">
        <v>4633</v>
      </c>
      <c r="AT160" s="313">
        <v>7074</v>
      </c>
      <c r="AU160" s="313">
        <v>7166</v>
      </c>
      <c r="AV160" s="313">
        <v>8770</v>
      </c>
      <c r="AW160" s="313">
        <v>8395</v>
      </c>
      <c r="AX160" s="313">
        <v>8120</v>
      </c>
      <c r="AY160" s="313">
        <v>8052</v>
      </c>
      <c r="AZ160" s="313">
        <v>8179</v>
      </c>
      <c r="BA160" s="313">
        <v>8259</v>
      </c>
      <c r="BB160" s="313">
        <v>8223</v>
      </c>
      <c r="BC160" s="313">
        <v>8059</v>
      </c>
      <c r="BD160" s="313">
        <v>7937</v>
      </c>
      <c r="BE160" s="313">
        <v>9182</v>
      </c>
      <c r="BF160" s="351">
        <v>9156</v>
      </c>
      <c r="BG160" s="351">
        <v>9255</v>
      </c>
      <c r="BH160" s="351">
        <v>13680</v>
      </c>
      <c r="BI160" s="351">
        <v>13031</v>
      </c>
      <c r="BJ160" s="313">
        <v>12969</v>
      </c>
      <c r="BK160" s="313">
        <v>13010</v>
      </c>
      <c r="BL160" s="313">
        <v>11525</v>
      </c>
      <c r="BM160" s="313">
        <v>11428</v>
      </c>
      <c r="BN160" s="313">
        <v>11489</v>
      </c>
      <c r="BO160" s="313">
        <v>11363</v>
      </c>
      <c r="BP160" s="313">
        <v>9643</v>
      </c>
      <c r="BQ160" s="351">
        <v>9748</v>
      </c>
      <c r="BR160" s="351">
        <v>13328</v>
      </c>
      <c r="CX160" s="351">
        <v>29985</v>
      </c>
      <c r="CY160" s="351">
        <v>28851</v>
      </c>
      <c r="DX160" s="351"/>
      <c r="DY160" s="351">
        <v>2014</v>
      </c>
      <c r="EB160" s="351">
        <v>8223</v>
      </c>
    </row>
    <row r="161" spans="2:132" ht="12.75" customHeight="1" x14ac:dyDescent="0.2">
      <c r="B161" s="353" t="s">
        <v>396</v>
      </c>
      <c r="AM161" s="351">
        <v>294</v>
      </c>
      <c r="AN161" s="313"/>
      <c r="AO161" s="313"/>
      <c r="AP161" s="313">
        <v>1319</v>
      </c>
      <c r="AQ161" s="313">
        <v>1375</v>
      </c>
      <c r="AR161" s="313">
        <v>1361</v>
      </c>
      <c r="AS161" s="313">
        <v>1386</v>
      </c>
      <c r="AT161" s="313">
        <v>1493</v>
      </c>
      <c r="AU161" s="313">
        <v>1451</v>
      </c>
      <c r="AV161" s="313">
        <v>1454</v>
      </c>
      <c r="AW161" s="313">
        <v>1384</v>
      </c>
      <c r="AX161" s="313">
        <v>1432</v>
      </c>
      <c r="AY161" s="313">
        <v>1487</v>
      </c>
      <c r="AZ161" s="313">
        <v>1481</v>
      </c>
      <c r="BA161" s="313">
        <v>1505</v>
      </c>
      <c r="BB161" s="313">
        <v>1424</v>
      </c>
      <c r="BC161" s="313">
        <v>1672</v>
      </c>
      <c r="BD161" s="313">
        <v>1669</v>
      </c>
      <c r="BE161" s="313">
        <v>1725</v>
      </c>
      <c r="BF161" s="351">
        <v>1447</v>
      </c>
      <c r="BG161" s="351">
        <v>1895</v>
      </c>
      <c r="BH161" s="351">
        <v>1888</v>
      </c>
      <c r="BI161" s="351">
        <v>1889</v>
      </c>
      <c r="BJ161" s="313">
        <v>1800</v>
      </c>
      <c r="BK161" s="313">
        <v>1846</v>
      </c>
      <c r="BL161" s="313">
        <v>2276</v>
      </c>
      <c r="BM161" s="313">
        <v>2716</v>
      </c>
      <c r="BN161" s="313">
        <v>3136</v>
      </c>
      <c r="BO161" s="313">
        <v>3619</v>
      </c>
      <c r="BP161" s="313">
        <v>3685</v>
      </c>
      <c r="BQ161" s="351">
        <v>3613</v>
      </c>
      <c r="BR161" s="351">
        <v>3989</v>
      </c>
      <c r="CX161" s="351">
        <f>7487+5713</f>
        <v>13200</v>
      </c>
      <c r="CY161" s="351">
        <f>6424+5745</f>
        <v>12169</v>
      </c>
      <c r="DX161" s="351"/>
      <c r="DY161" s="351">
        <v>1319</v>
      </c>
      <c r="EB161" s="351">
        <v>1424</v>
      </c>
    </row>
    <row r="162" spans="2:132" ht="12.75" customHeight="1" x14ac:dyDescent="0.2">
      <c r="B162" s="353" t="s">
        <v>759</v>
      </c>
      <c r="AM162" s="351">
        <v>3284</v>
      </c>
      <c r="AN162" s="313"/>
      <c r="AO162" s="313"/>
      <c r="AP162" s="313">
        <v>5584</v>
      </c>
      <c r="AQ162" s="313">
        <v>5660</v>
      </c>
      <c r="AR162" s="313">
        <v>5654</v>
      </c>
      <c r="AS162" s="313">
        <v>6082</v>
      </c>
      <c r="AT162" s="313">
        <v>5402</v>
      </c>
      <c r="AU162" s="313">
        <v>5548</v>
      </c>
      <c r="AV162" s="313">
        <v>5572</v>
      </c>
      <c r="AW162" s="313">
        <v>5533</v>
      </c>
      <c r="AX162" s="313">
        <v>7791</v>
      </c>
      <c r="AY162" s="313">
        <v>7297</v>
      </c>
      <c r="AZ162" s="313">
        <v>7370</v>
      </c>
      <c r="BA162" s="313">
        <v>7111</v>
      </c>
      <c r="BB162" s="313">
        <v>6769</v>
      </c>
      <c r="BC162" s="313">
        <v>6254</v>
      </c>
      <c r="BD162" s="313">
        <v>6320</v>
      </c>
      <c r="BE162" s="313">
        <v>6409</v>
      </c>
      <c r="BF162" s="351">
        <v>6087</v>
      </c>
      <c r="BG162" s="351">
        <v>6125</v>
      </c>
      <c r="BH162" s="351">
        <v>6202</v>
      </c>
      <c r="BI162" s="351">
        <v>6215</v>
      </c>
      <c r="BJ162" s="313">
        <v>8353</v>
      </c>
      <c r="BK162" s="313">
        <v>8236</v>
      </c>
      <c r="BL162" s="313">
        <v>8180</v>
      </c>
      <c r="BM162" s="313">
        <v>7904</v>
      </c>
      <c r="BN162" s="313">
        <v>9082</v>
      </c>
      <c r="BO162" s="313">
        <v>8978</v>
      </c>
      <c r="BP162" s="313">
        <v>8996</v>
      </c>
      <c r="BQ162" s="351">
        <v>9038</v>
      </c>
      <c r="BR162" s="351">
        <v>7784</v>
      </c>
      <c r="CX162" s="351">
        <v>8898</v>
      </c>
      <c r="CY162" s="351">
        <v>8739</v>
      </c>
      <c r="DX162" s="351"/>
      <c r="DY162" s="351">
        <v>5584</v>
      </c>
      <c r="EB162" s="351">
        <v>6769</v>
      </c>
    </row>
    <row r="163" spans="2:132" ht="12.75" customHeight="1" x14ac:dyDescent="0.2">
      <c r="B163" s="353" t="s">
        <v>401</v>
      </c>
      <c r="AM163" s="351">
        <v>2260</v>
      </c>
      <c r="AN163" s="313"/>
      <c r="AO163" s="313"/>
      <c r="AP163" s="313">
        <v>3160</v>
      </c>
      <c r="AQ163" s="313">
        <v>3428</v>
      </c>
      <c r="AR163" s="313">
        <v>3550</v>
      </c>
      <c r="AS163" s="313">
        <v>3663</v>
      </c>
      <c r="AT163" s="313">
        <v>3829</v>
      </c>
      <c r="AU163" s="313">
        <v>4134</v>
      </c>
      <c r="AV163" s="313">
        <v>4102</v>
      </c>
      <c r="AW163" s="313">
        <v>3948</v>
      </c>
      <c r="AX163" s="313">
        <v>4206</v>
      </c>
      <c r="AY163" s="313">
        <v>4148</v>
      </c>
      <c r="AZ163" s="313">
        <v>4275</v>
      </c>
      <c r="BA163" s="313">
        <v>5054</v>
      </c>
      <c r="BB163" s="313">
        <v>5947</v>
      </c>
      <c r="BC163" s="313">
        <v>6043</v>
      </c>
      <c r="BD163" s="313">
        <v>6359</v>
      </c>
      <c r="BE163" s="313">
        <v>6226</v>
      </c>
      <c r="BF163" s="351">
        <v>6567</v>
      </c>
      <c r="BG163" s="351">
        <v>7001</v>
      </c>
      <c r="BH163" s="351">
        <v>7227</v>
      </c>
      <c r="BI163" s="351">
        <v>7473</v>
      </c>
      <c r="BJ163" s="313">
        <v>10631</v>
      </c>
      <c r="BK163" s="313">
        <v>10538</v>
      </c>
      <c r="BL163" s="313">
        <v>9487</v>
      </c>
      <c r="BM163" s="313">
        <v>9207</v>
      </c>
      <c r="BN163" s="313">
        <v>8552</v>
      </c>
      <c r="BO163" s="313">
        <v>8197</v>
      </c>
      <c r="BP163" s="313">
        <v>8569</v>
      </c>
      <c r="BQ163" s="351">
        <v>8895</v>
      </c>
      <c r="BR163" s="351">
        <v>7854</v>
      </c>
      <c r="CX163" s="351">
        <v>10686</v>
      </c>
      <c r="CY163" s="351">
        <v>10497</v>
      </c>
      <c r="DX163" s="351"/>
      <c r="DY163" s="351">
        <v>3160</v>
      </c>
      <c r="EB163" s="351">
        <v>5947</v>
      </c>
    </row>
    <row r="164" spans="2:132" ht="12.75" customHeight="1" x14ac:dyDescent="0.2">
      <c r="B164" s="353" t="s">
        <v>1501</v>
      </c>
      <c r="AM164" s="351">
        <f>SUM(AM159:AM163)</f>
        <v>21010</v>
      </c>
      <c r="AN164" s="313"/>
      <c r="AO164" s="313"/>
      <c r="AP164" s="313">
        <v>31238</v>
      </c>
      <c r="AQ164" s="313">
        <v>32138</v>
      </c>
      <c r="AR164" s="313">
        <v>31561</v>
      </c>
      <c r="AS164" s="313">
        <v>35092</v>
      </c>
      <c r="AT164" s="313">
        <v>37635</v>
      </c>
      <c r="AU164" s="313">
        <v>40370</v>
      </c>
      <c r="AV164" s="313">
        <v>41678</v>
      </c>
      <c r="AW164" s="313">
        <f t="shared" ref="AW164:BB164" si="731">SUM(AW159:AW163)</f>
        <v>41990</v>
      </c>
      <c r="AX164" s="313">
        <f t="shared" si="731"/>
        <v>42401</v>
      </c>
      <c r="AY164" s="313">
        <f t="shared" si="731"/>
        <v>42309</v>
      </c>
      <c r="AZ164" s="313">
        <f t="shared" si="731"/>
        <v>41191</v>
      </c>
      <c r="BA164" s="313">
        <f t="shared" si="731"/>
        <v>41174</v>
      </c>
      <c r="BB164" s="313">
        <f t="shared" si="731"/>
        <v>44094</v>
      </c>
      <c r="BC164" s="313">
        <f t="shared" ref="BC164:BF164" si="732">SUM(BC159:BC163)</f>
        <v>40527</v>
      </c>
      <c r="BD164" s="313">
        <f t="shared" ref="BD164" si="733">SUM(BD159:BD163)</f>
        <v>39449</v>
      </c>
      <c r="BE164" s="313">
        <f t="shared" si="732"/>
        <v>40956</v>
      </c>
      <c r="BF164" s="313">
        <f t="shared" si="732"/>
        <v>46329</v>
      </c>
      <c r="BG164" s="313">
        <f t="shared" ref="BG164" si="734">SUM(BG159:BG163)</f>
        <v>48287</v>
      </c>
      <c r="BH164" s="313">
        <f>SUM(BH159:BH163)</f>
        <v>49982</v>
      </c>
      <c r="BI164" s="313">
        <f t="shared" ref="BI164:BJ164" si="735">SUM(BI159:BI163)</f>
        <v>50294</v>
      </c>
      <c r="BJ164" s="313">
        <f t="shared" si="735"/>
        <v>56564</v>
      </c>
      <c r="BK164" s="313">
        <f t="shared" ref="BK164:BL164" si="736">SUM(BK159:BK163)</f>
        <v>54828</v>
      </c>
      <c r="BL164" s="313">
        <f t="shared" si="736"/>
        <v>55316</v>
      </c>
      <c r="BM164" s="313">
        <f t="shared" ref="BM164:BN164" si="737">SUM(BM159:BM163)</f>
        <v>55190</v>
      </c>
      <c r="BN164" s="313">
        <f t="shared" si="737"/>
        <v>56521</v>
      </c>
      <c r="BO164" s="313">
        <f t="shared" ref="BO164:BP164" si="738">SUM(BO159:BO163)</f>
        <v>54681</v>
      </c>
      <c r="BP164" s="313">
        <f t="shared" si="738"/>
        <v>54660</v>
      </c>
      <c r="BQ164" s="313">
        <f t="shared" ref="BQ164:BR164" si="739">SUM(BQ159:BQ163)</f>
        <v>57129</v>
      </c>
      <c r="BR164" s="313">
        <f t="shared" si="739"/>
        <v>58630</v>
      </c>
      <c r="CX164" s="351">
        <f t="shared" ref="CX164" si="740">SUM(CX159:CX163)</f>
        <v>107995</v>
      </c>
      <c r="CY164" s="351">
        <f>SUM(CY159:CY163)</f>
        <v>103646</v>
      </c>
      <c r="DX164" s="351"/>
      <c r="DY164" s="351">
        <f>SUM(DY159:DY163)</f>
        <v>31238</v>
      </c>
      <c r="EB164" s="351">
        <f>SUM(EB159:EB163)</f>
        <v>44094</v>
      </c>
    </row>
    <row r="165" spans="2:132" ht="12.75" customHeight="1" x14ac:dyDescent="0.2">
      <c r="B165" s="353" t="s">
        <v>1503</v>
      </c>
      <c r="AM165" s="351"/>
      <c r="AN165" s="313"/>
      <c r="AO165" s="313"/>
      <c r="AP165" s="313"/>
      <c r="AQ165" s="313"/>
      <c r="AR165" s="313"/>
      <c r="AS165" s="313"/>
      <c r="AT165" s="313"/>
      <c r="AU165" s="313"/>
      <c r="AV165" s="313"/>
      <c r="AW165" s="313"/>
      <c r="AX165" s="313"/>
      <c r="AY165" s="313"/>
      <c r="AZ165" s="313"/>
      <c r="BA165" s="313"/>
      <c r="BB165" s="313"/>
      <c r="BC165" s="313"/>
      <c r="BD165" s="313"/>
      <c r="BE165" s="313">
        <v>3120</v>
      </c>
      <c r="BF165" s="313">
        <v>3120</v>
      </c>
      <c r="BG165" s="313">
        <v>3120</v>
      </c>
      <c r="BH165" s="313">
        <v>3120</v>
      </c>
      <c r="BI165" s="313">
        <v>3120</v>
      </c>
      <c r="BJ165" s="313">
        <v>3120</v>
      </c>
      <c r="BK165" s="313">
        <v>3120</v>
      </c>
      <c r="BL165" s="313">
        <v>3120</v>
      </c>
      <c r="BM165" s="313">
        <v>3120</v>
      </c>
      <c r="BN165" s="313">
        <v>3120</v>
      </c>
      <c r="BO165" s="313">
        <v>3120</v>
      </c>
      <c r="BP165" s="313">
        <v>3120</v>
      </c>
      <c r="BQ165" s="313">
        <v>3120</v>
      </c>
      <c r="BR165" s="313">
        <v>3120</v>
      </c>
      <c r="CX165" s="351">
        <v>3120</v>
      </c>
      <c r="CY165" s="351">
        <v>3120</v>
      </c>
      <c r="DX165" s="351"/>
      <c r="DY165" s="351"/>
      <c r="EB165" s="351"/>
    </row>
    <row r="166" spans="2:132" ht="12.75" customHeight="1" x14ac:dyDescent="0.2">
      <c r="B166" s="353" t="s">
        <v>1504</v>
      </c>
      <c r="AM166" s="351"/>
      <c r="AN166" s="313"/>
      <c r="AO166" s="313"/>
      <c r="AP166" s="313"/>
      <c r="AQ166" s="313"/>
      <c r="AR166" s="313"/>
      <c r="AS166" s="313"/>
      <c r="AT166" s="313"/>
      <c r="AU166" s="313"/>
      <c r="AV166" s="313"/>
      <c r="AW166" s="313"/>
      <c r="AX166" s="313"/>
      <c r="AY166" s="313"/>
      <c r="AZ166" s="313"/>
      <c r="BA166" s="313"/>
      <c r="BB166" s="313"/>
      <c r="BC166" s="313"/>
      <c r="BD166" s="313"/>
      <c r="BE166" s="313">
        <v>-2924</v>
      </c>
      <c r="BF166" s="313">
        <v>-3531</v>
      </c>
      <c r="BG166" s="313">
        <v>-2020</v>
      </c>
      <c r="BH166" s="313">
        <v>-1192</v>
      </c>
      <c r="BI166" s="313">
        <v>-3068</v>
      </c>
      <c r="BJ166" s="313">
        <v>-5632</v>
      </c>
      <c r="BK166" s="313">
        <v>-4540</v>
      </c>
      <c r="BL166" s="313">
        <v>-6204</v>
      </c>
      <c r="BM166" s="313">
        <v>-4925</v>
      </c>
      <c r="BN166" s="313">
        <v>-5810</v>
      </c>
      <c r="BO166" s="313">
        <v>-6689</v>
      </c>
      <c r="BP166" s="313">
        <v>-6810</v>
      </c>
      <c r="BQ166" s="313">
        <v>-5346</v>
      </c>
      <c r="BR166" s="313">
        <v>-2860</v>
      </c>
      <c r="CX166" s="351">
        <v>-13058</v>
      </c>
      <c r="CY166" s="351">
        <v>-13757</v>
      </c>
      <c r="DX166" s="351"/>
      <c r="DY166" s="351"/>
      <c r="EB166" s="351"/>
    </row>
    <row r="167" spans="2:132" ht="12.75" customHeight="1" x14ac:dyDescent="0.2">
      <c r="B167" s="353" t="s">
        <v>1505</v>
      </c>
      <c r="AM167" s="351"/>
      <c r="AN167" s="313"/>
      <c r="AO167" s="313"/>
      <c r="AP167" s="313"/>
      <c r="AQ167" s="313"/>
      <c r="AR167" s="313"/>
      <c r="AS167" s="313"/>
      <c r="AT167" s="313"/>
      <c r="AU167" s="313"/>
      <c r="AV167" s="313"/>
      <c r="AW167" s="313"/>
      <c r="AX167" s="313"/>
      <c r="AY167" s="313"/>
      <c r="AZ167" s="313"/>
      <c r="BA167" s="313"/>
      <c r="BB167" s="313"/>
      <c r="BC167" s="313"/>
      <c r="BD167" s="313"/>
      <c r="BE167" s="313">
        <v>77272</v>
      </c>
      <c r="BF167" s="313">
        <v>77773</v>
      </c>
      <c r="BG167" s="313">
        <v>79515</v>
      </c>
      <c r="BH167" s="313">
        <v>80836</v>
      </c>
      <c r="BI167" s="313">
        <v>82634</v>
      </c>
      <c r="BJ167" s="313">
        <v>81251</v>
      </c>
      <c r="BK167" s="313">
        <v>83103</v>
      </c>
      <c r="BL167" s="313">
        <v>83530</v>
      </c>
      <c r="BM167" s="313">
        <v>84880</v>
      </c>
      <c r="BN167" s="313">
        <v>85992</v>
      </c>
      <c r="BO167" s="313">
        <v>87242</v>
      </c>
      <c r="BP167" s="313">
        <v>89449</v>
      </c>
      <c r="BQ167" s="313">
        <v>87703</v>
      </c>
      <c r="BR167" s="313">
        <v>89493</v>
      </c>
      <c r="CX167" s="351">
        <v>123060</v>
      </c>
      <c r="CY167" s="351">
        <v>124380</v>
      </c>
      <c r="DX167" s="351"/>
      <c r="DY167" s="351"/>
      <c r="EB167" s="351"/>
    </row>
    <row r="168" spans="2:132" ht="12.75" customHeight="1" x14ac:dyDescent="0.2">
      <c r="B168" s="353" t="s">
        <v>1506</v>
      </c>
      <c r="AM168" s="351"/>
      <c r="AN168" s="313"/>
      <c r="AO168" s="313"/>
      <c r="AP168" s="313"/>
      <c r="AQ168" s="313"/>
      <c r="AR168" s="313"/>
      <c r="AS168" s="313"/>
      <c r="AT168" s="313"/>
      <c r="AU168" s="313"/>
      <c r="AV168" s="313"/>
      <c r="AW168" s="313"/>
      <c r="AX168" s="313"/>
      <c r="AY168" s="313"/>
      <c r="AZ168" s="313"/>
      <c r="BA168" s="313"/>
      <c r="BB168" s="313"/>
      <c r="BC168" s="313"/>
      <c r="BD168" s="313"/>
      <c r="BE168" s="313">
        <v>-20177</v>
      </c>
      <c r="BF168" s="313">
        <v>-20783</v>
      </c>
      <c r="BG168" s="313">
        <v>-20752</v>
      </c>
      <c r="BH168" s="313">
        <v>-20632</v>
      </c>
      <c r="BI168" s="313">
        <v>-21159</v>
      </c>
      <c r="BJ168" s="313">
        <v>-21659</v>
      </c>
      <c r="BK168" s="313">
        <v>-20317</v>
      </c>
      <c r="BL168" s="313">
        <v>-20012</v>
      </c>
      <c r="BM168" s="313">
        <v>-19314</v>
      </c>
      <c r="BN168" s="313">
        <v>-18476</v>
      </c>
      <c r="BO168" s="313">
        <v>-16818</v>
      </c>
      <c r="BP168" s="313">
        <v>-16094</v>
      </c>
      <c r="BQ168" s="313">
        <v>-15673</v>
      </c>
      <c r="BR168" s="313">
        <v>-15700</v>
      </c>
      <c r="CX168" s="351">
        <v>39099</v>
      </c>
      <c r="CY168" s="351">
        <v>39034</v>
      </c>
      <c r="DX168" s="351"/>
      <c r="DY168" s="351"/>
      <c r="EB168" s="351"/>
    </row>
    <row r="169" spans="2:132" ht="12.75" customHeight="1" x14ac:dyDescent="0.2">
      <c r="B169" s="353" t="s">
        <v>409</v>
      </c>
      <c r="AM169" s="351">
        <v>41123</v>
      </c>
      <c r="AN169" s="313"/>
      <c r="AO169" s="313"/>
      <c r="AP169" s="313">
        <v>39318</v>
      </c>
      <c r="AQ169" s="313">
        <v>40925</v>
      </c>
      <c r="AR169" s="313">
        <v>43122</v>
      </c>
      <c r="AS169" s="313">
        <v>43573</v>
      </c>
      <c r="AT169" s="313">
        <v>43319</v>
      </c>
      <c r="AU169" s="313">
        <v>45625</v>
      </c>
      <c r="AV169" s="313">
        <v>46435</v>
      </c>
      <c r="AW169" s="313">
        <v>45734</v>
      </c>
      <c r="AX169" s="313">
        <v>42511</v>
      </c>
      <c r="AY169" s="313">
        <v>43791</v>
      </c>
      <c r="AZ169" s="313">
        <v>46247</v>
      </c>
      <c r="BA169" s="313">
        <v>50384</v>
      </c>
      <c r="BB169" s="313">
        <v>50588</v>
      </c>
      <c r="BC169" s="313">
        <v>52914</v>
      </c>
      <c r="BD169" s="313">
        <v>52851</v>
      </c>
      <c r="BE169" s="313">
        <f t="shared" ref="BE169:BR169" si="741">SUM(BE165:BE168)</f>
        <v>57291</v>
      </c>
      <c r="BF169" s="313">
        <f t="shared" si="741"/>
        <v>56579</v>
      </c>
      <c r="BG169" s="313">
        <f t="shared" si="741"/>
        <v>59863</v>
      </c>
      <c r="BH169" s="313">
        <f t="shared" si="741"/>
        <v>62132</v>
      </c>
      <c r="BI169" s="313">
        <f t="shared" si="741"/>
        <v>61527</v>
      </c>
      <c r="BJ169" s="313">
        <f t="shared" si="741"/>
        <v>57080</v>
      </c>
      <c r="BK169" s="313">
        <f t="shared" si="741"/>
        <v>61366</v>
      </c>
      <c r="BL169" s="313">
        <f t="shared" si="741"/>
        <v>60434</v>
      </c>
      <c r="BM169" s="313">
        <f t="shared" si="741"/>
        <v>63761</v>
      </c>
      <c r="BN169" s="313">
        <f t="shared" si="741"/>
        <v>64826</v>
      </c>
      <c r="BO169" s="313">
        <f t="shared" si="741"/>
        <v>66855</v>
      </c>
      <c r="BP169" s="313">
        <f t="shared" si="741"/>
        <v>69665</v>
      </c>
      <c r="BQ169" s="313">
        <f t="shared" si="741"/>
        <v>69804</v>
      </c>
      <c r="BR169" s="313">
        <f t="shared" si="741"/>
        <v>74053</v>
      </c>
      <c r="CX169" s="351">
        <f t="shared" ref="CX169" si="742">+CX167-CX168+CX165+CX166</f>
        <v>74023</v>
      </c>
      <c r="CY169" s="351">
        <f>+CY167-CY168+CY165+CY166</f>
        <v>74709</v>
      </c>
      <c r="DX169" s="351"/>
      <c r="DY169" s="351">
        <f>DY151-DY164</f>
        <v>39318</v>
      </c>
      <c r="EB169" s="351">
        <v>50558</v>
      </c>
    </row>
    <row r="170" spans="2:132" ht="12.75" customHeight="1" x14ac:dyDescent="0.2">
      <c r="B170" s="353" t="s">
        <v>385</v>
      </c>
      <c r="AM170" s="351">
        <f>AM169+AM164</f>
        <v>62133</v>
      </c>
      <c r="AN170" s="313"/>
      <c r="AO170" s="313"/>
      <c r="AP170" s="313">
        <v>70556</v>
      </c>
      <c r="AQ170" s="313">
        <v>73066</v>
      </c>
      <c r="AR170" s="313">
        <v>74683</v>
      </c>
      <c r="AS170" s="313">
        <v>78665</v>
      </c>
      <c r="AT170" s="313">
        <v>80954</v>
      </c>
      <c r="AU170" s="313">
        <v>85995</v>
      </c>
      <c r="AV170" s="313">
        <v>88113</v>
      </c>
      <c r="AW170" s="313">
        <f t="shared" ref="AW170:BB170" si="743">AW169+AW164</f>
        <v>87724</v>
      </c>
      <c r="AX170" s="313">
        <f t="shared" si="743"/>
        <v>84912</v>
      </c>
      <c r="AY170" s="313">
        <f t="shared" si="743"/>
        <v>86100</v>
      </c>
      <c r="AZ170" s="313">
        <f t="shared" si="743"/>
        <v>87438</v>
      </c>
      <c r="BA170" s="313">
        <f t="shared" si="743"/>
        <v>91558</v>
      </c>
      <c r="BB170" s="313">
        <f t="shared" si="743"/>
        <v>94682</v>
      </c>
      <c r="BC170" s="313">
        <f>BC169+BC164</f>
        <v>93441</v>
      </c>
      <c r="BD170" s="313">
        <f t="shared" ref="BD170" si="744">BD169+BD164</f>
        <v>92300</v>
      </c>
      <c r="BE170" s="313">
        <f t="shared" ref="BE170:BR170" si="745">BE169+BE164</f>
        <v>98247</v>
      </c>
      <c r="BF170" s="313">
        <f t="shared" si="745"/>
        <v>102908</v>
      </c>
      <c r="BG170" s="313">
        <f t="shared" si="745"/>
        <v>108150</v>
      </c>
      <c r="BH170" s="313">
        <f t="shared" si="745"/>
        <v>112114</v>
      </c>
      <c r="BI170" s="313">
        <f t="shared" si="745"/>
        <v>111821</v>
      </c>
      <c r="BJ170" s="313">
        <f t="shared" si="745"/>
        <v>113644</v>
      </c>
      <c r="BK170" s="313">
        <f t="shared" si="745"/>
        <v>116194</v>
      </c>
      <c r="BL170" s="313">
        <f t="shared" si="745"/>
        <v>115750</v>
      </c>
      <c r="BM170" s="313">
        <f t="shared" si="745"/>
        <v>118951</v>
      </c>
      <c r="BN170" s="313">
        <f t="shared" si="745"/>
        <v>121347</v>
      </c>
      <c r="BO170" s="313">
        <f t="shared" si="745"/>
        <v>121536</v>
      </c>
      <c r="BP170" s="313">
        <f t="shared" si="745"/>
        <v>124325</v>
      </c>
      <c r="BQ170" s="313">
        <f t="shared" si="745"/>
        <v>126933</v>
      </c>
      <c r="BR170" s="313">
        <f t="shared" si="745"/>
        <v>132683</v>
      </c>
      <c r="CX170" s="351">
        <f t="shared" ref="CX170" si="746">+CX169+CX164</f>
        <v>182018</v>
      </c>
      <c r="CY170" s="351">
        <f>+CY169+CY164</f>
        <v>178355</v>
      </c>
      <c r="DX170" s="409"/>
      <c r="DY170" s="409">
        <f>DY66/DY169</f>
        <v>0.28315275446360444</v>
      </c>
      <c r="EB170" s="409">
        <f>EB66/EB169</f>
        <v>0.33186637129633295</v>
      </c>
    </row>
    <row r="171" spans="2:132" ht="12.75" customHeight="1" x14ac:dyDescent="0.2">
      <c r="B171" s="353" t="s">
        <v>410</v>
      </c>
      <c r="AM171" s="409">
        <f>AM66/AM169*4</f>
        <v>0.32507355980837976</v>
      </c>
      <c r="AP171" s="409">
        <f t="shared" ref="AP171:BE171" si="747">AP66/AP169*4</f>
        <v>0.24263696017091407</v>
      </c>
      <c r="AQ171" s="409">
        <f t="shared" si="747"/>
        <v>0.33524740378741602</v>
      </c>
      <c r="AR171" s="409">
        <f t="shared" si="747"/>
        <v>0.28681415518760728</v>
      </c>
      <c r="AS171" s="409">
        <f t="shared" si="747"/>
        <v>0.28544447249443461</v>
      </c>
      <c r="AT171" s="409">
        <f t="shared" si="747"/>
        <v>0.26704429926821949</v>
      </c>
      <c r="AU171" s="409">
        <f t="shared" si="747"/>
        <v>0.31544109589041097</v>
      </c>
      <c r="AV171" s="409">
        <f t="shared" si="747"/>
        <v>0.2900398406374502</v>
      </c>
      <c r="AW171" s="409">
        <f t="shared" si="747"/>
        <v>0.28950015305899329</v>
      </c>
      <c r="AX171" s="409">
        <f t="shared" si="747"/>
        <v>0.2470889887323281</v>
      </c>
      <c r="AY171" s="409">
        <f t="shared" si="747"/>
        <v>0.32033979584846201</v>
      </c>
      <c r="AZ171" s="409">
        <f t="shared" si="747"/>
        <v>0.27746664648517744</v>
      </c>
      <c r="BA171" s="409">
        <f t="shared" si="747"/>
        <v>0.26556049539536358</v>
      </c>
      <c r="BB171" s="409">
        <f t="shared" si="747"/>
        <v>0.2280382699454416</v>
      </c>
      <c r="BC171" s="409">
        <f t="shared" si="747"/>
        <v>0.2733492081490721</v>
      </c>
      <c r="BD171" s="409">
        <f t="shared" ref="BD171" si="748">BD66/BD169*4</f>
        <v>0.26043026622012827</v>
      </c>
      <c r="BE171" s="409">
        <f t="shared" si="747"/>
        <v>0.23857150337749386</v>
      </c>
      <c r="BF171" s="409">
        <f t="shared" ref="BF171:BR171" si="749">BF66/BF169*4</f>
        <v>0.20247795118330122</v>
      </c>
      <c r="BG171" s="409">
        <f t="shared" si="749"/>
        <v>0.28525132385613816</v>
      </c>
      <c r="BH171" s="409">
        <f t="shared" si="749"/>
        <v>0.21663555011910127</v>
      </c>
      <c r="BI171" s="409">
        <f t="shared" si="749"/>
        <v>0.20816877143367951</v>
      </c>
      <c r="BJ171" s="409">
        <f t="shared" si="749"/>
        <v>0.39908899789768748</v>
      </c>
      <c r="BK171" s="409">
        <f t="shared" si="749"/>
        <v>0.254864257080468</v>
      </c>
      <c r="BL171" s="409">
        <f t="shared" si="749"/>
        <v>0.23966641294635471</v>
      </c>
      <c r="BM171" s="409">
        <f t="shared" si="749"/>
        <v>0.21624504007151707</v>
      </c>
      <c r="BN171" s="409">
        <f t="shared" si="749"/>
        <v>0.17616388486101256</v>
      </c>
      <c r="BO171" s="409">
        <f t="shared" si="749"/>
        <v>0.21563084286889536</v>
      </c>
      <c r="BP171" s="409">
        <f t="shared" si="749"/>
        <v>0.24947965262326849</v>
      </c>
      <c r="BQ171" s="409">
        <f t="shared" si="749"/>
        <v>0.22823906939430405</v>
      </c>
      <c r="BR171" s="409">
        <f t="shared" si="749"/>
        <v>0.19707803870201071</v>
      </c>
    </row>
    <row r="172" spans="2:132" ht="12.75" customHeight="1" x14ac:dyDescent="0.2">
      <c r="B172" s="353" t="s">
        <v>1496</v>
      </c>
      <c r="AM172" s="409"/>
      <c r="AP172" s="409"/>
      <c r="AQ172" s="409"/>
      <c r="AR172" s="409"/>
      <c r="AS172" s="409"/>
      <c r="AT172" s="409">
        <f t="shared" ref="AT172:BE172" si="750">AT169/AP169-1</f>
        <v>0.10176000813876596</v>
      </c>
      <c r="AU172" s="409">
        <f t="shared" si="750"/>
        <v>0.11484422724496035</v>
      </c>
      <c r="AV172" s="409">
        <f t="shared" si="750"/>
        <v>7.6828532999396959E-2</v>
      </c>
      <c r="AW172" s="409">
        <f t="shared" si="750"/>
        <v>4.9594932641773504E-2</v>
      </c>
      <c r="AX172" s="409">
        <f t="shared" si="750"/>
        <v>-1.8652323460837006E-2</v>
      </c>
      <c r="AY172" s="409">
        <f t="shared" si="750"/>
        <v>-4.0197260273972635E-2</v>
      </c>
      <c r="AZ172" s="409">
        <f t="shared" si="750"/>
        <v>-4.0486701841283557E-3</v>
      </c>
      <c r="BA172" s="409">
        <f t="shared" si="750"/>
        <v>0.10167490269821133</v>
      </c>
      <c r="BB172" s="409">
        <f t="shared" si="750"/>
        <v>0.18999788290089614</v>
      </c>
      <c r="BC172" s="409">
        <f t="shared" si="750"/>
        <v>0.20833047886552025</v>
      </c>
      <c r="BD172" s="409">
        <f t="shared" si="750"/>
        <v>0.14279845179146755</v>
      </c>
      <c r="BE172" s="409">
        <f t="shared" si="750"/>
        <v>0.13708717053032715</v>
      </c>
      <c r="BF172" s="409">
        <f t="shared" ref="BF172:BR172" si="751">BF169/BB169-1</f>
        <v>0.11842729501067439</v>
      </c>
      <c r="BG172" s="409">
        <f t="shared" si="751"/>
        <v>0.1313263030577918</v>
      </c>
      <c r="BH172" s="409">
        <f t="shared" si="751"/>
        <v>0.17560689485534797</v>
      </c>
      <c r="BI172" s="409">
        <f t="shared" si="751"/>
        <v>7.39383149185735E-2</v>
      </c>
      <c r="BJ172" s="409">
        <f t="shared" si="751"/>
        <v>8.8548754838366772E-3</v>
      </c>
      <c r="BK172" s="409">
        <f t="shared" si="751"/>
        <v>2.5107328399846418E-2</v>
      </c>
      <c r="BL172" s="409">
        <f t="shared" si="751"/>
        <v>-2.7328912637610281E-2</v>
      </c>
      <c r="BM172" s="409">
        <f t="shared" si="751"/>
        <v>3.630926260015932E-2</v>
      </c>
      <c r="BN172" s="409">
        <f t="shared" si="751"/>
        <v>0.13570427470217239</v>
      </c>
      <c r="BO172" s="409">
        <f t="shared" si="751"/>
        <v>8.9446925007333089E-2</v>
      </c>
      <c r="BP172" s="409">
        <f t="shared" si="751"/>
        <v>0.15274514346228951</v>
      </c>
      <c r="BQ172" s="409">
        <f t="shared" si="751"/>
        <v>9.4775803390787505E-2</v>
      </c>
      <c r="BR172" s="409">
        <f t="shared" si="751"/>
        <v>0.1423348656403296</v>
      </c>
    </row>
    <row r="173" spans="2:132" ht="12.75" customHeight="1" x14ac:dyDescent="0.2">
      <c r="AM173" s="409"/>
      <c r="AP173" s="409"/>
      <c r="AQ173" s="409"/>
      <c r="AR173" s="409"/>
      <c r="AS173" s="409"/>
      <c r="AT173" s="409"/>
      <c r="AU173" s="409"/>
      <c r="AV173" s="409"/>
      <c r="AW173" s="409"/>
      <c r="AX173" s="409"/>
      <c r="AY173" s="409"/>
      <c r="AZ173" s="409"/>
      <c r="BA173" s="409"/>
      <c r="BB173" s="409"/>
      <c r="BC173" s="409"/>
      <c r="BD173" s="409"/>
      <c r="BE173" s="409"/>
      <c r="BF173" s="409"/>
      <c r="BG173" s="409"/>
      <c r="BH173" s="409"/>
      <c r="BI173" s="409"/>
      <c r="BN173" s="409"/>
      <c r="BO173" s="409"/>
      <c r="BP173" s="409"/>
      <c r="BQ173" s="409"/>
    </row>
    <row r="174" spans="2:132" ht="12.75" customHeight="1" x14ac:dyDescent="0.2">
      <c r="B174" s="353" t="s">
        <v>1644</v>
      </c>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J174" s="351">
        <v>3119.8429999999998</v>
      </c>
      <c r="BK174" s="351">
        <v>3119.8429999999998</v>
      </c>
      <c r="BL174" s="351">
        <v>3119.8429999999998</v>
      </c>
      <c r="BM174" s="351">
        <v>3119.8429999999998</v>
      </c>
      <c r="BN174" s="351">
        <v>3119.8429999999998</v>
      </c>
      <c r="BO174" s="351">
        <v>3119.8429999999998</v>
      </c>
      <c r="BP174" s="351">
        <v>3119.8429999999998</v>
      </c>
      <c r="BQ174" s="351">
        <v>3119.8429999999998</v>
      </c>
      <c r="BR174" s="351">
        <v>3119.8429999999998</v>
      </c>
    </row>
    <row r="175" spans="2:132" ht="12.75" customHeight="1" x14ac:dyDescent="0.2">
      <c r="B175" s="353" t="s">
        <v>1506</v>
      </c>
      <c r="AM175" s="409"/>
      <c r="AP175" s="409"/>
      <c r="AQ175" s="409"/>
      <c r="AR175" s="409"/>
      <c r="AS175" s="409"/>
      <c r="AT175" s="409"/>
      <c r="AU175" s="409"/>
      <c r="AV175" s="409"/>
      <c r="AW175" s="409"/>
      <c r="AX175" s="409"/>
      <c r="AY175" s="409"/>
      <c r="AZ175" s="409"/>
      <c r="BA175" s="409"/>
      <c r="BB175" s="409"/>
      <c r="BC175" s="409"/>
      <c r="BD175" s="409"/>
      <c r="BE175" s="409"/>
      <c r="BF175" s="409"/>
      <c r="BG175" s="409"/>
      <c r="BH175" s="409"/>
      <c r="BI175" s="409"/>
      <c r="BJ175" s="351">
        <v>395.48</v>
      </c>
      <c r="BK175" s="351">
        <v>374.12200000000001</v>
      </c>
      <c r="BL175" s="351">
        <v>369.28399999999999</v>
      </c>
      <c r="BM175" s="351">
        <v>357.28500000000003</v>
      </c>
      <c r="BN175" s="351">
        <v>341.35399999999998</v>
      </c>
      <c r="BO175" s="351">
        <v>316.67899999999997</v>
      </c>
      <c r="BP175" s="351">
        <v>305.65499999999997</v>
      </c>
      <c r="BQ175" s="351">
        <v>299.18400000000003</v>
      </c>
      <c r="BR175" s="351">
        <v>299.21499999999997</v>
      </c>
    </row>
    <row r="176" spans="2:132" ht="12.75" customHeight="1" x14ac:dyDescent="0.2">
      <c r="B176" s="353" t="s">
        <v>1645</v>
      </c>
      <c r="AM176" s="409"/>
      <c r="AP176" s="409"/>
      <c r="AQ176" s="409"/>
      <c r="AR176" s="409"/>
      <c r="AS176" s="409"/>
      <c r="AT176" s="409"/>
      <c r="AU176" s="409"/>
      <c r="AV176" s="409"/>
      <c r="AW176" s="409"/>
      <c r="AX176" s="409"/>
      <c r="AY176" s="409"/>
      <c r="AZ176" s="409"/>
      <c r="BA176" s="409"/>
      <c r="BB176" s="409"/>
      <c r="BC176" s="409"/>
      <c r="BD176" s="409"/>
      <c r="BE176" s="409"/>
      <c r="BF176" s="409"/>
      <c r="BG176" s="409"/>
      <c r="BH176" s="409"/>
      <c r="BI176" s="409"/>
      <c r="BJ176" s="351">
        <f t="shared" ref="BJ176:BR176" si="752">+BJ174-BJ175</f>
        <v>2724.3629999999998</v>
      </c>
      <c r="BK176" s="351">
        <f t="shared" si="752"/>
        <v>2745.721</v>
      </c>
      <c r="BL176" s="351">
        <f t="shared" si="752"/>
        <v>2750.5589999999997</v>
      </c>
      <c r="BM176" s="351">
        <f t="shared" si="752"/>
        <v>2762.558</v>
      </c>
      <c r="BN176" s="351">
        <f t="shared" si="752"/>
        <v>2778.489</v>
      </c>
      <c r="BO176" s="351">
        <f t="shared" si="752"/>
        <v>2803.1639999999998</v>
      </c>
      <c r="BP176" s="351">
        <f t="shared" si="752"/>
        <v>2814.1880000000001</v>
      </c>
      <c r="BQ176" s="351">
        <f t="shared" si="752"/>
        <v>2820.6589999999997</v>
      </c>
      <c r="BR176" s="351">
        <f t="shared" si="752"/>
        <v>2820.6279999999997</v>
      </c>
    </row>
    <row r="177" spans="2:156" ht="12.75" customHeight="1" x14ac:dyDescent="0.2">
      <c r="AM177" s="351"/>
      <c r="AY177" s="354"/>
    </row>
    <row r="178" spans="2:156" ht="12.75" customHeight="1" x14ac:dyDescent="0.2">
      <c r="B178" s="353" t="s">
        <v>1558</v>
      </c>
      <c r="AM178" s="351"/>
      <c r="AY178" s="354"/>
      <c r="BD178" s="351">
        <f t="shared" ref="BD178:BG178" si="753">SUM(BA179:BD179)</f>
        <v>17908</v>
      </c>
      <c r="BE178" s="351">
        <f t="shared" si="753"/>
        <v>17848</v>
      </c>
      <c r="BF178" s="351">
        <f t="shared" si="753"/>
        <v>16385</v>
      </c>
      <c r="BG178" s="351">
        <f t="shared" si="753"/>
        <v>15011</v>
      </c>
      <c r="BH178" s="351">
        <f>SUM(BE179:BH179)</f>
        <v>15083</v>
      </c>
      <c r="BI178" s="351">
        <f>SUM(BF179:BI179)</f>
        <v>14671</v>
      </c>
      <c r="BJ178" s="351">
        <f t="shared" ref="BJ178:BR178" si="754">SUM(BG179:BJ179)</f>
        <v>10847</v>
      </c>
      <c r="BK178" s="351">
        <f t="shared" si="754"/>
        <v>8531</v>
      </c>
      <c r="BL178" s="351">
        <f t="shared" si="754"/>
        <v>4622</v>
      </c>
      <c r="BM178" s="351">
        <f t="shared" si="754"/>
        <v>0</v>
      </c>
      <c r="BN178" s="351">
        <f t="shared" si="754"/>
        <v>0</v>
      </c>
      <c r="BO178" s="351">
        <f t="shared" si="754"/>
        <v>2277</v>
      </c>
      <c r="BP178" s="351">
        <f t="shared" si="754"/>
        <v>7328</v>
      </c>
      <c r="BQ178" s="351">
        <f t="shared" si="754"/>
        <v>13275</v>
      </c>
      <c r="BR178" s="351">
        <f t="shared" si="754"/>
        <v>17414</v>
      </c>
    </row>
    <row r="179" spans="2:156" ht="12.75" customHeight="1" x14ac:dyDescent="0.2">
      <c r="B179" s="353" t="s">
        <v>411</v>
      </c>
      <c r="AI179" s="351">
        <f>SUM(AI181:AI194)</f>
        <v>2635</v>
      </c>
      <c r="AM179" s="351">
        <f>SUM(AM181:AM194)</f>
        <v>3474</v>
      </c>
      <c r="AQ179" s="313">
        <v>3837</v>
      </c>
      <c r="AR179" s="313">
        <f>6734-AQ179</f>
        <v>2897</v>
      </c>
      <c r="AS179" s="313">
        <f>10925-AR179-AQ179</f>
        <v>4191</v>
      </c>
      <c r="AT179" s="313">
        <f>15249-AS179-AR179-AQ179</f>
        <v>4324</v>
      </c>
      <c r="AU179" s="313">
        <v>3236</v>
      </c>
      <c r="AV179" s="313">
        <f>6078-AU179</f>
        <v>2842</v>
      </c>
      <c r="AW179" s="313">
        <f>10971-AV179-AU179</f>
        <v>4893</v>
      </c>
      <c r="AX179" s="313">
        <f>14972-AW179-AV179-AU179</f>
        <v>4001</v>
      </c>
      <c r="AY179" s="313">
        <v>2827</v>
      </c>
      <c r="AZ179" s="313">
        <v>3363</v>
      </c>
      <c r="BA179" s="313">
        <v>5094</v>
      </c>
      <c r="BB179" s="313">
        <v>5287</v>
      </c>
      <c r="BC179" s="313">
        <v>3690</v>
      </c>
      <c r="BD179" s="313">
        <v>3837</v>
      </c>
      <c r="BE179" s="313">
        <v>5034</v>
      </c>
      <c r="BF179" s="351">
        <f>16385-BE179-BD179-BC179</f>
        <v>3824</v>
      </c>
      <c r="BG179" s="313">
        <v>2316</v>
      </c>
      <c r="BH179" s="351">
        <f>6225-BG179</f>
        <v>3909</v>
      </c>
      <c r="BI179" s="351">
        <f>10847-BH179-BG179</f>
        <v>4622</v>
      </c>
      <c r="BO179" s="351">
        <v>2277</v>
      </c>
      <c r="BP179" s="351">
        <f>7328-BO179</f>
        <v>5051</v>
      </c>
      <c r="BQ179" s="351">
        <f>13275-BP179-BO179</f>
        <v>5947</v>
      </c>
      <c r="BR179" s="351">
        <f>17414-BQ179-BP179-BO179</f>
        <v>4139</v>
      </c>
      <c r="DG179" s="419"/>
    </row>
    <row r="180" spans="2:156" ht="12.75" customHeight="1" x14ac:dyDescent="0.2">
      <c r="B180" s="353" t="s">
        <v>392</v>
      </c>
      <c r="AI180" s="351">
        <f>AI179+AI196</f>
        <v>2238</v>
      </c>
      <c r="AM180" s="351">
        <f>AM179+AM196</f>
        <v>3028</v>
      </c>
      <c r="AQ180" s="313">
        <f t="shared" ref="AQ180:AW180" si="755">AQ179+AQ196</f>
        <v>3391</v>
      </c>
      <c r="AR180" s="313">
        <f t="shared" si="755"/>
        <v>2298</v>
      </c>
      <c r="AS180" s="313">
        <f t="shared" si="755"/>
        <v>3532</v>
      </c>
      <c r="AT180" s="313">
        <f t="shared" si="755"/>
        <v>3086</v>
      </c>
      <c r="AU180" s="313">
        <f t="shared" si="755"/>
        <v>2757</v>
      </c>
      <c r="AV180" s="313">
        <f t="shared" si="755"/>
        <v>2155</v>
      </c>
      <c r="AW180" s="313">
        <f t="shared" si="755"/>
        <v>4121</v>
      </c>
      <c r="AX180" s="313">
        <f>AX179+AX196</f>
        <v>2873</v>
      </c>
      <c r="AY180" s="313">
        <f t="shared" ref="AY180:BB180" si="756">AY179+AY196</f>
        <v>2392</v>
      </c>
      <c r="AZ180" s="313">
        <f t="shared" si="756"/>
        <v>2796</v>
      </c>
      <c r="BA180" s="313">
        <f t="shared" si="756"/>
        <v>4575</v>
      </c>
      <c r="BB180" s="313">
        <f t="shared" si="756"/>
        <v>4443</v>
      </c>
      <c r="BC180" s="313">
        <f>BC179+BC196</f>
        <v>3293</v>
      </c>
      <c r="BD180" s="313">
        <f t="shared" ref="BD180:BE180" si="757">BD179+BD196</f>
        <v>3337</v>
      </c>
      <c r="BE180" s="313">
        <f t="shared" si="757"/>
        <v>4506</v>
      </c>
      <c r="BF180" s="313">
        <f>BF179+BF196</f>
        <v>2865</v>
      </c>
      <c r="BG180" s="313">
        <f>BG179+BG196</f>
        <v>2001</v>
      </c>
      <c r="BH180" s="313">
        <f t="shared" ref="BH180:BR180" si="758">BH179+BH196</f>
        <v>3313</v>
      </c>
      <c r="BI180" s="313">
        <f t="shared" si="758"/>
        <v>4489</v>
      </c>
      <c r="BJ180" s="313">
        <f t="shared" si="758"/>
        <v>0</v>
      </c>
      <c r="BK180" s="313">
        <f t="shared" si="758"/>
        <v>0</v>
      </c>
      <c r="BL180" s="313">
        <f t="shared" si="758"/>
        <v>0</v>
      </c>
      <c r="BM180" s="313">
        <f t="shared" si="758"/>
        <v>0</v>
      </c>
      <c r="BN180" s="313">
        <f t="shared" si="758"/>
        <v>0</v>
      </c>
      <c r="BO180" s="313">
        <f t="shared" si="758"/>
        <v>1691</v>
      </c>
      <c r="BP180" s="313">
        <f t="shared" si="758"/>
        <v>4280</v>
      </c>
      <c r="BQ180" s="313">
        <f t="shared" si="758"/>
        <v>5138</v>
      </c>
      <c r="BR180" s="313">
        <f t="shared" si="758"/>
        <v>2710</v>
      </c>
      <c r="DG180" s="419"/>
    </row>
    <row r="181" spans="2:156" ht="12.75" customHeight="1" x14ac:dyDescent="0.2">
      <c r="B181" s="58" t="s">
        <v>1373</v>
      </c>
      <c r="AI181" s="351"/>
      <c r="AM181" s="351"/>
      <c r="AP181" s="313"/>
      <c r="AQ181" s="313">
        <f t="shared" ref="AQ181:AZ181" si="759">+AQ137-AP137</f>
        <v>1004</v>
      </c>
      <c r="AR181" s="313">
        <f t="shared" si="759"/>
        <v>994</v>
      </c>
      <c r="AS181" s="313">
        <f t="shared" si="759"/>
        <v>926</v>
      </c>
      <c r="AT181" s="313">
        <f t="shared" si="759"/>
        <v>-651</v>
      </c>
      <c r="AU181" s="313">
        <f t="shared" si="759"/>
        <v>-49</v>
      </c>
      <c r="AV181" s="313">
        <f t="shared" si="759"/>
        <v>-596</v>
      </c>
      <c r="AW181" s="313">
        <f t="shared" si="759"/>
        <v>1026</v>
      </c>
      <c r="AX181" s="313">
        <f t="shared" si="759"/>
        <v>800</v>
      </c>
      <c r="AY181" s="313">
        <f t="shared" si="759"/>
        <v>-1085</v>
      </c>
      <c r="AZ181" s="313">
        <f t="shared" si="759"/>
        <v>1244</v>
      </c>
      <c r="BA181" s="313">
        <f t="shared" ref="BA181:BI181" si="760">+BA137-AZ137</f>
        <v>1636</v>
      </c>
      <c r="BB181" s="313">
        <f t="shared" si="760"/>
        <v>2128</v>
      </c>
      <c r="BC181" s="313">
        <f t="shared" si="760"/>
        <v>1023</v>
      </c>
      <c r="BD181" s="313">
        <f t="shared" si="760"/>
        <v>1342</v>
      </c>
      <c r="BE181" s="313">
        <f t="shared" si="760"/>
        <v>2852</v>
      </c>
      <c r="BF181" s="313">
        <f t="shared" si="760"/>
        <v>784</v>
      </c>
      <c r="BG181" s="313">
        <f t="shared" si="760"/>
        <v>-1848</v>
      </c>
      <c r="BH181" s="313">
        <f t="shared" si="760"/>
        <v>1919</v>
      </c>
      <c r="BI181" s="313">
        <f t="shared" si="760"/>
        <v>1614</v>
      </c>
      <c r="BJ181" s="313">
        <f t="shared" ref="BJ181" si="761">+BJ137-BI137</f>
        <v>64</v>
      </c>
      <c r="BK181" s="313">
        <f t="shared" ref="BK181" si="762">+BK137-BJ137</f>
        <v>1764</v>
      </c>
      <c r="BL181" s="313">
        <f t="shared" ref="BL181" si="763">+BL137-BK137</f>
        <v>-15048</v>
      </c>
      <c r="BM181" s="313">
        <f t="shared" ref="BM181" si="764">+BM137-BL137</f>
        <v>3570</v>
      </c>
      <c r="BN181" s="313">
        <f t="shared" ref="BN181" si="765">+BN137-BM137</f>
        <v>2004</v>
      </c>
      <c r="BO181" s="313">
        <f t="shared" ref="BO181" si="766">+BO137-BN137</f>
        <v>852</v>
      </c>
      <c r="BP181" s="313">
        <f t="shared" ref="BP181" si="767">+BP137-BO137</f>
        <v>4371</v>
      </c>
      <c r="BQ181" s="313">
        <f t="shared" ref="BQ181" si="768">+BQ137-BP137</f>
        <v>-26</v>
      </c>
      <c r="BR181" s="313">
        <f t="shared" ref="BR181" si="769">+BR137-BQ137</f>
        <v>905</v>
      </c>
    </row>
    <row r="182" spans="2:156" ht="12.75" customHeight="1" x14ac:dyDescent="0.2">
      <c r="AM182" s="351"/>
      <c r="AQ182" s="313"/>
      <c r="AR182" s="313"/>
      <c r="AS182" s="313"/>
      <c r="AT182" s="313"/>
      <c r="AU182" s="313"/>
      <c r="AV182" s="313"/>
    </row>
    <row r="183" spans="2:156" s="229" customFormat="1" ht="12.75" customHeight="1" x14ac:dyDescent="0.2">
      <c r="B183" s="229" t="s">
        <v>1374</v>
      </c>
      <c r="C183" s="396"/>
      <c r="D183" s="396"/>
      <c r="E183" s="396"/>
      <c r="F183" s="396"/>
      <c r="G183" s="396"/>
      <c r="H183" s="396"/>
      <c r="I183" s="396"/>
      <c r="J183" s="396"/>
      <c r="K183" s="396"/>
      <c r="L183" s="396"/>
      <c r="M183" s="396"/>
      <c r="N183" s="396"/>
      <c r="O183" s="396"/>
      <c r="P183" s="396"/>
      <c r="Q183" s="396"/>
      <c r="R183" s="396"/>
      <c r="S183" s="396"/>
      <c r="T183" s="396"/>
      <c r="U183" s="396"/>
      <c r="V183" s="396"/>
      <c r="W183" s="396"/>
      <c r="X183" s="396"/>
      <c r="Y183" s="396"/>
      <c r="Z183" s="396"/>
      <c r="AA183" s="396"/>
      <c r="AB183" s="396"/>
      <c r="AC183" s="396"/>
      <c r="AD183" s="396"/>
      <c r="AE183" s="396"/>
      <c r="AF183" s="396"/>
      <c r="AG183" s="396"/>
      <c r="AH183" s="396"/>
      <c r="AI183" s="379">
        <v>2839</v>
      </c>
      <c r="AJ183" s="396"/>
      <c r="AK183" s="396"/>
      <c r="AL183" s="396"/>
      <c r="AM183" s="379">
        <v>3305</v>
      </c>
      <c r="AN183" s="398"/>
      <c r="AO183" s="398"/>
      <c r="AP183" s="398"/>
      <c r="AQ183" s="380">
        <f t="shared" ref="AQ183:BR183" si="770">AQ66</f>
        <v>3430</v>
      </c>
      <c r="AR183" s="380">
        <f t="shared" si="770"/>
        <v>3092</v>
      </c>
      <c r="AS183" s="380">
        <f t="shared" si="770"/>
        <v>3109.4179999999997</v>
      </c>
      <c r="AT183" s="380">
        <f t="shared" si="770"/>
        <v>2892.0230000000001</v>
      </c>
      <c r="AU183" s="380">
        <f t="shared" si="770"/>
        <v>3598</v>
      </c>
      <c r="AV183" s="380">
        <f t="shared" si="770"/>
        <v>3367</v>
      </c>
      <c r="AW183" s="380">
        <f t="shared" si="770"/>
        <v>3310</v>
      </c>
      <c r="AX183" s="380">
        <f t="shared" si="770"/>
        <v>2626</v>
      </c>
      <c r="AY183" s="380">
        <f t="shared" si="770"/>
        <v>3507</v>
      </c>
      <c r="AZ183" s="380">
        <f t="shared" si="770"/>
        <v>3208</v>
      </c>
      <c r="BA183" s="380">
        <f t="shared" si="770"/>
        <v>3345</v>
      </c>
      <c r="BB183" s="380">
        <f t="shared" si="770"/>
        <v>2884</v>
      </c>
      <c r="BC183" s="380">
        <f t="shared" si="770"/>
        <v>3616</v>
      </c>
      <c r="BD183" s="380">
        <f t="shared" si="770"/>
        <v>3441</v>
      </c>
      <c r="BE183" s="380">
        <f t="shared" si="770"/>
        <v>3417</v>
      </c>
      <c r="BF183" s="380">
        <f t="shared" si="770"/>
        <v>2864</v>
      </c>
      <c r="BG183" s="380">
        <f t="shared" si="770"/>
        <v>4269</v>
      </c>
      <c r="BH183" s="380">
        <f t="shared" si="770"/>
        <v>3365</v>
      </c>
      <c r="BI183" s="380">
        <f t="shared" si="770"/>
        <v>3202</v>
      </c>
      <c r="BJ183" s="380">
        <f t="shared" si="770"/>
        <v>5695</v>
      </c>
      <c r="BK183" s="380">
        <f t="shared" si="770"/>
        <v>3910</v>
      </c>
      <c r="BL183" s="380">
        <f t="shared" si="770"/>
        <v>3621</v>
      </c>
      <c r="BM183" s="380">
        <f t="shared" si="770"/>
        <v>3447</v>
      </c>
      <c r="BN183" s="380">
        <f t="shared" si="770"/>
        <v>2855</v>
      </c>
      <c r="BO183" s="380">
        <f t="shared" si="770"/>
        <v>3604</v>
      </c>
      <c r="BP183" s="380">
        <f t="shared" si="770"/>
        <v>4345</v>
      </c>
      <c r="BQ183" s="380">
        <f t="shared" si="770"/>
        <v>3983</v>
      </c>
      <c r="BR183" s="380">
        <f t="shared" si="770"/>
        <v>3648.5549999999998</v>
      </c>
      <c r="BS183" s="396"/>
      <c r="BT183" s="396"/>
      <c r="BU183" s="396"/>
      <c r="BV183" s="396"/>
      <c r="BW183" s="396"/>
      <c r="BX183" s="396"/>
      <c r="BY183" s="396"/>
      <c r="BZ183" s="396"/>
      <c r="CA183" s="396"/>
      <c r="CB183" s="396"/>
      <c r="CC183" s="396"/>
      <c r="CD183" s="396"/>
      <c r="CE183" s="396"/>
      <c r="CF183" s="396"/>
      <c r="CG183" s="396"/>
      <c r="CH183" s="396"/>
      <c r="CI183" s="396"/>
      <c r="CJ183" s="396"/>
      <c r="CK183" s="396"/>
      <c r="CL183" s="396"/>
      <c r="CM183" s="396"/>
      <c r="CN183" s="396"/>
      <c r="CO183" s="396"/>
      <c r="CP183" s="396"/>
      <c r="CQ183" s="396"/>
      <c r="CR183" s="396"/>
      <c r="CS183" s="396"/>
      <c r="CT183" s="396"/>
      <c r="CU183" s="396"/>
      <c r="CV183" s="396"/>
      <c r="CW183" s="396"/>
      <c r="CX183" s="396"/>
      <c r="CY183" s="396"/>
      <c r="CZ183" s="396"/>
      <c r="DA183" s="396"/>
      <c r="DB183" s="396"/>
      <c r="DC183" s="396"/>
      <c r="DD183" s="396"/>
      <c r="DE183" s="396"/>
      <c r="DF183" s="396"/>
      <c r="DG183" s="420"/>
      <c r="DH183" s="396"/>
      <c r="DI183" s="396"/>
      <c r="DJ183" s="396"/>
      <c r="DK183" s="396"/>
      <c r="DL183" s="396"/>
      <c r="DM183" s="396"/>
      <c r="DN183" s="396"/>
      <c r="DO183" s="396"/>
      <c r="DP183" s="396"/>
      <c r="DQ183" s="396"/>
      <c r="DR183" s="396"/>
      <c r="DS183" s="396"/>
      <c r="DT183" s="396"/>
      <c r="DU183" s="396"/>
      <c r="DV183" s="396"/>
      <c r="DW183" s="396"/>
      <c r="DX183" s="396"/>
      <c r="DY183" s="396"/>
      <c r="DZ183" s="396"/>
      <c r="EA183" s="396"/>
      <c r="EB183" s="396"/>
      <c r="EC183" s="396"/>
      <c r="ED183" s="396"/>
      <c r="EE183" s="396"/>
      <c r="EF183" s="396"/>
      <c r="EG183" s="396"/>
      <c r="EH183" s="396"/>
      <c r="EI183" s="396"/>
      <c r="EJ183" s="396"/>
      <c r="EK183" s="396"/>
      <c r="EL183" s="396"/>
      <c r="EM183" s="396"/>
      <c r="EZ183" s="420"/>
    </row>
    <row r="184" spans="2:156" s="229" customFormat="1" ht="12.75" customHeight="1" x14ac:dyDescent="0.2">
      <c r="B184" s="229" t="s">
        <v>364</v>
      </c>
      <c r="C184" s="396"/>
      <c r="D184" s="396"/>
      <c r="E184" s="396"/>
      <c r="F184" s="396"/>
      <c r="G184" s="396"/>
      <c r="H184" s="396"/>
      <c r="I184" s="396"/>
      <c r="J184" s="396"/>
      <c r="K184" s="396"/>
      <c r="L184" s="396"/>
      <c r="M184" s="396"/>
      <c r="N184" s="396"/>
      <c r="O184" s="396"/>
      <c r="P184" s="396"/>
      <c r="Q184" s="396"/>
      <c r="R184" s="396"/>
      <c r="S184" s="396"/>
      <c r="T184" s="396"/>
      <c r="U184" s="396"/>
      <c r="V184" s="396"/>
      <c r="W184" s="396"/>
      <c r="X184" s="396"/>
      <c r="Y184" s="396"/>
      <c r="Z184" s="396"/>
      <c r="AA184" s="396"/>
      <c r="AB184" s="396"/>
      <c r="AC184" s="396"/>
      <c r="AD184" s="396"/>
      <c r="AE184" s="396"/>
      <c r="AF184" s="396"/>
      <c r="AG184" s="396"/>
      <c r="AH184" s="396"/>
      <c r="AI184" s="379"/>
      <c r="AJ184" s="396"/>
      <c r="AK184" s="396"/>
      <c r="AL184" s="396"/>
      <c r="AM184" s="379"/>
      <c r="AN184" s="398"/>
      <c r="AO184" s="398"/>
      <c r="AP184" s="398"/>
      <c r="AQ184" s="380"/>
      <c r="AR184" s="380"/>
      <c r="AS184" s="380"/>
      <c r="AT184" s="380"/>
      <c r="AU184" s="380"/>
      <c r="AV184" s="380"/>
      <c r="AW184" s="380"/>
      <c r="AX184" s="380"/>
      <c r="AY184" s="380">
        <v>3507</v>
      </c>
      <c r="AZ184" s="380">
        <f>6715-AY184</f>
        <v>3208</v>
      </c>
      <c r="BA184" s="380">
        <f>10060-AZ184-AY184</f>
        <v>3345</v>
      </c>
      <c r="BB184" s="380">
        <f>12266-BA184-AZ184-AY184</f>
        <v>2206</v>
      </c>
      <c r="BC184" s="380">
        <v>4526</v>
      </c>
      <c r="BD184" s="380">
        <f>7975-BC184</f>
        <v>3449</v>
      </c>
      <c r="BE184" s="380">
        <f>11392-BD184-BC184</f>
        <v>3417</v>
      </c>
      <c r="BF184" s="379">
        <f>13334-BE184-BD184-BC184</f>
        <v>1942</v>
      </c>
      <c r="BG184" s="379">
        <v>3476</v>
      </c>
      <c r="BH184" s="379">
        <f>6252-BG184</f>
        <v>2776</v>
      </c>
      <c r="BI184" s="379">
        <f>9454-BH184-BG184</f>
        <v>3202</v>
      </c>
      <c r="BJ184" s="396"/>
      <c r="BK184" s="396"/>
      <c r="BL184" s="396"/>
      <c r="BM184" s="396"/>
      <c r="BN184" s="396"/>
      <c r="BO184" s="379">
        <v>3497</v>
      </c>
      <c r="BP184" s="379">
        <f>7330-BO184</f>
        <v>3833</v>
      </c>
      <c r="BQ184" s="379">
        <f>10312-BP184-BO184</f>
        <v>2982</v>
      </c>
      <c r="BR184" s="379">
        <f>13831-BQ184-BP184-BO184</f>
        <v>3519</v>
      </c>
      <c r="BS184" s="396"/>
      <c r="BT184" s="396"/>
      <c r="BU184" s="396"/>
      <c r="BV184" s="396"/>
      <c r="BW184" s="396"/>
      <c r="BX184" s="396"/>
      <c r="BY184" s="396"/>
      <c r="BZ184" s="396"/>
      <c r="CA184" s="396"/>
      <c r="CB184" s="396"/>
      <c r="CC184" s="396"/>
      <c r="CD184" s="396"/>
      <c r="CE184" s="396"/>
      <c r="CF184" s="396"/>
      <c r="CG184" s="396"/>
      <c r="CH184" s="396"/>
      <c r="CI184" s="396"/>
      <c r="CJ184" s="396"/>
      <c r="CK184" s="396"/>
      <c r="CL184" s="396"/>
      <c r="CM184" s="396"/>
      <c r="CN184" s="396"/>
      <c r="CO184" s="396"/>
      <c r="CP184" s="396"/>
      <c r="CQ184" s="396"/>
      <c r="CR184" s="396"/>
      <c r="CS184" s="396"/>
      <c r="CT184" s="396"/>
      <c r="CU184" s="396"/>
      <c r="CV184" s="396"/>
      <c r="CW184" s="396"/>
      <c r="CX184" s="396"/>
      <c r="CY184" s="396"/>
      <c r="CZ184" s="396"/>
      <c r="DA184" s="396"/>
      <c r="DB184" s="396"/>
      <c r="DC184" s="396"/>
      <c r="DD184" s="396"/>
      <c r="DE184" s="396"/>
      <c r="DF184" s="396"/>
      <c r="DG184" s="420"/>
      <c r="DH184" s="396"/>
      <c r="DI184" s="396"/>
      <c r="DJ184" s="396"/>
      <c r="DK184" s="396"/>
      <c r="DL184" s="396"/>
      <c r="DM184" s="396"/>
      <c r="DN184" s="396"/>
      <c r="DO184" s="396"/>
      <c r="DP184" s="396"/>
      <c r="DQ184" s="396"/>
      <c r="DR184" s="396"/>
      <c r="DS184" s="396"/>
      <c r="DT184" s="396"/>
      <c r="DU184" s="396"/>
      <c r="DV184" s="396"/>
      <c r="DW184" s="396"/>
      <c r="DX184" s="396"/>
      <c r="DY184" s="396"/>
      <c r="DZ184" s="396"/>
      <c r="EA184" s="396"/>
      <c r="EB184" s="396"/>
      <c r="EC184" s="396"/>
      <c r="ED184" s="396"/>
      <c r="EE184" s="396"/>
      <c r="EF184" s="396"/>
      <c r="EG184" s="396"/>
      <c r="EH184" s="396"/>
      <c r="EI184" s="396"/>
      <c r="EJ184" s="396"/>
      <c r="EK184" s="396"/>
      <c r="EL184" s="396"/>
      <c r="EM184" s="396"/>
      <c r="EZ184" s="420"/>
    </row>
    <row r="185" spans="2:156" ht="12.75" customHeight="1" x14ac:dyDescent="0.2">
      <c r="B185" s="353" t="s">
        <v>412</v>
      </c>
      <c r="AI185" s="349">
        <v>515</v>
      </c>
      <c r="AM185" s="349">
        <v>521</v>
      </c>
      <c r="AQ185" s="313">
        <v>622</v>
      </c>
      <c r="AR185" s="313">
        <f>1305-AQ185</f>
        <v>683</v>
      </c>
      <c r="AS185" s="313">
        <f>1902-AR185-AQ185</f>
        <v>597</v>
      </c>
      <c r="AT185" s="313">
        <f>2777-AS185-AR185-AQ185</f>
        <v>875</v>
      </c>
      <c r="AU185" s="313">
        <v>666</v>
      </c>
      <c r="AV185" s="313">
        <f>1349-AU185</f>
        <v>683</v>
      </c>
      <c r="AW185" s="313">
        <f>2117-AV185-AU185</f>
        <v>768</v>
      </c>
      <c r="AX185" s="313">
        <f>2832-AW185-AV185-AU185</f>
        <v>715</v>
      </c>
      <c r="AY185" s="313">
        <v>676</v>
      </c>
      <c r="AZ185" s="313">
        <f>1355-AY185</f>
        <v>679</v>
      </c>
      <c r="BA185" s="313">
        <f>2030-AZ185-AY185</f>
        <v>675</v>
      </c>
      <c r="BB185" s="313">
        <f>2774-BA185-AZ185-AY185</f>
        <v>744</v>
      </c>
      <c r="BC185" s="313">
        <v>734</v>
      </c>
      <c r="BD185" s="313">
        <f>1445-BC185</f>
        <v>711</v>
      </c>
      <c r="BE185" s="313">
        <f>2170-BD185-BC185</f>
        <v>725</v>
      </c>
      <c r="BF185" s="351">
        <f>2939-BE185-BD185-BC185</f>
        <v>769</v>
      </c>
      <c r="BG185" s="351">
        <v>755</v>
      </c>
      <c r="BH185" s="351">
        <f>1532-BG185</f>
        <v>777</v>
      </c>
      <c r="BI185" s="351">
        <f>2315-BH185-BG185</f>
        <v>783</v>
      </c>
      <c r="BO185" s="351">
        <v>1036</v>
      </c>
      <c r="BP185" s="351">
        <f>2026-BO185</f>
        <v>990</v>
      </c>
      <c r="BQ185" s="351">
        <f>3002-BP185-BO185</f>
        <v>976</v>
      </c>
      <c r="BR185" s="351">
        <f>4104-BQ185-BP185-BO185</f>
        <v>1102</v>
      </c>
    </row>
    <row r="186" spans="2:156" ht="12.75" customHeight="1" x14ac:dyDescent="0.2">
      <c r="B186" s="353" t="s">
        <v>413</v>
      </c>
      <c r="AI186" s="349">
        <v>135</v>
      </c>
      <c r="AM186" s="351">
        <v>153</v>
      </c>
      <c r="AQ186" s="313">
        <v>164</v>
      </c>
      <c r="AR186" s="313">
        <f>360-AQ186</f>
        <v>196</v>
      </c>
      <c r="AS186" s="313">
        <f>537-AR186-AQ186</f>
        <v>177</v>
      </c>
      <c r="AT186" s="313">
        <f>698-AS186-AR186-AQ186</f>
        <v>161</v>
      </c>
      <c r="AU186" s="313">
        <v>163</v>
      </c>
      <c r="AV186" s="313">
        <f>356-AU186</f>
        <v>193</v>
      </c>
      <c r="AW186" s="313">
        <f>524-AV186-AU186</f>
        <v>168</v>
      </c>
      <c r="AX186" s="313">
        <f>627-AW186-AV186-AU186</f>
        <v>103</v>
      </c>
      <c r="AY186" s="313">
        <v>159</v>
      </c>
      <c r="AZ186" s="313">
        <f>341-AY186</f>
        <v>182</v>
      </c>
      <c r="BA186" s="313">
        <f>499-AZ186-AY186</f>
        <v>158</v>
      </c>
      <c r="BB186" s="313">
        <f>628-BA186-AZ186-AY186</f>
        <v>129</v>
      </c>
      <c r="BC186" s="313">
        <v>157</v>
      </c>
      <c r="BD186" s="313">
        <f>305-BC186</f>
        <v>148</v>
      </c>
      <c r="BE186" s="313">
        <f>474-BD186-BC186</f>
        <v>169</v>
      </c>
      <c r="BF186" s="351">
        <f>614-BE186-BD186-BC186</f>
        <v>140</v>
      </c>
      <c r="BG186" s="351">
        <v>152</v>
      </c>
      <c r="BH186" s="351">
        <f>339-BG186</f>
        <v>187</v>
      </c>
      <c r="BI186" s="351">
        <f>484-BH186-BG186</f>
        <v>145</v>
      </c>
      <c r="BO186" s="351">
        <v>194</v>
      </c>
      <c r="BP186" s="351">
        <f>423-BO186</f>
        <v>229</v>
      </c>
      <c r="BQ186" s="351">
        <f>584-BP186-BO186</f>
        <v>161</v>
      </c>
      <c r="BR186" s="351">
        <f>728-BQ186-BP186-BO186</f>
        <v>144</v>
      </c>
    </row>
    <row r="187" spans="2:156" ht="12.75" customHeight="1" x14ac:dyDescent="0.2">
      <c r="B187" s="353" t="s">
        <v>414</v>
      </c>
      <c r="AI187" s="349">
        <v>0</v>
      </c>
      <c r="AM187" s="351">
        <v>37</v>
      </c>
      <c r="AQ187" s="313">
        <v>807</v>
      </c>
      <c r="AR187" s="313">
        <f>807-AQ187</f>
        <v>0</v>
      </c>
      <c r="AS187" s="418">
        <f>807-AR187-AQ187</f>
        <v>0</v>
      </c>
      <c r="AT187" s="313">
        <f>807-AS187-AR187-AQ187</f>
        <v>0</v>
      </c>
      <c r="AU187" s="313">
        <v>0</v>
      </c>
      <c r="AV187" s="313">
        <f>40-AU187</f>
        <v>40</v>
      </c>
      <c r="AW187" s="313">
        <v>0</v>
      </c>
      <c r="AX187" s="313">
        <f>181-AW187-AV187-AU187</f>
        <v>141</v>
      </c>
      <c r="AY187" s="313">
        <v>0</v>
      </c>
      <c r="AZ187" s="313">
        <v>0</v>
      </c>
      <c r="BA187" s="354">
        <v>0</v>
      </c>
      <c r="BB187" s="354">
        <v>0</v>
      </c>
      <c r="BC187" s="354">
        <v>960</v>
      </c>
      <c r="BD187" s="354">
        <f>0-BC187</f>
        <v>-960</v>
      </c>
      <c r="BE187" s="354">
        <f>0-BD187-BC187</f>
        <v>0</v>
      </c>
      <c r="BF187" s="349">
        <f>0-BE187-BD187-BC187</f>
        <v>0</v>
      </c>
      <c r="BG187" s="349">
        <v>0</v>
      </c>
      <c r="BH187" s="349">
        <v>0</v>
      </c>
      <c r="BI187" s="349">
        <v>0</v>
      </c>
      <c r="BO187" s="349">
        <f>108+69</f>
        <v>177</v>
      </c>
      <c r="BP187" s="349">
        <f>108+69-BO187-401</f>
        <v>-401</v>
      </c>
      <c r="BQ187" s="349">
        <f>108+247-380-BP187-BO187</f>
        <v>199</v>
      </c>
      <c r="BR187" s="349">
        <f>108+739-417-BQ187-BP187-BO187</f>
        <v>455</v>
      </c>
    </row>
    <row r="188" spans="2:156" ht="12.75" customHeight="1" x14ac:dyDescent="0.2">
      <c r="B188" s="353" t="s">
        <v>415</v>
      </c>
      <c r="AI188" s="349">
        <v>53</v>
      </c>
      <c r="AM188" s="351">
        <v>-153</v>
      </c>
      <c r="AQ188" s="313">
        <v>-5</v>
      </c>
      <c r="AR188" s="313">
        <f>-405-AQ188</f>
        <v>-400</v>
      </c>
      <c r="AS188" s="313">
        <f>-900-AR188-AQ188</f>
        <v>-495</v>
      </c>
      <c r="AT188" s="313">
        <f>-1762-AS188-AR188-AQ188</f>
        <v>-862</v>
      </c>
      <c r="AU188" s="313">
        <v>-27</v>
      </c>
      <c r="AV188" s="313">
        <f>-322-AU188</f>
        <v>-295</v>
      </c>
      <c r="AW188" s="313">
        <f>-354-AU188-AV188</f>
        <v>-32</v>
      </c>
      <c r="AX188" s="313">
        <f>22-AW188-AV188-AU188</f>
        <v>376</v>
      </c>
      <c r="AY188" s="313">
        <v>1212</v>
      </c>
      <c r="AZ188" s="313">
        <f>645-AY188</f>
        <v>-567</v>
      </c>
      <c r="BA188" s="313">
        <f>541-AZ188-AY188</f>
        <v>-104</v>
      </c>
      <c r="BB188" s="313">
        <f>-436-BA188-AZ188-AY188</f>
        <v>-977</v>
      </c>
      <c r="BC188" s="313">
        <v>78</v>
      </c>
      <c r="BD188" s="313">
        <f>604-BC188</f>
        <v>526</v>
      </c>
      <c r="BE188" s="313">
        <f>644-BD188-BC188</f>
        <v>40</v>
      </c>
      <c r="BF188" s="351">
        <f>356-BE188-BD188-BC188</f>
        <v>-288</v>
      </c>
      <c r="BG188" s="351">
        <v>-4</v>
      </c>
      <c r="BH188" s="351">
        <f>-504-BG188</f>
        <v>-500</v>
      </c>
      <c r="BI188" s="351">
        <f>-849-BH188-BG188</f>
        <v>-345</v>
      </c>
      <c r="BO188" s="351">
        <v>365</v>
      </c>
      <c r="BP188" s="351">
        <f>92-BO188</f>
        <v>-273</v>
      </c>
      <c r="BQ188" s="351">
        <f>-224-BP188-BO188</f>
        <v>-316</v>
      </c>
      <c r="BR188" s="351">
        <f>-607-BQ188-BP188-BO188</f>
        <v>-383</v>
      </c>
    </row>
    <row r="189" spans="2:156" ht="12.75" customHeight="1" x14ac:dyDescent="0.2">
      <c r="B189" s="353" t="s">
        <v>416</v>
      </c>
      <c r="AI189" s="349">
        <v>22</v>
      </c>
      <c r="AM189" s="351">
        <v>-4</v>
      </c>
      <c r="AQ189" s="313">
        <v>3</v>
      </c>
      <c r="AR189" s="313">
        <f>1-AQ189</f>
        <v>-2</v>
      </c>
      <c r="AS189" s="313">
        <f>13-AR189-AQ189</f>
        <v>12</v>
      </c>
      <c r="AT189" s="313">
        <f>22-AS189-AR189-AQ189</f>
        <v>9</v>
      </c>
      <c r="AU189" s="313">
        <v>12</v>
      </c>
      <c r="AV189" s="313">
        <f>15-AU189</f>
        <v>3</v>
      </c>
      <c r="AW189" s="313">
        <f>62-AV189-AU189</f>
        <v>47</v>
      </c>
      <c r="AX189" s="313">
        <f>86-AW189-AV189-AU189</f>
        <v>24</v>
      </c>
      <c r="AY189" s="313">
        <v>22</v>
      </c>
      <c r="AZ189" s="313">
        <f>52-AY189</f>
        <v>30</v>
      </c>
      <c r="BA189" s="313">
        <f>39-AZ189-AY189</f>
        <v>-13</v>
      </c>
      <c r="BB189" s="313">
        <f>58-BA189-AZ189-AY189</f>
        <v>19</v>
      </c>
      <c r="BC189" s="313">
        <v>-529</v>
      </c>
      <c r="BD189" s="313">
        <f>46-BC189</f>
        <v>575</v>
      </c>
      <c r="BE189" s="313">
        <f>30-BD189-BC189</f>
        <v>-16</v>
      </c>
      <c r="BF189" s="351">
        <f>12-BE189-BD189-BC189</f>
        <v>-18</v>
      </c>
      <c r="BG189" s="351">
        <v>-16</v>
      </c>
      <c r="BH189" s="351">
        <f>-33-BG189</f>
        <v>-17</v>
      </c>
      <c r="BI189" s="351">
        <f>-21-BH189-BG189</f>
        <v>12</v>
      </c>
      <c r="BO189" s="351">
        <v>-11</v>
      </c>
      <c r="BP189" s="351">
        <f>-29-BO189</f>
        <v>-18</v>
      </c>
      <c r="BQ189" s="351">
        <f>-32-BP189-BO189</f>
        <v>-3</v>
      </c>
      <c r="BR189" s="351">
        <f>-131-BQ189-BP189-BO189</f>
        <v>-99</v>
      </c>
    </row>
    <row r="190" spans="2:156" ht="12.75" customHeight="1" x14ac:dyDescent="0.2">
      <c r="B190" s="353" t="s">
        <v>417</v>
      </c>
      <c r="AI190" s="349">
        <v>-639</v>
      </c>
      <c r="AM190" s="351">
        <v>-568</v>
      </c>
      <c r="AQ190" s="313">
        <v>-562</v>
      </c>
      <c r="AR190" s="313">
        <f>-659-AQ190</f>
        <v>-97</v>
      </c>
      <c r="AS190" s="313">
        <f>-407-AR190-AQ190</f>
        <v>252</v>
      </c>
      <c r="AT190" s="313">
        <f>-416-AS190-AR190-AQ190</f>
        <v>-9</v>
      </c>
      <c r="AU190" s="313">
        <v>-517</v>
      </c>
      <c r="AV190" s="313">
        <f>-732-AU190</f>
        <v>-215</v>
      </c>
      <c r="AW190" s="313">
        <f>-790-AU190-AV190</f>
        <v>-58</v>
      </c>
      <c r="AX190" s="313">
        <f>-736-AW190-AV190-AU190</f>
        <v>54</v>
      </c>
      <c r="AY190" s="313">
        <v>-86</v>
      </c>
      <c r="AZ190" s="313">
        <f>-225-AY190</f>
        <v>-139</v>
      </c>
      <c r="BA190" s="313">
        <f>-61-AZ190-AY190</f>
        <v>164</v>
      </c>
      <c r="BB190" s="313">
        <f>453-BA190-AZ190-AY190</f>
        <v>514</v>
      </c>
      <c r="BC190" s="313">
        <v>-193</v>
      </c>
      <c r="BD190" s="313">
        <f>-555-BC190</f>
        <v>-362</v>
      </c>
      <c r="BE190" s="313">
        <f>-585-BD190-BC190</f>
        <v>-30</v>
      </c>
      <c r="BF190" s="351">
        <f>-207-BE190-BD190-BC190</f>
        <v>378</v>
      </c>
      <c r="BG190" s="351">
        <v>-609</v>
      </c>
      <c r="BH190" s="351">
        <f>-576-BG190</f>
        <v>33</v>
      </c>
      <c r="BI190" s="351">
        <f>-489-BH190-BG190</f>
        <v>87</v>
      </c>
      <c r="BO190" s="351">
        <v>-434</v>
      </c>
      <c r="BP190" s="351">
        <f>-647-BO190</f>
        <v>-213</v>
      </c>
      <c r="BQ190" s="351">
        <f>-971-BP190-BO190</f>
        <v>-324</v>
      </c>
      <c r="BR190" s="351">
        <f>-632-BQ190-BP190-BO190</f>
        <v>339</v>
      </c>
    </row>
    <row r="191" spans="2:156" ht="12.75" customHeight="1" x14ac:dyDescent="0.2">
      <c r="B191" s="353" t="s">
        <v>485</v>
      </c>
      <c r="AI191" s="349">
        <v>-140</v>
      </c>
      <c r="AM191" s="351">
        <v>-219</v>
      </c>
      <c r="AQ191" s="313">
        <v>-120</v>
      </c>
      <c r="AR191" s="313">
        <f>-190-AQ191</f>
        <v>-70</v>
      </c>
      <c r="AS191" s="313">
        <f>-309-AR191-AQ191</f>
        <v>-119</v>
      </c>
      <c r="AT191" s="313">
        <f>14-AS191-AR191-AQ191</f>
        <v>323</v>
      </c>
      <c r="AU191" s="313">
        <v>-259</v>
      </c>
      <c r="AV191" s="313">
        <f>-379-AU191</f>
        <v>-120</v>
      </c>
      <c r="AW191" s="313">
        <f>-348-AV191-AU191</f>
        <v>31</v>
      </c>
      <c r="AX191" s="313">
        <f>-101-AW191-AV191-AU191</f>
        <v>247</v>
      </c>
      <c r="AY191" s="313">
        <v>-336</v>
      </c>
      <c r="AZ191" s="313">
        <f>-339-AY191</f>
        <v>-3</v>
      </c>
      <c r="BA191" s="313">
        <f>-250-AZ191-AY191</f>
        <v>89</v>
      </c>
      <c r="BB191" s="313">
        <f>95-BA191-AZ191-AY191</f>
        <v>345</v>
      </c>
      <c r="BC191" s="313">
        <v>-1651</v>
      </c>
      <c r="BD191" s="313">
        <f>-88-BC191</f>
        <v>1563</v>
      </c>
      <c r="BE191" s="313">
        <f>-197-BD191-BC191</f>
        <v>-109</v>
      </c>
      <c r="BF191" s="351">
        <f>-196-BE191-BD191-BC191</f>
        <v>1</v>
      </c>
      <c r="BG191" s="351">
        <v>-452</v>
      </c>
      <c r="BH191" s="351">
        <f>-620-BG191</f>
        <v>-168</v>
      </c>
      <c r="BI191" s="351">
        <f>-787-BH191-BG191</f>
        <v>-167</v>
      </c>
      <c r="BO191" s="351">
        <v>-288</v>
      </c>
      <c r="BP191" s="351">
        <f>-547-BO191</f>
        <v>-259</v>
      </c>
      <c r="BQ191" s="351">
        <f>-799-BP191-BO191</f>
        <v>-252</v>
      </c>
      <c r="BR191" s="351">
        <f>-622-BQ191-BP191-BO191</f>
        <v>177</v>
      </c>
    </row>
    <row r="192" spans="2:156" ht="12.75" customHeight="1" x14ac:dyDescent="0.2">
      <c r="B192" s="353" t="s">
        <v>486</v>
      </c>
      <c r="AI192" s="349">
        <v>-1509</v>
      </c>
      <c r="AM192" s="351">
        <v>-633</v>
      </c>
      <c r="AQ192" s="313">
        <v>-229</v>
      </c>
      <c r="AR192" s="313">
        <f>-306-AQ192</f>
        <v>-77</v>
      </c>
      <c r="AS192" s="313">
        <f>933-AR192-AQ192</f>
        <v>1239</v>
      </c>
      <c r="AT192" s="313">
        <f>2642-AS192-AR192-AQ192</f>
        <v>1709</v>
      </c>
      <c r="AU192" s="313">
        <v>-273</v>
      </c>
      <c r="AV192" s="313">
        <f>-1160-AU192</f>
        <v>-887</v>
      </c>
      <c r="AW192" s="313">
        <f>-1103-AV192-AU192</f>
        <v>57</v>
      </c>
      <c r="AX192" s="313">
        <f>-272-AW192-AV192-AU192</f>
        <v>831</v>
      </c>
      <c r="AY192" s="313">
        <v>-2155</v>
      </c>
      <c r="AZ192" s="313">
        <f>-1897-AY192</f>
        <v>258</v>
      </c>
      <c r="BA192" s="313">
        <f>-1830-AZ192-AY192</f>
        <v>67</v>
      </c>
      <c r="BB192" s="313">
        <f>-507-BA192-AZ192-AY192</f>
        <v>1323</v>
      </c>
      <c r="BC192" s="313">
        <v>-1088</v>
      </c>
      <c r="BD192" s="313">
        <f>-1719-BC192</f>
        <v>-631</v>
      </c>
      <c r="BE192" s="313">
        <f>-1552-BD192-BC192</f>
        <v>167</v>
      </c>
      <c r="BF192" s="351">
        <f>20-BE192-BD192-BC192</f>
        <v>1572</v>
      </c>
      <c r="BG192" s="351">
        <v>-1127</v>
      </c>
      <c r="BH192" s="351">
        <f>-444-BG192</f>
        <v>683</v>
      </c>
      <c r="BI192" s="351">
        <f>-100-BH192-BG192</f>
        <v>344</v>
      </c>
      <c r="BO192" s="351">
        <v>-1459</v>
      </c>
      <c r="BP192" s="351">
        <f>-715-BO192</f>
        <v>744</v>
      </c>
      <c r="BQ192" s="351">
        <f>589-BP192-BO192</f>
        <v>1304</v>
      </c>
      <c r="BR192" s="351">
        <f>1821-BQ192-BP192-BO192</f>
        <v>1232</v>
      </c>
    </row>
    <row r="193" spans="1:143" ht="12.75" customHeight="1" x14ac:dyDescent="0.2">
      <c r="B193" s="353" t="s">
        <v>487</v>
      </c>
      <c r="AI193" s="349">
        <v>235</v>
      </c>
      <c r="AM193" s="351">
        <v>-207</v>
      </c>
      <c r="AQ193" s="313">
        <v>-373</v>
      </c>
      <c r="AR193" s="313">
        <f>-424-AQ193</f>
        <v>-51</v>
      </c>
      <c r="AS193" s="313">
        <f>-1007-AR193-AQ193</f>
        <v>-583</v>
      </c>
      <c r="AT193" s="313">
        <f>-1351-AS193-AR193-AQ193</f>
        <v>-344</v>
      </c>
      <c r="AU193" s="313">
        <v>-1112</v>
      </c>
      <c r="AV193" s="313">
        <f>-756-AU193</f>
        <v>356</v>
      </c>
      <c r="AW193" s="313">
        <f>-2-AV193-AU193</f>
        <v>754</v>
      </c>
      <c r="AX193" s="313">
        <f>-1600-AW193-AV193-AU193</f>
        <v>-1598</v>
      </c>
      <c r="AY193" s="313">
        <v>-39</v>
      </c>
      <c r="AZ193" s="313">
        <f>-28-AY193</f>
        <v>11</v>
      </c>
      <c r="BA193" s="313">
        <f>-35-AZ193-AY193</f>
        <v>-7</v>
      </c>
      <c r="BB193" s="313">
        <f>1209-BA193-AZ193-AY193</f>
        <v>1244</v>
      </c>
      <c r="BC193" s="313">
        <v>696</v>
      </c>
      <c r="BD193" s="313">
        <f>-704-BC193</f>
        <v>-1400</v>
      </c>
      <c r="BE193" s="313">
        <f>-310-BD193-BC193</f>
        <v>394</v>
      </c>
      <c r="BF193" s="351">
        <f>-574-BE193-BD193-BC193</f>
        <v>-264</v>
      </c>
      <c r="BG193" s="351">
        <v>-970</v>
      </c>
      <c r="BH193" s="351">
        <f>-920-BG193</f>
        <v>50</v>
      </c>
      <c r="BI193" s="351">
        <f>-906-BH193-BG193</f>
        <v>14</v>
      </c>
      <c r="BO193" s="351">
        <v>-608</v>
      </c>
      <c r="BP193" s="351">
        <f>-437-BO193</f>
        <v>171</v>
      </c>
      <c r="BQ193" s="351">
        <f>-403-BP193-BO193</f>
        <v>34</v>
      </c>
      <c r="BR193" s="351">
        <f>-1806-BQ193-BP193-BO193</f>
        <v>-1403</v>
      </c>
    </row>
    <row r="194" spans="1:143" ht="12.75" customHeight="1" x14ac:dyDescent="0.2">
      <c r="B194" s="353" t="s">
        <v>488</v>
      </c>
      <c r="AI194" s="349">
        <v>1124</v>
      </c>
      <c r="AM194" s="351">
        <v>1242</v>
      </c>
      <c r="AQ194" s="313">
        <v>957</v>
      </c>
      <c r="AR194" s="313">
        <f>591-AQ194</f>
        <v>-366</v>
      </c>
      <c r="AS194" s="313">
        <f>1154-AR194-AQ194</f>
        <v>563</v>
      </c>
      <c r="AT194" s="313">
        <f>564-AS194-AR194-AQ194</f>
        <v>-590</v>
      </c>
      <c r="AU194" s="313">
        <v>985</v>
      </c>
      <c r="AV194" s="313">
        <f>742-AU194</f>
        <v>-243</v>
      </c>
      <c r="AW194" s="313">
        <f>590-AV194-AU194</f>
        <v>-152</v>
      </c>
      <c r="AX194" s="313">
        <f>984-AW194-AV194-AU194</f>
        <v>394</v>
      </c>
      <c r="AY194" s="313">
        <v>-133</v>
      </c>
      <c r="AZ194" s="313">
        <f>-429-AY194</f>
        <v>-296</v>
      </c>
      <c r="BA194" s="313">
        <f>291-AZ194-AY194</f>
        <v>720</v>
      </c>
      <c r="BB194" s="313">
        <f>31-BA194-AZ194-AY194</f>
        <v>-260</v>
      </c>
      <c r="BC194" s="313">
        <v>0</v>
      </c>
      <c r="BD194" s="351">
        <f>218-BC194</f>
        <v>218</v>
      </c>
      <c r="BE194" s="351">
        <f>495-BD194-BC194</f>
        <v>277</v>
      </c>
      <c r="BF194" s="351">
        <f>87-BE194-BD194-BC194</f>
        <v>-408</v>
      </c>
      <c r="BG194" s="351">
        <v>1111</v>
      </c>
      <c r="BH194" s="351">
        <f>1199-BG194</f>
        <v>88</v>
      </c>
      <c r="BI194" s="351">
        <f>1746-BH194-BG194</f>
        <v>547</v>
      </c>
      <c r="BO194" s="351">
        <v>-192</v>
      </c>
      <c r="BP194" s="351">
        <f>56-BO194</f>
        <v>248</v>
      </c>
      <c r="BQ194" s="351">
        <f>1242-BP194-BO194</f>
        <v>1186</v>
      </c>
      <c r="BR194" s="351">
        <f>298-BQ194-BP194-BO194</f>
        <v>-944</v>
      </c>
    </row>
    <row r="195" spans="1:143" s="229" customFormat="1" ht="12.75" customHeight="1" x14ac:dyDescent="0.2">
      <c r="B195" s="229" t="s">
        <v>411</v>
      </c>
      <c r="C195" s="396"/>
      <c r="D195" s="396"/>
      <c r="E195" s="396"/>
      <c r="F195" s="396"/>
      <c r="G195" s="396"/>
      <c r="H195" s="396"/>
      <c r="I195" s="396"/>
      <c r="J195" s="396"/>
      <c r="K195" s="396"/>
      <c r="L195" s="396"/>
      <c r="M195" s="396"/>
      <c r="N195" s="396"/>
      <c r="O195" s="396"/>
      <c r="P195" s="396"/>
      <c r="Q195" s="396"/>
      <c r="R195" s="396"/>
      <c r="S195" s="396"/>
      <c r="T195" s="396"/>
      <c r="U195" s="396"/>
      <c r="V195" s="396"/>
      <c r="W195" s="396"/>
      <c r="X195" s="396"/>
      <c r="Y195" s="396"/>
      <c r="Z195" s="396"/>
      <c r="AA195" s="396"/>
      <c r="AB195" s="396"/>
      <c r="AC195" s="396"/>
      <c r="AD195" s="396"/>
      <c r="AE195" s="396"/>
      <c r="AF195" s="396"/>
      <c r="AG195" s="396"/>
      <c r="AH195" s="396"/>
      <c r="AI195" s="396"/>
      <c r="AJ195" s="396"/>
      <c r="AK195" s="396"/>
      <c r="AL195" s="396"/>
      <c r="AM195" s="379"/>
      <c r="AN195" s="398"/>
      <c r="AO195" s="398"/>
      <c r="AP195" s="398"/>
      <c r="AQ195" s="380"/>
      <c r="AR195" s="380"/>
      <c r="AS195" s="380"/>
      <c r="AT195" s="380"/>
      <c r="AU195" s="380"/>
      <c r="AV195" s="380"/>
      <c r="AW195" s="380"/>
      <c r="AX195" s="380"/>
      <c r="AY195" s="380">
        <f t="shared" ref="AY195:BI195" si="771">SUM(AY184:AY194)</f>
        <v>2827</v>
      </c>
      <c r="AZ195" s="380">
        <f t="shared" si="771"/>
        <v>3363</v>
      </c>
      <c r="BA195" s="380">
        <f t="shared" si="771"/>
        <v>5094</v>
      </c>
      <c r="BB195" s="380">
        <f t="shared" si="771"/>
        <v>5287</v>
      </c>
      <c r="BC195" s="380">
        <f t="shared" si="771"/>
        <v>3690</v>
      </c>
      <c r="BD195" s="380">
        <f t="shared" si="771"/>
        <v>3837</v>
      </c>
      <c r="BE195" s="380">
        <f t="shared" si="771"/>
        <v>5034</v>
      </c>
      <c r="BF195" s="380">
        <f t="shared" si="771"/>
        <v>3824</v>
      </c>
      <c r="BG195" s="380">
        <f t="shared" si="771"/>
        <v>2316</v>
      </c>
      <c r="BH195" s="380">
        <f t="shared" si="771"/>
        <v>3909</v>
      </c>
      <c r="BI195" s="380">
        <f t="shared" si="771"/>
        <v>4622</v>
      </c>
      <c r="BJ195" s="379"/>
      <c r="BK195" s="396"/>
      <c r="BL195" s="396"/>
      <c r="BM195" s="396"/>
      <c r="BN195" s="396"/>
      <c r="BO195" s="380">
        <f t="shared" ref="BO195:BP195" si="772">SUM(BO184:BO194)</f>
        <v>2277</v>
      </c>
      <c r="BP195" s="380">
        <f t="shared" si="772"/>
        <v>5051</v>
      </c>
      <c r="BQ195" s="380">
        <f t="shared" ref="BQ195:BR195" si="773">SUM(BQ184:BQ194)</f>
        <v>5947</v>
      </c>
      <c r="BR195" s="380">
        <f t="shared" si="773"/>
        <v>4139</v>
      </c>
      <c r="BS195" s="396"/>
      <c r="BT195" s="396"/>
      <c r="BU195" s="396"/>
      <c r="BV195" s="396"/>
      <c r="BW195" s="396"/>
      <c r="BX195" s="396"/>
      <c r="BY195" s="396"/>
      <c r="BZ195" s="396"/>
      <c r="CA195" s="396"/>
      <c r="CB195" s="396"/>
      <c r="CC195" s="396"/>
      <c r="CD195" s="396"/>
      <c r="CE195" s="396"/>
      <c r="CF195" s="396"/>
      <c r="CG195" s="396"/>
      <c r="CH195" s="396"/>
      <c r="CI195" s="396"/>
      <c r="CJ195" s="396"/>
      <c r="CK195" s="396"/>
      <c r="CL195" s="396"/>
      <c r="CM195" s="396"/>
      <c r="CN195" s="396"/>
      <c r="CO195" s="396"/>
      <c r="CP195" s="396"/>
      <c r="CQ195" s="396"/>
      <c r="CR195" s="396"/>
      <c r="CS195" s="396"/>
      <c r="CT195" s="396"/>
      <c r="CU195" s="396"/>
      <c r="CV195" s="396"/>
      <c r="CW195" s="396"/>
      <c r="CX195" s="396"/>
      <c r="CY195" s="396"/>
      <c r="CZ195" s="396"/>
      <c r="DA195" s="396"/>
      <c r="DB195" s="396"/>
      <c r="DC195" s="396"/>
      <c r="DD195" s="396"/>
      <c r="DE195" s="396"/>
      <c r="DF195" s="396"/>
      <c r="DH195" s="396"/>
      <c r="DI195" s="396"/>
      <c r="DJ195" s="396"/>
      <c r="DK195" s="396"/>
      <c r="DL195" s="396"/>
      <c r="DM195" s="396"/>
      <c r="DN195" s="396"/>
      <c r="DO195" s="396"/>
      <c r="DP195" s="396"/>
      <c r="DQ195" s="396"/>
      <c r="DR195" s="396"/>
      <c r="DS195" s="396"/>
      <c r="DT195" s="396"/>
      <c r="DU195" s="396"/>
      <c r="DV195" s="396"/>
      <c r="DW195" s="396"/>
      <c r="DX195" s="396"/>
      <c r="DY195" s="396"/>
      <c r="DZ195" s="396"/>
      <c r="EA195" s="396"/>
      <c r="EB195" s="396"/>
      <c r="EC195" s="396"/>
      <c r="ED195" s="396"/>
      <c r="EE195" s="396"/>
      <c r="EF195" s="396"/>
      <c r="EG195" s="396"/>
      <c r="EH195" s="396"/>
      <c r="EI195" s="396"/>
      <c r="EJ195" s="396"/>
      <c r="EK195" s="396"/>
      <c r="EL195" s="396"/>
      <c r="EM195" s="396"/>
    </row>
    <row r="196" spans="1:143" ht="12.75" customHeight="1" x14ac:dyDescent="0.2">
      <c r="B196" s="353" t="s">
        <v>489</v>
      </c>
      <c r="AI196" s="351">
        <v>-397</v>
      </c>
      <c r="AM196" s="351">
        <v>-446</v>
      </c>
      <c r="AQ196" s="313">
        <v>-446</v>
      </c>
      <c r="AR196" s="313">
        <f>-1045-AQ196</f>
        <v>-599</v>
      </c>
      <c r="AS196" s="313">
        <f>-1704-AR196-AQ196</f>
        <v>-659</v>
      </c>
      <c r="AT196" s="313">
        <f>-2942-AS196-AR196-AQ196</f>
        <v>-1238</v>
      </c>
      <c r="AU196" s="313">
        <v>-479</v>
      </c>
      <c r="AV196" s="313">
        <f>-1166-AU196</f>
        <v>-687</v>
      </c>
      <c r="AW196" s="313">
        <f>-1938-AV196-AU196</f>
        <v>-772</v>
      </c>
      <c r="AX196" s="313">
        <f>-3066-AW196-AV196-AU196</f>
        <v>-1128</v>
      </c>
      <c r="AY196" s="313">
        <v>-435</v>
      </c>
      <c r="AZ196" s="313">
        <f>-1002-AY196</f>
        <v>-567</v>
      </c>
      <c r="BA196" s="313">
        <f>-1521-AZ196-AY196</f>
        <v>-519</v>
      </c>
      <c r="BB196" s="313">
        <f>-2365-BA196-AZ196-AY196</f>
        <v>-844</v>
      </c>
      <c r="BC196" s="313">
        <v>-397</v>
      </c>
      <c r="BD196" s="313">
        <f>-897-BC196</f>
        <v>-500</v>
      </c>
      <c r="BE196" s="313">
        <f>-1425-BD196-BC196</f>
        <v>-528</v>
      </c>
      <c r="BF196" s="351">
        <f>-2384-BE196-BD196-BC196</f>
        <v>-959</v>
      </c>
      <c r="BG196" s="351">
        <f>-436+121</f>
        <v>-315</v>
      </c>
      <c r="BH196" s="351">
        <f>-1054-BG196+143</f>
        <v>-596</v>
      </c>
      <c r="BI196" s="351">
        <f>-1765-BH196-BG196+721</f>
        <v>-133</v>
      </c>
      <c r="BO196" s="351">
        <v>-586</v>
      </c>
      <c r="BP196" s="351">
        <f>-1357-BO196</f>
        <v>-771</v>
      </c>
      <c r="BQ196" s="351">
        <f>-2166-BP196-BO196</f>
        <v>-809</v>
      </c>
      <c r="BR196" s="351">
        <f>-3595-BQ196-BP196-BO196</f>
        <v>-1429</v>
      </c>
    </row>
    <row r="197" spans="1:143" ht="12.75" customHeight="1" x14ac:dyDescent="0.2">
      <c r="B197" s="353" t="s">
        <v>392</v>
      </c>
      <c r="AI197" s="351"/>
      <c r="AM197" s="351"/>
      <c r="AQ197" s="313"/>
      <c r="AR197" s="313"/>
      <c r="AS197" s="313"/>
      <c r="AT197" s="313"/>
      <c r="AU197" s="313"/>
      <c r="AV197" s="313"/>
      <c r="AW197" s="313"/>
      <c r="AX197" s="313"/>
      <c r="AY197" s="313">
        <f>+AY196+AY195</f>
        <v>2392</v>
      </c>
      <c r="AZ197" s="313">
        <f t="shared" ref="AZ197:BB197" si="774">+AZ196+AZ195</f>
        <v>2796</v>
      </c>
      <c r="BA197" s="313">
        <f t="shared" si="774"/>
        <v>4575</v>
      </c>
      <c r="BB197" s="313">
        <f t="shared" si="774"/>
        <v>4443</v>
      </c>
      <c r="BC197" s="313">
        <f t="shared" ref="BC197:BF197" si="775">+BC196+BC195</f>
        <v>3293</v>
      </c>
      <c r="BD197" s="313">
        <f t="shared" si="775"/>
        <v>3337</v>
      </c>
      <c r="BE197" s="313">
        <f t="shared" si="775"/>
        <v>4506</v>
      </c>
      <c r="BF197" s="313">
        <f t="shared" si="775"/>
        <v>2865</v>
      </c>
      <c r="BG197" s="313">
        <f>+BG196+BG195</f>
        <v>2001</v>
      </c>
      <c r="BH197" s="313">
        <f>+BH196+BH195</f>
        <v>3313</v>
      </c>
      <c r="BI197" s="313">
        <f>+BI196+BI195</f>
        <v>4489</v>
      </c>
      <c r="BO197" s="313">
        <f>+BO196+BO195</f>
        <v>1691</v>
      </c>
      <c r="BP197" s="313">
        <f>+BP196+BP195</f>
        <v>4280</v>
      </c>
      <c r="BQ197" s="313">
        <f>+BQ196+BQ195</f>
        <v>5138</v>
      </c>
      <c r="BR197" s="313">
        <f>+BR196+BR195</f>
        <v>2710</v>
      </c>
    </row>
    <row r="198" spans="1:143" ht="12.75" customHeight="1" x14ac:dyDescent="0.2">
      <c r="B198" s="353" t="s">
        <v>267</v>
      </c>
      <c r="AQ198" s="313">
        <v>-1368</v>
      </c>
      <c r="AR198" s="313">
        <v>0</v>
      </c>
      <c r="AS198" s="313">
        <f>-1378-AR198-AQ198</f>
        <v>-10</v>
      </c>
      <c r="AT198" s="313">
        <f>-1388-AS198-AR198-AQ198</f>
        <v>-10</v>
      </c>
      <c r="AU198" s="313">
        <f>34-8</f>
        <v>26</v>
      </c>
      <c r="AV198" s="313">
        <f>47-46-AU198</f>
        <v>-25</v>
      </c>
      <c r="AW198" s="313">
        <f>-400+56-AU198-AV198</f>
        <v>-345</v>
      </c>
      <c r="AX198" s="313">
        <f>-1214+785-AW198-AV198-AU198</f>
        <v>-85</v>
      </c>
      <c r="AY198" s="313">
        <v>-1291</v>
      </c>
      <c r="AZ198" s="313">
        <f>-1291-AY198</f>
        <v>0</v>
      </c>
      <c r="BA198" s="313">
        <f>-2337-AZ198-AY198</f>
        <v>-1046</v>
      </c>
      <c r="BB198" s="313">
        <f>-2470-BA198-AZ198-AY198</f>
        <v>-133</v>
      </c>
      <c r="BC198" s="313">
        <v>-772</v>
      </c>
      <c r="BD198" s="351">
        <f>-6695-BC198</f>
        <v>-5923</v>
      </c>
      <c r="BE198" s="351">
        <f>-1269-BD198-BC198</f>
        <v>5426</v>
      </c>
      <c r="BF198" s="351">
        <f>-1269-BE198-BD198-BC198</f>
        <v>0</v>
      </c>
      <c r="BG198" s="351">
        <v>-2049</v>
      </c>
      <c r="BH198" s="351">
        <f>-2049-BG198</f>
        <v>0</v>
      </c>
      <c r="BI198" s="351">
        <f>-2469-BH198-BG198</f>
        <v>-420</v>
      </c>
      <c r="BO198" s="351">
        <v>-168</v>
      </c>
      <c r="BP198" s="351">
        <f>-174-BO198</f>
        <v>-6</v>
      </c>
      <c r="BQ198" s="351">
        <f>-819-BP198-BO198</f>
        <v>-645</v>
      </c>
      <c r="BR198" s="351">
        <f>-835-BQ198-BP198-BO198</f>
        <v>-16</v>
      </c>
    </row>
    <row r="199" spans="1:143" ht="12.75" customHeight="1" x14ac:dyDescent="0.2">
      <c r="B199" s="353" t="s">
        <v>1280</v>
      </c>
      <c r="AQ199" s="313">
        <v>-1085</v>
      </c>
      <c r="AR199" s="313">
        <f>-2287-AQ199</f>
        <v>-1202</v>
      </c>
      <c r="AS199" s="313">
        <f>-3486-AR199-AQ199</f>
        <v>-1199</v>
      </c>
      <c r="AT199" s="313">
        <f>-4670-AS199-AR199-AQ199</f>
        <v>-1184</v>
      </c>
      <c r="AU199" s="313">
        <v>-1174</v>
      </c>
      <c r="AV199" s="313">
        <f>-2466-AU199</f>
        <v>-1292</v>
      </c>
      <c r="AW199" s="313">
        <f>-3750-AV199-AU199</f>
        <v>-1284</v>
      </c>
      <c r="AX199" s="313">
        <f>-5024-AW199-AV199-AU199</f>
        <v>-1274</v>
      </c>
      <c r="AY199" s="313">
        <v>-1273</v>
      </c>
      <c r="AZ199" s="313">
        <f>-2623-AY199</f>
        <v>-1350</v>
      </c>
      <c r="BA199" s="313">
        <f>-3974-AZ199-AY199</f>
        <v>-1351</v>
      </c>
      <c r="BB199" s="313">
        <f>-5327-BA199-AZ199-AY199</f>
        <v>-1353</v>
      </c>
      <c r="BC199" s="313">
        <v>-1350</v>
      </c>
      <c r="BD199" s="351">
        <f>-2839-BC199</f>
        <v>-1489</v>
      </c>
      <c r="BE199" s="351">
        <f>-4323-BD199-BC199</f>
        <v>-1484</v>
      </c>
      <c r="BF199" s="351">
        <f>-5804-BE199-BD199-BC199</f>
        <v>-1481</v>
      </c>
      <c r="BG199" s="351">
        <v>-1480</v>
      </c>
      <c r="BH199" s="351">
        <f>-3043-BG199</f>
        <v>-1563</v>
      </c>
      <c r="BI199" s="351">
        <f>-4601-BH199-BG199</f>
        <v>-1558</v>
      </c>
      <c r="BO199" s="351">
        <v>-1706</v>
      </c>
      <c r="BP199" s="351">
        <f>-3562-BO199</f>
        <v>-1856</v>
      </c>
      <c r="BQ199" s="351">
        <f>-5424-BP199-BO199</f>
        <v>-1862</v>
      </c>
      <c r="BR199" s="351">
        <f>-7286-BQ199-BP199-BO199</f>
        <v>-1862</v>
      </c>
    </row>
    <row r="200" spans="1:143" ht="12.75" customHeight="1" x14ac:dyDescent="0.2">
      <c r="B200" s="353" t="s">
        <v>490</v>
      </c>
      <c r="AI200" s="349">
        <v>654</v>
      </c>
      <c r="AM200" s="351">
        <v>401</v>
      </c>
      <c r="AQ200" s="313">
        <v>-295</v>
      </c>
      <c r="AR200" s="313">
        <f>-739-AQ200</f>
        <v>-444</v>
      </c>
      <c r="AS200" s="313">
        <f>-2581-AR200-AQ200</f>
        <v>-1842</v>
      </c>
      <c r="AT200" s="313">
        <f>-5607-AS200-AR200-AQ200</f>
        <v>-3026</v>
      </c>
      <c r="AU200" s="313">
        <v>-1779</v>
      </c>
      <c r="AV200" s="313">
        <f>-3617-AU200</f>
        <v>-1838</v>
      </c>
      <c r="AW200" s="313">
        <f>-5773-AV200-AU200</f>
        <v>-2156</v>
      </c>
      <c r="AX200" s="313">
        <f>-6651-AW200-AV200-AU200</f>
        <v>-878</v>
      </c>
      <c r="AY200" s="313">
        <v>-834</v>
      </c>
      <c r="AZ200" s="313">
        <f>-1123-AY200</f>
        <v>-289</v>
      </c>
      <c r="BA200" s="313">
        <f>-1172-AZ200-AY200</f>
        <v>-49</v>
      </c>
      <c r="BB200" s="313">
        <f>-2130-BA200-AZ200-AY200</f>
        <v>-958</v>
      </c>
      <c r="BC200" s="313">
        <v>-383</v>
      </c>
      <c r="BD200" s="351">
        <f>-780-BC200</f>
        <v>-397</v>
      </c>
      <c r="BE200" s="351">
        <f>-1512-BD200-BC200</f>
        <v>-732</v>
      </c>
      <c r="BF200" s="351">
        <f>-2797-BE200-BD200-BC200</f>
        <v>-1285</v>
      </c>
      <c r="BG200" s="351">
        <v>-435</v>
      </c>
      <c r="BH200" s="351">
        <f>-929-BG200</f>
        <v>-494</v>
      </c>
      <c r="BI200" s="351">
        <f>-1672-BH200-BG200</f>
        <v>-743</v>
      </c>
      <c r="BO200" s="351">
        <v>0</v>
      </c>
      <c r="BP200" s="351">
        <v>0</v>
      </c>
      <c r="BQ200" s="351">
        <f>-3050-BP200-BO200</f>
        <v>-3050</v>
      </c>
      <c r="BR200" s="351">
        <f>-3538-BQ200-BP200-BO200</f>
        <v>-488</v>
      </c>
    </row>
    <row r="202" spans="1:143" s="422" customFormat="1" ht="12.75" customHeight="1" x14ac:dyDescent="0.2">
      <c r="A202" s="421"/>
      <c r="B202" s="422" t="s">
        <v>492</v>
      </c>
      <c r="C202" s="423"/>
      <c r="D202" s="423"/>
      <c r="E202" s="423"/>
      <c r="F202" s="423"/>
      <c r="G202" s="423"/>
      <c r="H202" s="423"/>
      <c r="I202" s="423"/>
      <c r="J202" s="423"/>
      <c r="K202" s="423"/>
      <c r="L202" s="423"/>
      <c r="M202" s="423"/>
      <c r="N202" s="423"/>
      <c r="O202" s="423"/>
      <c r="P202" s="423"/>
      <c r="Q202" s="423"/>
      <c r="R202" s="423"/>
      <c r="S202" s="423"/>
      <c r="T202" s="423"/>
      <c r="U202" s="423"/>
      <c r="V202" s="423"/>
      <c r="W202" s="423"/>
      <c r="X202" s="423"/>
      <c r="Y202" s="423"/>
      <c r="Z202" s="423"/>
      <c r="AA202" s="423"/>
      <c r="AB202" s="423"/>
      <c r="AC202" s="423"/>
      <c r="AD202" s="423"/>
      <c r="AE202" s="423"/>
      <c r="AF202" s="423"/>
      <c r="AG202" s="423"/>
      <c r="AH202" s="423"/>
      <c r="AI202" s="423"/>
      <c r="AJ202" s="423"/>
      <c r="AK202" s="423"/>
      <c r="AL202" s="423"/>
      <c r="AM202" s="423"/>
      <c r="AN202" s="424"/>
      <c r="AO202" s="424"/>
      <c r="AP202" s="424"/>
      <c r="AQ202" s="424"/>
      <c r="AR202" s="424"/>
      <c r="AS202" s="424">
        <v>1</v>
      </c>
      <c r="AT202" s="424"/>
      <c r="AU202" s="424"/>
      <c r="AV202" s="424"/>
      <c r="AW202" s="424"/>
      <c r="AX202" s="424"/>
      <c r="AY202" s="423"/>
      <c r="AZ202" s="423"/>
      <c r="BA202" s="424"/>
      <c r="BB202" s="424"/>
      <c r="BC202" s="423"/>
      <c r="BD202" s="423"/>
      <c r="BE202" s="423"/>
      <c r="BF202" s="423"/>
      <c r="BG202" s="423"/>
      <c r="BH202" s="423"/>
      <c r="BI202" s="423"/>
      <c r="BJ202" s="423"/>
      <c r="BK202" s="423"/>
      <c r="BL202" s="423"/>
      <c r="BM202" s="423"/>
      <c r="BN202" s="423"/>
      <c r="BO202" s="423"/>
      <c r="BP202" s="423"/>
      <c r="BQ202" s="423"/>
      <c r="BR202" s="423"/>
      <c r="BS202" s="423"/>
      <c r="BT202" s="423"/>
      <c r="BU202" s="423"/>
      <c r="BV202" s="423"/>
      <c r="BW202" s="423"/>
      <c r="BX202" s="423"/>
      <c r="BY202" s="423"/>
      <c r="BZ202" s="423"/>
      <c r="CA202" s="423"/>
      <c r="CB202" s="423"/>
      <c r="CC202" s="423"/>
      <c r="CD202" s="423"/>
      <c r="CE202" s="423"/>
      <c r="CF202" s="423"/>
      <c r="CG202" s="423"/>
      <c r="CH202" s="423"/>
      <c r="CI202" s="423"/>
      <c r="CJ202" s="423"/>
      <c r="CK202" s="423"/>
      <c r="CL202" s="423"/>
      <c r="CM202" s="423"/>
      <c r="CN202" s="423"/>
      <c r="CO202" s="423"/>
      <c r="CP202" s="423"/>
      <c r="CQ202" s="423"/>
      <c r="CR202" s="423"/>
      <c r="CS202" s="423"/>
      <c r="CT202" s="423"/>
      <c r="CU202" s="423"/>
      <c r="CV202" s="423"/>
      <c r="CW202" s="423"/>
      <c r="CX202" s="423"/>
      <c r="CY202" s="423"/>
      <c r="CZ202" s="423"/>
      <c r="DA202" s="423"/>
      <c r="DB202" s="423"/>
      <c r="DC202" s="423"/>
      <c r="DD202" s="423"/>
      <c r="DE202" s="423"/>
      <c r="DF202" s="423"/>
      <c r="DH202" s="423"/>
      <c r="DI202" s="423"/>
      <c r="DJ202" s="423"/>
      <c r="DK202" s="423"/>
      <c r="DL202" s="423"/>
      <c r="DM202" s="423"/>
      <c r="DN202" s="423"/>
      <c r="DO202" s="423"/>
      <c r="DP202" s="423"/>
      <c r="DQ202" s="423"/>
      <c r="DR202" s="423"/>
      <c r="DS202" s="423"/>
      <c r="DT202" s="423"/>
      <c r="DU202" s="423"/>
      <c r="DV202" s="423"/>
      <c r="DW202" s="423"/>
      <c r="DX202" s="423"/>
      <c r="DY202" s="423"/>
      <c r="DZ202" s="423"/>
      <c r="EA202" s="423"/>
      <c r="EB202" s="423"/>
      <c r="EC202" s="423"/>
      <c r="ED202" s="423"/>
      <c r="EE202" s="423"/>
      <c r="EF202" s="423"/>
      <c r="EG202" s="423"/>
      <c r="EH202" s="423"/>
      <c r="EI202" s="423"/>
      <c r="EJ202" s="423"/>
      <c r="EK202" s="423"/>
      <c r="EL202" s="423"/>
      <c r="EM202" s="423"/>
    </row>
    <row r="203" spans="1:143" ht="12.75" customHeight="1" x14ac:dyDescent="0.2">
      <c r="B203" s="353" t="s">
        <v>493</v>
      </c>
      <c r="AS203" s="313">
        <v>14850</v>
      </c>
    </row>
    <row r="204" spans="1:143" ht="12.75" customHeight="1" x14ac:dyDescent="0.2">
      <c r="AS204" s="354" t="s">
        <v>494</v>
      </c>
    </row>
    <row r="205" spans="1:143" ht="12.75" customHeight="1" x14ac:dyDescent="0.2">
      <c r="B205" s="353" t="s">
        <v>495</v>
      </c>
    </row>
    <row r="206" spans="1:143" ht="12.75" customHeight="1" x14ac:dyDescent="0.2">
      <c r="B206" s="353" t="s">
        <v>496</v>
      </c>
      <c r="DK206" s="409">
        <v>0.85</v>
      </c>
      <c r="DL206" s="409">
        <v>0.85</v>
      </c>
      <c r="DM206" s="409">
        <v>0.85</v>
      </c>
      <c r="DN206" s="409">
        <v>0.85</v>
      </c>
      <c r="DO206" s="409">
        <v>0.85</v>
      </c>
      <c r="DP206" s="409">
        <v>0.85</v>
      </c>
      <c r="DQ206" s="409">
        <v>0.85</v>
      </c>
      <c r="DR206" s="409">
        <v>0.85</v>
      </c>
      <c r="DS206" s="409">
        <v>0.85</v>
      </c>
      <c r="DT206" s="409">
        <v>0.85</v>
      </c>
      <c r="DU206" s="409">
        <v>0.85</v>
      </c>
      <c r="DV206" s="409">
        <v>0.85</v>
      </c>
      <c r="DW206" s="409">
        <v>0.85</v>
      </c>
      <c r="DX206" s="409">
        <v>0.85</v>
      </c>
      <c r="DY206" s="409">
        <v>0.85</v>
      </c>
      <c r="DZ206" s="409">
        <v>0.85</v>
      </c>
      <c r="EA206" s="409">
        <v>0.85</v>
      </c>
      <c r="EB206" s="409">
        <v>0.88</v>
      </c>
      <c r="EC206" s="409">
        <v>0.85</v>
      </c>
      <c r="ED206" s="409">
        <v>0.88</v>
      </c>
      <c r="EE206" s="409">
        <v>0.85</v>
      </c>
      <c r="EF206" s="409">
        <v>0.88</v>
      </c>
      <c r="EG206" s="409">
        <v>0.88</v>
      </c>
      <c r="EH206" s="409">
        <v>0.88</v>
      </c>
      <c r="EI206" s="409">
        <v>0.88</v>
      </c>
      <c r="EJ206" s="409"/>
      <c r="EK206" s="409"/>
      <c r="EL206" s="409"/>
      <c r="EM206" s="409"/>
    </row>
    <row r="207" spans="1:143" ht="12.75" customHeight="1" x14ac:dyDescent="0.2">
      <c r="B207" s="353" t="s">
        <v>497</v>
      </c>
      <c r="DK207" s="351">
        <f t="shared" ref="DK207:EI207" si="776">DK206*DK99</f>
        <v>3689</v>
      </c>
      <c r="DL207" s="351">
        <f t="shared" si="776"/>
        <v>3816.5</v>
      </c>
      <c r="DM207" s="351">
        <f t="shared" si="776"/>
        <v>4384.3</v>
      </c>
      <c r="DN207" s="351">
        <f t="shared" si="776"/>
        <v>5332.9</v>
      </c>
      <c r="DO207" s="351">
        <f t="shared" si="776"/>
        <v>6109.8</v>
      </c>
      <c r="DP207" s="351">
        <f t="shared" si="776"/>
        <v>6541.5999999999995</v>
      </c>
      <c r="DQ207" s="351">
        <f t="shared" si="776"/>
        <v>7277.7</v>
      </c>
      <c r="DR207" s="351">
        <f t="shared" si="776"/>
        <v>9089.9</v>
      </c>
      <c r="DS207" s="351">
        <f t="shared" si="776"/>
        <v>10160.9</v>
      </c>
      <c r="DT207" s="351">
        <f t="shared" si="776"/>
        <v>12623.35</v>
      </c>
      <c r="DU207" s="351">
        <f t="shared" si="776"/>
        <v>14578.35</v>
      </c>
      <c r="DV207" s="351">
        <f t="shared" si="776"/>
        <v>16589.45</v>
      </c>
      <c r="DW207" s="351">
        <f t="shared" si="776"/>
        <v>18808.8</v>
      </c>
      <c r="DX207" s="351">
        <f t="shared" si="776"/>
        <v>18973.7</v>
      </c>
      <c r="DY207" s="351">
        <f t="shared" si="776"/>
        <v>19776.95</v>
      </c>
      <c r="DZ207" s="351">
        <f t="shared" si="776"/>
        <v>21136.1</v>
      </c>
      <c r="EA207" s="351">
        <f t="shared" si="776"/>
        <v>20881.95</v>
      </c>
      <c r="EB207" s="351">
        <f t="shared" si="776"/>
        <v>19817.599999999999</v>
      </c>
      <c r="EC207" s="351">
        <f t="shared" si="776"/>
        <v>18924.399999999998</v>
      </c>
      <c r="ED207" s="351">
        <f t="shared" si="776"/>
        <v>21443.84</v>
      </c>
      <c r="EE207" s="351">
        <f t="shared" si="776"/>
        <v>21992.899999999998</v>
      </c>
      <c r="EF207" s="351">
        <f t="shared" si="776"/>
        <v>24750</v>
      </c>
      <c r="EG207" s="351">
        <f t="shared" si="776"/>
        <v>28493.352800000001</v>
      </c>
      <c r="EH207" s="351">
        <f t="shared" si="776"/>
        <v>28543.487720000001</v>
      </c>
      <c r="EI207" s="351">
        <f t="shared" si="776"/>
        <v>24716.61016</v>
      </c>
      <c r="EJ207" s="351"/>
      <c r="EK207" s="351"/>
      <c r="EL207" s="351"/>
      <c r="EM207" s="351"/>
    </row>
    <row r="208" spans="1:143" ht="12.75" customHeight="1" x14ac:dyDescent="0.2">
      <c r="B208" s="353" t="s">
        <v>498</v>
      </c>
      <c r="DK208" s="409">
        <v>0.68</v>
      </c>
      <c r="DL208" s="409">
        <v>0.68</v>
      </c>
      <c r="DM208" s="409">
        <v>0.68</v>
      </c>
      <c r="DN208" s="409">
        <v>0.68</v>
      </c>
      <c r="DO208" s="409">
        <v>0.68</v>
      </c>
      <c r="DP208" s="409">
        <v>0.68</v>
      </c>
      <c r="DQ208" s="409">
        <v>0.68</v>
      </c>
      <c r="DR208" s="409">
        <v>0.68</v>
      </c>
      <c r="DS208" s="409">
        <v>0.68</v>
      </c>
      <c r="DT208" s="409">
        <v>0.68</v>
      </c>
      <c r="DU208" s="409">
        <v>0.68</v>
      </c>
      <c r="DV208" s="409">
        <v>0.68</v>
      </c>
      <c r="DW208" s="409">
        <v>0.68</v>
      </c>
      <c r="DX208" s="409">
        <v>0.68</v>
      </c>
      <c r="DY208" s="409">
        <v>0.68</v>
      </c>
      <c r="DZ208" s="409">
        <v>0.68</v>
      </c>
      <c r="EA208" s="409">
        <v>0.68</v>
      </c>
      <c r="EB208" s="409">
        <v>0.69</v>
      </c>
      <c r="EC208" s="409">
        <v>0.69</v>
      </c>
      <c r="ED208" s="409">
        <v>0.69</v>
      </c>
      <c r="EE208" s="409">
        <v>0.66</v>
      </c>
      <c r="EF208" s="409">
        <v>0.69</v>
      </c>
      <c r="EG208" s="409">
        <v>0.69</v>
      </c>
      <c r="EH208" s="409">
        <v>0.69</v>
      </c>
      <c r="EI208" s="409">
        <v>0.69</v>
      </c>
      <c r="EJ208" s="409"/>
      <c r="EK208" s="409"/>
      <c r="EL208" s="409"/>
      <c r="EM208" s="409"/>
    </row>
    <row r="209" spans="2:143" ht="12.75" customHeight="1" x14ac:dyDescent="0.2">
      <c r="B209" s="353" t="s">
        <v>499</v>
      </c>
      <c r="DK209" s="351">
        <f t="shared" ref="DK209:EI209" si="777">DK208*DK106</f>
        <v>3150.44</v>
      </c>
      <c r="DL209" s="351">
        <f t="shared" si="777"/>
        <v>3280.32</v>
      </c>
      <c r="DM209" s="351">
        <f t="shared" si="777"/>
        <v>3621.0000000000005</v>
      </c>
      <c r="DN209" s="351">
        <f t="shared" si="777"/>
        <v>4581.1600000000008</v>
      </c>
      <c r="DO209" s="351">
        <f t="shared" si="777"/>
        <v>5486.2400000000007</v>
      </c>
      <c r="DP209" s="351">
        <f t="shared" si="777"/>
        <v>5735.8</v>
      </c>
      <c r="DQ209" s="351">
        <f t="shared" si="777"/>
        <v>5826.92</v>
      </c>
      <c r="DR209" s="351">
        <f t="shared" si="777"/>
        <v>6740.84</v>
      </c>
      <c r="DS209" s="351">
        <f t="shared" si="777"/>
        <v>6991.0800000000008</v>
      </c>
      <c r="DT209" s="351">
        <f t="shared" si="777"/>
        <v>7609.88</v>
      </c>
      <c r="DU209" s="351">
        <f t="shared" si="777"/>
        <v>8557.8000000000011</v>
      </c>
      <c r="DV209" s="351">
        <f t="shared" si="777"/>
        <v>10141.52</v>
      </c>
      <c r="DW209" s="351">
        <f t="shared" si="777"/>
        <v>11483.160000000002</v>
      </c>
      <c r="DX209" s="351">
        <f t="shared" si="777"/>
        <v>12985.28</v>
      </c>
      <c r="DY209" s="351">
        <f t="shared" si="777"/>
        <v>13792.44</v>
      </c>
      <c r="DZ209" s="351">
        <f t="shared" si="777"/>
        <v>14780.480000000001</v>
      </c>
      <c r="EA209" s="351">
        <f t="shared" si="777"/>
        <v>15725.68</v>
      </c>
      <c r="EB209" s="351">
        <f t="shared" si="777"/>
        <v>16266.06</v>
      </c>
      <c r="EC209" s="351">
        <f t="shared" si="777"/>
        <v>16974.689999999999</v>
      </c>
      <c r="ED209" s="351">
        <f t="shared" si="777"/>
        <v>17787.509999999998</v>
      </c>
      <c r="EE209" s="351">
        <f t="shared" si="777"/>
        <v>18101.16</v>
      </c>
      <c r="EF209" s="351">
        <f t="shared" si="777"/>
        <v>19658.099999999999</v>
      </c>
      <c r="EG209" s="351">
        <f t="shared" si="777"/>
        <v>19926.430649999998</v>
      </c>
      <c r="EH209" s="351">
        <f t="shared" si="777"/>
        <v>20202.036987749998</v>
      </c>
      <c r="EI209" s="351">
        <f t="shared" si="777"/>
        <v>20485.113759281252</v>
      </c>
      <c r="EJ209" s="351"/>
      <c r="EK209" s="351"/>
      <c r="EL209" s="351"/>
      <c r="EM209" s="351"/>
    </row>
    <row r="210" spans="2:143" ht="12.75" customHeight="1" x14ac:dyDescent="0.2">
      <c r="B210" s="353" t="s">
        <v>500</v>
      </c>
      <c r="DK210" s="409">
        <v>0.5</v>
      </c>
      <c r="DL210" s="409">
        <v>0.5</v>
      </c>
      <c r="DM210" s="409">
        <v>0.5</v>
      </c>
      <c r="DN210" s="409">
        <v>0.5</v>
      </c>
      <c r="DO210" s="409">
        <v>0.5</v>
      </c>
      <c r="DP210" s="409">
        <v>0.5</v>
      </c>
      <c r="DQ210" s="409">
        <v>0.5</v>
      </c>
      <c r="DR210" s="409">
        <v>0.5</v>
      </c>
      <c r="DS210" s="409">
        <v>0.5</v>
      </c>
      <c r="DT210" s="409">
        <v>0.5</v>
      </c>
      <c r="DU210" s="409">
        <v>0.5</v>
      </c>
      <c r="DV210" s="409">
        <v>0.5</v>
      </c>
      <c r="DW210" s="409">
        <v>0.5</v>
      </c>
      <c r="DX210" s="409">
        <v>0.5</v>
      </c>
      <c r="DY210" s="409">
        <v>0.5</v>
      </c>
      <c r="DZ210" s="409">
        <v>0.5</v>
      </c>
      <c r="EA210" s="409">
        <v>0.5</v>
      </c>
      <c r="EB210" s="409">
        <v>0.52</v>
      </c>
      <c r="EC210" s="409">
        <v>0.51</v>
      </c>
      <c r="ED210" s="409">
        <v>0.52</v>
      </c>
      <c r="EE210" s="409">
        <v>0.53</v>
      </c>
      <c r="EF210" s="409">
        <v>0.52</v>
      </c>
      <c r="EG210" s="409">
        <v>0.52</v>
      </c>
      <c r="EH210" s="409">
        <v>0.52</v>
      </c>
      <c r="EI210" s="409">
        <v>0.52</v>
      </c>
      <c r="EJ210" s="409"/>
      <c r="EK210" s="409"/>
      <c r="EL210" s="409"/>
      <c r="EM210" s="409"/>
    </row>
    <row r="211" spans="2:143" ht="12.75" customHeight="1" x14ac:dyDescent="0.2">
      <c r="B211" s="353" t="s">
        <v>501</v>
      </c>
      <c r="DK211" s="351">
        <f t="shared" ref="DK211:EI211" si="778">DK210*DK113</f>
        <v>2390</v>
      </c>
      <c r="DL211" s="351">
        <f t="shared" si="778"/>
        <v>2412</v>
      </c>
      <c r="DM211" s="351">
        <f t="shared" si="778"/>
        <v>2625.5</v>
      </c>
      <c r="DN211" s="351">
        <f t="shared" si="778"/>
        <v>2915.5</v>
      </c>
      <c r="DO211" s="351">
        <f t="shared" si="778"/>
        <v>3182</v>
      </c>
      <c r="DP211" s="351">
        <f t="shared" si="778"/>
        <v>3249</v>
      </c>
      <c r="DQ211" s="351">
        <f t="shared" si="778"/>
        <v>3263</v>
      </c>
      <c r="DR211" s="351">
        <f t="shared" si="778"/>
        <v>3432</v>
      </c>
      <c r="DS211" s="351">
        <f t="shared" si="778"/>
        <v>3452</v>
      </c>
      <c r="DT211" s="351">
        <f t="shared" si="778"/>
        <v>3481</v>
      </c>
      <c r="DU211" s="351">
        <f t="shared" si="778"/>
        <v>3282</v>
      </c>
      <c r="DV211" s="351">
        <f t="shared" si="778"/>
        <v>3715.5</v>
      </c>
      <c r="DW211" s="351">
        <f t="shared" si="778"/>
        <v>4166.5</v>
      </c>
      <c r="DX211" s="351">
        <f t="shared" si="778"/>
        <v>4548</v>
      </c>
      <c r="DY211" s="351">
        <f t="shared" si="778"/>
        <v>4887</v>
      </c>
      <c r="DZ211" s="351">
        <f t="shared" si="778"/>
        <v>7246.5</v>
      </c>
      <c r="EA211" s="351">
        <f t="shared" si="778"/>
        <v>8027</v>
      </c>
      <c r="EB211" s="351">
        <f t="shared" si="778"/>
        <v>8217.56</v>
      </c>
      <c r="EC211" s="351">
        <f t="shared" si="778"/>
        <v>7440.9000000000005</v>
      </c>
      <c r="ED211" s="351">
        <f t="shared" si="778"/>
        <v>7739.16</v>
      </c>
      <c r="EE211" s="351">
        <f t="shared" si="778"/>
        <v>7656.9100000000008</v>
      </c>
      <c r="EF211" s="351">
        <f t="shared" si="778"/>
        <v>7642.4400000000005</v>
      </c>
      <c r="EG211" s="351">
        <f t="shared" si="778"/>
        <v>7795.2888000000003</v>
      </c>
      <c r="EH211" s="351">
        <f t="shared" si="778"/>
        <v>7951.1945760000008</v>
      </c>
      <c r="EI211" s="351">
        <f t="shared" si="778"/>
        <v>8110.2184675200015</v>
      </c>
      <c r="EJ211" s="351"/>
      <c r="EK211" s="351"/>
      <c r="EL211" s="351"/>
      <c r="EM211" s="351"/>
    </row>
    <row r="212" spans="2:143" ht="12.75" customHeight="1" x14ac:dyDescent="0.2">
      <c r="B212" s="353" t="s">
        <v>502</v>
      </c>
      <c r="DK212" s="351">
        <f t="shared" ref="DK212:EH212" si="779">DK211+DK209+DK207</f>
        <v>9229.44</v>
      </c>
      <c r="DL212" s="351">
        <f t="shared" si="779"/>
        <v>9508.82</v>
      </c>
      <c r="DM212" s="351">
        <f t="shared" si="779"/>
        <v>10630.8</v>
      </c>
      <c r="DN212" s="351">
        <f t="shared" si="779"/>
        <v>12829.560000000001</v>
      </c>
      <c r="DO212" s="351">
        <f t="shared" si="779"/>
        <v>14778.04</v>
      </c>
      <c r="DP212" s="351">
        <f t="shared" si="779"/>
        <v>15526.399999999998</v>
      </c>
      <c r="DQ212" s="351">
        <f t="shared" si="779"/>
        <v>16367.619999999999</v>
      </c>
      <c r="DR212" s="351">
        <f t="shared" si="779"/>
        <v>19262.739999999998</v>
      </c>
      <c r="DS212" s="351">
        <f t="shared" si="779"/>
        <v>20603.980000000003</v>
      </c>
      <c r="DT212" s="351">
        <f t="shared" si="779"/>
        <v>23714.230000000003</v>
      </c>
      <c r="DU212" s="351">
        <f t="shared" si="779"/>
        <v>26418.15</v>
      </c>
      <c r="DV212" s="351">
        <f t="shared" si="779"/>
        <v>30446.47</v>
      </c>
      <c r="DW212" s="351">
        <f t="shared" si="779"/>
        <v>34458.46</v>
      </c>
      <c r="DX212" s="351">
        <f t="shared" si="779"/>
        <v>36506.979999999996</v>
      </c>
      <c r="DY212" s="351">
        <f t="shared" si="779"/>
        <v>38456.39</v>
      </c>
      <c r="DZ212" s="351">
        <f t="shared" si="779"/>
        <v>43163.08</v>
      </c>
      <c r="EA212" s="351">
        <f>EA211+EA209+EA207</f>
        <v>44634.630000000005</v>
      </c>
      <c r="EB212" s="351">
        <f>EB211+EB209+EB207</f>
        <v>44301.22</v>
      </c>
      <c r="EC212" s="351">
        <f t="shared" si="779"/>
        <v>43339.99</v>
      </c>
      <c r="ED212" s="351">
        <f t="shared" si="779"/>
        <v>46970.509999999995</v>
      </c>
      <c r="EE212" s="351">
        <f t="shared" si="779"/>
        <v>47750.97</v>
      </c>
      <c r="EF212" s="351">
        <f t="shared" si="779"/>
        <v>52050.54</v>
      </c>
      <c r="EG212" s="351">
        <f t="shared" si="779"/>
        <v>56215.072249999997</v>
      </c>
      <c r="EH212" s="351">
        <f t="shared" si="779"/>
        <v>56696.719283750004</v>
      </c>
      <c r="EI212" s="351">
        <f>EI211+EI209+EI207</f>
        <v>53311.942386801253</v>
      </c>
      <c r="EJ212" s="351"/>
      <c r="EK212" s="351"/>
      <c r="EL212" s="351"/>
      <c r="EM212" s="351"/>
    </row>
    <row r="213" spans="2:143" ht="12.75" customHeight="1" x14ac:dyDescent="0.2">
      <c r="B213" s="353" t="s">
        <v>503</v>
      </c>
      <c r="DK213" s="351">
        <f t="shared" ref="DK213:EI213" si="780">DK57</f>
        <v>9075</v>
      </c>
      <c r="DL213" s="351">
        <f t="shared" si="780"/>
        <v>9347</v>
      </c>
      <c r="DM213" s="351">
        <f t="shared" si="780"/>
        <v>10435</v>
      </c>
      <c r="DN213" s="351">
        <f t="shared" si="780"/>
        <v>12607</v>
      </c>
      <c r="DO213" s="351">
        <f t="shared" si="780"/>
        <v>14602</v>
      </c>
      <c r="DP213" s="351">
        <f t="shared" si="780"/>
        <v>15477</v>
      </c>
      <c r="DQ213" s="351">
        <f t="shared" si="780"/>
        <v>16221</v>
      </c>
      <c r="DR213" s="351">
        <f t="shared" si="780"/>
        <v>19029</v>
      </c>
      <c r="DS213" s="351">
        <f t="shared" si="780"/>
        <v>20278</v>
      </c>
      <c r="DT213" s="351">
        <f t="shared" si="780"/>
        <v>23468</v>
      </c>
      <c r="DU213" s="351">
        <f t="shared" si="780"/>
        <v>26464.9</v>
      </c>
      <c r="DV213" s="351">
        <f t="shared" si="780"/>
        <v>30189.4</v>
      </c>
      <c r="DW213" s="351">
        <f t="shared" si="780"/>
        <v>34695</v>
      </c>
      <c r="DX213" s="351">
        <f t="shared" si="780"/>
        <v>35544</v>
      </c>
      <c r="DY213" s="351">
        <f t="shared" si="780"/>
        <v>38267</v>
      </c>
      <c r="DZ213" s="351">
        <f t="shared" si="780"/>
        <v>43344</v>
      </c>
      <c r="EA213" s="351">
        <f t="shared" si="780"/>
        <v>45236</v>
      </c>
      <c r="EB213" s="351">
        <f t="shared" si="780"/>
        <v>43563</v>
      </c>
      <c r="EC213" s="351">
        <f t="shared" si="780"/>
        <v>42663</v>
      </c>
      <c r="ED213" s="351">
        <f t="shared" si="780"/>
        <v>48029</v>
      </c>
      <c r="EE213" s="351">
        <f t="shared" si="780"/>
        <v>46089</v>
      </c>
      <c r="EF213" s="351">
        <f t="shared" si="780"/>
        <v>48970</v>
      </c>
      <c r="EG213" s="351">
        <f t="shared" si="780"/>
        <v>52611.55814999999</v>
      </c>
      <c r="EH213" s="351">
        <f t="shared" si="780"/>
        <v>53133.349794749993</v>
      </c>
      <c r="EI213" s="351">
        <f t="shared" si="780"/>
        <v>50626.819132721241</v>
      </c>
      <c r="EJ213" s="351"/>
      <c r="EK213" s="351"/>
      <c r="EL213" s="351"/>
      <c r="EM213" s="351"/>
    </row>
    <row r="214" spans="2:143" ht="12.75" customHeight="1" x14ac:dyDescent="0.2">
      <c r="DK214" s="409">
        <f t="shared" ref="DK214:EI214" si="781">DK212/DK213-1</f>
        <v>1.7018181818181821E-2</v>
      </c>
      <c r="DL214" s="409">
        <f t="shared" si="781"/>
        <v>1.7312506686637308E-2</v>
      </c>
      <c r="DM214" s="409">
        <f t="shared" si="781"/>
        <v>1.8763775754671697E-2</v>
      </c>
      <c r="DN214" s="409">
        <f t="shared" si="781"/>
        <v>1.7653684461013786E-2</v>
      </c>
      <c r="DO214" s="409">
        <f t="shared" si="781"/>
        <v>1.205588275578684E-2</v>
      </c>
      <c r="DP214" s="409">
        <f t="shared" si="781"/>
        <v>3.1918330425790842E-3</v>
      </c>
      <c r="DQ214" s="409">
        <f t="shared" si="781"/>
        <v>9.0389001911101996E-3</v>
      </c>
      <c r="DR214" s="409">
        <f t="shared" si="781"/>
        <v>1.2283356981449334E-2</v>
      </c>
      <c r="DS214" s="409">
        <f t="shared" si="781"/>
        <v>1.6075549856988003E-2</v>
      </c>
      <c r="DT214" s="409">
        <f t="shared" si="781"/>
        <v>1.0492159536390044E-2</v>
      </c>
      <c r="DU214" s="409">
        <f t="shared" si="781"/>
        <v>-1.7664907103370764E-3</v>
      </c>
      <c r="DV214" s="409">
        <f t="shared" si="781"/>
        <v>8.5152404486343869E-3</v>
      </c>
      <c r="DW214" s="409">
        <f t="shared" si="781"/>
        <v>-6.8176970745064125E-3</v>
      </c>
      <c r="DX214" s="409">
        <f t="shared" si="781"/>
        <v>2.7092617600720015E-2</v>
      </c>
      <c r="DY214" s="409">
        <f t="shared" si="781"/>
        <v>4.9491729166122322E-3</v>
      </c>
      <c r="DZ214" s="409">
        <f t="shared" si="781"/>
        <v>-4.1740494647470872E-3</v>
      </c>
      <c r="EA214" s="409">
        <f>EA212/EA213-1</f>
        <v>-1.3294057830046779E-2</v>
      </c>
      <c r="EB214" s="409">
        <f t="shared" si="781"/>
        <v>1.694603218327484E-2</v>
      </c>
      <c r="EC214" s="409">
        <f t="shared" si="781"/>
        <v>1.5868316808475669E-2</v>
      </c>
      <c r="ED214" s="409">
        <f t="shared" si="781"/>
        <v>-2.2038560036644617E-2</v>
      </c>
      <c r="EE214" s="409">
        <f t="shared" si="781"/>
        <v>3.6060014320119738E-2</v>
      </c>
      <c r="EF214" s="409">
        <f t="shared" si="781"/>
        <v>6.2906677557688306E-2</v>
      </c>
      <c r="EG214" s="409">
        <f t="shared" si="781"/>
        <v>6.8492822237389062E-2</v>
      </c>
      <c r="EH214" s="409">
        <f t="shared" si="781"/>
        <v>6.7064649655348862E-2</v>
      </c>
      <c r="EI214" s="409">
        <f t="shared" si="781"/>
        <v>5.3037565860908575E-2</v>
      </c>
      <c r="EJ214" s="409"/>
      <c r="EK214" s="409"/>
      <c r="EL214" s="409"/>
      <c r="EM214" s="409"/>
    </row>
    <row r="216" spans="2:143" ht="12.75" customHeight="1" x14ac:dyDescent="0.2">
      <c r="DI216" s="409">
        <f>DI218/DH218-1</f>
        <v>0.25562659846547309</v>
      </c>
      <c r="DJ216" s="409">
        <f>DJ218/DI218-1</f>
        <v>0.42657093390365608</v>
      </c>
      <c r="DK216" s="409">
        <f t="shared" ref="DK216:EC216" si="782">DK218/DJ218-1</f>
        <v>0.10113332143494569</v>
      </c>
      <c r="DL216" s="409">
        <f t="shared" si="782"/>
        <v>-0.14917377809113974</v>
      </c>
      <c r="DM216" s="409">
        <f t="shared" si="782"/>
        <v>9.9994284952279466E-2</v>
      </c>
      <c r="DN216" s="409">
        <f t="shared" si="782"/>
        <v>0.48981677115444544</v>
      </c>
      <c r="DO216" s="409">
        <f t="shared" si="782"/>
        <v>0.41138041267073544</v>
      </c>
      <c r="DP216" s="409">
        <f t="shared" si="782"/>
        <v>0.22817796959164505</v>
      </c>
      <c r="DQ216" s="409">
        <f t="shared" si="782"/>
        <v>0.25775560294531852</v>
      </c>
      <c r="DR216" s="409">
        <f t="shared" si="782"/>
        <v>0.25347366625078638</v>
      </c>
      <c r="DS216" s="409">
        <f t="shared" si="782"/>
        <v>-5.0775434507048245E-2</v>
      </c>
      <c r="DT216" s="409">
        <f t="shared" si="782"/>
        <v>0.16366952414667701</v>
      </c>
      <c r="DU216" s="409">
        <f t="shared" si="782"/>
        <v>0.10976544298581725</v>
      </c>
      <c r="DV216" s="409">
        <f t="shared" si="782"/>
        <v>-8.7398719572496786E-2</v>
      </c>
      <c r="DW216" s="409">
        <f t="shared" si="782"/>
        <v>6.251758568506216E-2</v>
      </c>
      <c r="DX216" s="409">
        <f t="shared" si="782"/>
        <v>0.15754186945319226</v>
      </c>
      <c r="DY216" s="409">
        <f t="shared" si="782"/>
        <v>-3.8345903015332472E-2</v>
      </c>
      <c r="DZ216" s="409">
        <f t="shared" si="782"/>
        <v>2.8381984183115661E-2</v>
      </c>
      <c r="EA216" s="409">
        <f t="shared" si="782"/>
        <v>1.4634786808528588E-2</v>
      </c>
      <c r="EB216" s="409">
        <f t="shared" si="782"/>
        <v>-0.10975444434174453</v>
      </c>
      <c r="EC216" s="409">
        <f t="shared" si="782"/>
        <v>0.10686215811204125</v>
      </c>
      <c r="ED216" s="409">
        <f>RATE(20,0,DH218,-EC218)</f>
        <v>0.12326505798646253</v>
      </c>
    </row>
    <row r="217" spans="2:143" ht="12.75" customHeight="1" x14ac:dyDescent="0.2">
      <c r="B217" s="58" t="s">
        <v>1449</v>
      </c>
      <c r="DH217" s="390">
        <v>5.2266000000000004</v>
      </c>
      <c r="DI217" s="390">
        <v>6.5</v>
      </c>
      <c r="DJ217" s="390">
        <v>8.2030999999999992</v>
      </c>
      <c r="DK217" s="390">
        <v>10.7813</v>
      </c>
      <c r="DL217" s="390">
        <v>8.9062999999999999</v>
      </c>
      <c r="DM217" s="390">
        <v>9.1875</v>
      </c>
      <c r="DN217" s="390">
        <v>13.4375</v>
      </c>
      <c r="DO217" s="390">
        <v>20.9375</v>
      </c>
      <c r="DP217" s="390">
        <v>24.875</v>
      </c>
      <c r="DQ217" s="390">
        <v>32</v>
      </c>
      <c r="DR217" s="390">
        <v>39.031300000000002</v>
      </c>
      <c r="DS217" s="390">
        <v>34.25</v>
      </c>
      <c r="DT217" s="390">
        <v>41.625</v>
      </c>
      <c r="DU217" s="390">
        <v>41.85</v>
      </c>
      <c r="DV217" s="390">
        <v>48.73</v>
      </c>
      <c r="DW217" s="390">
        <v>49.5</v>
      </c>
      <c r="DX217" s="390">
        <v>60.04</v>
      </c>
      <c r="DY217" s="390">
        <v>56.8</v>
      </c>
      <c r="DZ217" s="390">
        <v>59.77</v>
      </c>
      <c r="EA217" s="390">
        <v>55.33</v>
      </c>
      <c r="EB217" s="390">
        <v>46.6</v>
      </c>
      <c r="EC217" s="390">
        <v>58.3</v>
      </c>
    </row>
    <row r="218" spans="2:143" ht="12.75" customHeight="1" x14ac:dyDescent="0.2">
      <c r="B218" s="353" t="s">
        <v>504</v>
      </c>
      <c r="DH218" s="390">
        <v>6.2560000000000002</v>
      </c>
      <c r="DI218" s="390">
        <v>7.8552</v>
      </c>
      <c r="DJ218" s="390">
        <v>11.206</v>
      </c>
      <c r="DK218" s="390">
        <v>12.3393</v>
      </c>
      <c r="DL218" s="390">
        <v>10.4986</v>
      </c>
      <c r="DM218" s="390">
        <v>11.548400000000001</v>
      </c>
      <c r="DN218" s="390">
        <v>17.204999999999998</v>
      </c>
      <c r="DO218" s="390">
        <v>24.282800000000002</v>
      </c>
      <c r="DP218" s="390">
        <v>29.823599999999999</v>
      </c>
      <c r="DQ218" s="390">
        <v>37.510800000000003</v>
      </c>
      <c r="DR218" s="390">
        <v>47.018799999999999</v>
      </c>
      <c r="DS218" s="390">
        <v>44.631399999999999</v>
      </c>
      <c r="DT218" s="390">
        <v>51.936199999999999</v>
      </c>
      <c r="DU218" s="390">
        <v>57.637</v>
      </c>
      <c r="DV218" s="390">
        <v>52.599600000000002</v>
      </c>
      <c r="DW218" s="390">
        <v>55.887999999999998</v>
      </c>
      <c r="DX218" s="390">
        <v>64.692700000000002</v>
      </c>
      <c r="DY218" s="390">
        <v>62.212000000000003</v>
      </c>
      <c r="DZ218" s="390">
        <v>63.977699999999999</v>
      </c>
      <c r="EA218" s="390">
        <v>64.914000000000001</v>
      </c>
      <c r="EB218" s="390">
        <v>57.789400000000001</v>
      </c>
      <c r="EC218" s="390">
        <v>63.9649</v>
      </c>
    </row>
    <row r="219" spans="2:143" ht="12.75" customHeight="1" x14ac:dyDescent="0.2">
      <c r="B219" s="353" t="s">
        <v>282</v>
      </c>
      <c r="DH219" s="351">
        <f t="shared" ref="DH219:EC219" si="783">DH218*DH68</f>
        <v>16670.988800000003</v>
      </c>
      <c r="DI219" s="351">
        <f t="shared" si="783"/>
        <v>20772.29088</v>
      </c>
      <c r="DJ219" s="351">
        <f t="shared" si="783"/>
        <v>34395.965343999997</v>
      </c>
      <c r="DK219" s="351">
        <f t="shared" si="783"/>
        <v>37875.0371352</v>
      </c>
      <c r="DL219" s="351">
        <f t="shared" si="783"/>
        <v>32225.326716799998</v>
      </c>
      <c r="DM219" s="351">
        <f t="shared" si="783"/>
        <v>35448.506703999999</v>
      </c>
      <c r="DN219" s="351">
        <f t="shared" si="783"/>
        <v>52813.293839999998</v>
      </c>
      <c r="DO219" s="351">
        <f t="shared" si="783"/>
        <v>74539.648454400012</v>
      </c>
      <c r="DP219" s="351">
        <f t="shared" si="783"/>
        <v>91547.954092800006</v>
      </c>
      <c r="DQ219" s="351">
        <f t="shared" si="783"/>
        <v>115144.95219840002</v>
      </c>
      <c r="DR219" s="351">
        <f t="shared" si="783"/>
        <v>144339.8168416</v>
      </c>
      <c r="DS219" s="351">
        <f t="shared" si="783"/>
        <v>137011.3462388</v>
      </c>
      <c r="DT219" s="351">
        <f t="shared" si="783"/>
        <v>162032.73808040001</v>
      </c>
      <c r="DU219" s="351">
        <f t="shared" si="783"/>
        <v>171083.618915</v>
      </c>
      <c r="DV219" s="351">
        <f t="shared" si="783"/>
        <v>156114.1926108</v>
      </c>
      <c r="DW219" s="351">
        <f t="shared" si="783"/>
        <v>166044.53342399999</v>
      </c>
      <c r="DX219" s="351">
        <f t="shared" si="783"/>
        <v>192427.01291060002</v>
      </c>
      <c r="DY219" s="351">
        <f t="shared" si="783"/>
        <v>184209.73200000002</v>
      </c>
      <c r="DZ219" s="351">
        <f t="shared" si="783"/>
        <v>186317.45738250003</v>
      </c>
      <c r="EA219" s="351">
        <f t="shared" si="783"/>
        <v>184096.10400000002</v>
      </c>
      <c r="EB219" s="351">
        <f t="shared" si="783"/>
        <v>161251.207555</v>
      </c>
      <c r="EC219" s="351">
        <f t="shared" si="783"/>
        <v>178482.85959250003</v>
      </c>
    </row>
    <row r="220" spans="2:143" ht="12.75" customHeight="1" x14ac:dyDescent="0.2">
      <c r="B220" s="353" t="s">
        <v>1450</v>
      </c>
      <c r="DH220" s="425">
        <f t="shared" ref="DH220:EC220" si="784">DH217/DH67</f>
        <v>12.872313937153422</v>
      </c>
      <c r="DI220" s="425">
        <f t="shared" si="784"/>
        <v>13.783961507618285</v>
      </c>
      <c r="DJ220" s="425">
        <f t="shared" si="784"/>
        <v>17.233943883915124</v>
      </c>
      <c r="DK220" s="425">
        <f t="shared" si="784"/>
        <v>20.364807521969229</v>
      </c>
      <c r="DL220" s="425">
        <f t="shared" si="784"/>
        <v>15.298142682932287</v>
      </c>
      <c r="DM220" s="425">
        <f t="shared" si="784"/>
        <v>14.058615403788634</v>
      </c>
      <c r="DN220" s="425">
        <f t="shared" si="784"/>
        <v>17.165374531835209</v>
      </c>
      <c r="DO220" s="425">
        <f t="shared" si="784"/>
        <v>22.262125043297541</v>
      </c>
      <c r="DP220" s="425">
        <f t="shared" si="784"/>
        <v>23.117618528610354</v>
      </c>
      <c r="DQ220" s="425">
        <f t="shared" si="784"/>
        <v>25.607074035453596</v>
      </c>
      <c r="DR220" s="425">
        <f t="shared" si="784"/>
        <v>28.754387746964241</v>
      </c>
      <c r="DS220" s="425">
        <f t="shared" si="784"/>
        <v>21.809186579547813</v>
      </c>
      <c r="DT220" s="425">
        <f t="shared" si="784"/>
        <v>22.494963320630522</v>
      </c>
      <c r="DU220" s="425">
        <f t="shared" si="784"/>
        <v>16.409005537998198</v>
      </c>
      <c r="DV220" s="425">
        <f t="shared" si="784"/>
        <v>16.781458773090129</v>
      </c>
      <c r="DW220" s="425">
        <f t="shared" si="784"/>
        <v>15.820313952237523</v>
      </c>
      <c r="DX220" s="425">
        <f t="shared" si="784"/>
        <v>18.303541982166649</v>
      </c>
      <c r="DY220" s="425">
        <f t="shared" si="784"/>
        <v>15.106871463217461</v>
      </c>
      <c r="DZ220" s="425">
        <f t="shared" si="784"/>
        <v>14.207609394682637</v>
      </c>
      <c r="EA220" s="425">
        <f t="shared" si="784"/>
        <v>12.163078831098366</v>
      </c>
      <c r="EB220" s="425">
        <f t="shared" si="784"/>
        <v>7.7497478916470488</v>
      </c>
      <c r="EC220" s="425">
        <f t="shared" si="784"/>
        <v>12.373617365178369</v>
      </c>
    </row>
    <row r="221" spans="2:143" ht="12.75" customHeight="1" x14ac:dyDescent="0.2">
      <c r="B221" s="58" t="s">
        <v>1451</v>
      </c>
      <c r="DH221" s="425">
        <f t="shared" ref="DH221:EC221" si="785">DH219/DH66</f>
        <v>15.407568207024033</v>
      </c>
      <c r="DI221" s="425">
        <f t="shared" si="785"/>
        <v>16.65781145148356</v>
      </c>
      <c r="DJ221" s="425">
        <f t="shared" si="785"/>
        <v>23.542755197809718</v>
      </c>
      <c r="DK221" s="425">
        <f t="shared" si="785"/>
        <v>23.307715160123077</v>
      </c>
      <c r="DL221" s="425">
        <f t="shared" si="785"/>
        <v>18.033199058086176</v>
      </c>
      <c r="DM221" s="425">
        <f t="shared" si="785"/>
        <v>17.671239633100697</v>
      </c>
      <c r="DN221" s="425">
        <f t="shared" si="785"/>
        <v>21.978066516853932</v>
      </c>
      <c r="DO221" s="425">
        <f t="shared" si="785"/>
        <v>25.819067701558716</v>
      </c>
      <c r="DP221" s="425">
        <f t="shared" si="785"/>
        <v>27.716607354768396</v>
      </c>
      <c r="DQ221" s="425">
        <f t="shared" si="785"/>
        <v>30.016932272784153</v>
      </c>
      <c r="DR221" s="425">
        <f t="shared" si="785"/>
        <v>34.638784939188866</v>
      </c>
      <c r="DS221" s="425">
        <f t="shared" si="785"/>
        <v>28.419694303837378</v>
      </c>
      <c r="DT221" s="425">
        <f t="shared" si="785"/>
        <v>28.067337273583927</v>
      </c>
      <c r="DU221" s="425">
        <f t="shared" si="785"/>
        <v>22.598945094231826</v>
      </c>
      <c r="DV221" s="425">
        <f t="shared" si="785"/>
        <v>18.114057436507935</v>
      </c>
      <c r="DW221" s="425">
        <f t="shared" si="785"/>
        <v>17.861933457831324</v>
      </c>
      <c r="DX221" s="425">
        <f t="shared" si="785"/>
        <v>19.721944543466233</v>
      </c>
      <c r="DY221" s="425">
        <f t="shared" si="785"/>
        <v>16.546279708973323</v>
      </c>
      <c r="DZ221" s="425">
        <f t="shared" si="785"/>
        <v>15.207799423961642</v>
      </c>
      <c r="EA221" s="425">
        <f t="shared" si="785"/>
        <v>14.269909619409349</v>
      </c>
      <c r="EB221" s="425">
        <f t="shared" si="785"/>
        <v>9.6105854250975948</v>
      </c>
      <c r="EC221" s="425">
        <f t="shared" si="785"/>
        <v>13.575938205864459</v>
      </c>
    </row>
    <row r="222" spans="2:143" ht="12.75" customHeight="1" x14ac:dyDescent="0.2">
      <c r="DH222" s="425"/>
      <c r="DI222" s="425"/>
      <c r="DJ222" s="425"/>
    </row>
    <row r="223" spans="2:143" ht="12.75" customHeight="1" x14ac:dyDescent="0.2">
      <c r="B223" s="353" t="s">
        <v>505</v>
      </c>
    </row>
    <row r="224" spans="2:143" ht="12.75" customHeight="1" x14ac:dyDescent="0.2">
      <c r="B224" s="353" t="s">
        <v>506</v>
      </c>
    </row>
    <row r="225" spans="2:128" ht="12.75" customHeight="1" x14ac:dyDescent="0.2">
      <c r="B225" s="353" t="s">
        <v>507</v>
      </c>
    </row>
    <row r="227" spans="2:128" ht="12.75" customHeight="1" x14ac:dyDescent="0.2">
      <c r="B227" s="353" t="s">
        <v>1086</v>
      </c>
      <c r="G227" s="317">
        <f>K227/1.35</f>
        <v>1220</v>
      </c>
      <c r="H227" s="317">
        <f>L227/1.47</f>
        <v>1256.4625850340137</v>
      </c>
      <c r="I227" s="317">
        <f>M227/1.53</f>
        <v>1232.2875816993464</v>
      </c>
      <c r="J227" s="317">
        <f>N227/1.21</f>
        <v>1301.9834710743803</v>
      </c>
      <c r="K227" s="317">
        <v>1647</v>
      </c>
      <c r="L227" s="317">
        <v>1847</v>
      </c>
      <c r="M227" s="317">
        <v>1885.4</v>
      </c>
      <c r="N227" s="317">
        <v>1575.4</v>
      </c>
      <c r="O227" s="317">
        <v>2070</v>
      </c>
      <c r="P227" s="317">
        <v>2283</v>
      </c>
      <c r="Q227" s="317">
        <v>2134</v>
      </c>
      <c r="R227" s="317">
        <v>1957.5</v>
      </c>
      <c r="S227" s="317">
        <v>2356</v>
      </c>
      <c r="T227" s="317">
        <v>2722</v>
      </c>
      <c r="U227" s="317">
        <v>2511</v>
      </c>
      <c r="V227" s="317">
        <v>2651</v>
      </c>
      <c r="W227" s="317">
        <v>2958</v>
      </c>
      <c r="X227" s="317">
        <v>2934</v>
      </c>
      <c r="Y227" s="317">
        <v>2939</v>
      </c>
      <c r="Z227" s="317">
        <v>3088</v>
      </c>
      <c r="AA227" s="317">
        <v>3263</v>
      </c>
      <c r="AB227" s="317">
        <v>3278</v>
      </c>
      <c r="AC227" s="317">
        <v>3284.6990821500003</v>
      </c>
      <c r="AD227" s="317">
        <v>3445.9594690500003</v>
      </c>
      <c r="AE227" s="317">
        <v>3643</v>
      </c>
      <c r="AF227" s="317">
        <v>3642.9836656400007</v>
      </c>
      <c r="AG227" s="317">
        <v>3694</v>
      </c>
      <c r="AH227" s="317">
        <v>3980</v>
      </c>
      <c r="AI227" s="317">
        <v>3783</v>
      </c>
      <c r="AJ227" s="317">
        <v>3594.5647360624998</v>
      </c>
      <c r="AK227" s="317">
        <v>3526.6955764586251</v>
      </c>
      <c r="AL227" s="317">
        <v>3573.027514656625</v>
      </c>
      <c r="AM227" s="317">
        <v>3701</v>
      </c>
      <c r="AN227" s="317">
        <v>3682</v>
      </c>
      <c r="AU227" s="317">
        <v>4070</v>
      </c>
      <c r="AV227" s="317">
        <v>3793</v>
      </c>
      <c r="AY227" s="317">
        <v>3674</v>
      </c>
      <c r="AZ227" s="317">
        <v>3172</v>
      </c>
      <c r="DQ227" s="317">
        <v>6106</v>
      </c>
      <c r="DR227" s="317">
        <v>6955</v>
      </c>
      <c r="DS227" s="317">
        <v>8445</v>
      </c>
      <c r="DT227" s="317">
        <v>10240</v>
      </c>
      <c r="DU227" s="317">
        <v>11919</v>
      </c>
      <c r="DV227" s="317">
        <v>13272</v>
      </c>
      <c r="DW227" s="317">
        <v>14960</v>
      </c>
      <c r="DX227" s="317">
        <v>14477</v>
      </c>
    </row>
    <row r="228" spans="2:128" ht="12.75" customHeight="1" x14ac:dyDescent="0.2">
      <c r="B228" s="353" t="s">
        <v>1087</v>
      </c>
      <c r="G228" s="317">
        <f>K228/1.13</f>
        <v>929.2035398230089</v>
      </c>
      <c r="H228" s="317">
        <f>L228/1.12</f>
        <v>991.07142857142844</v>
      </c>
      <c r="I228" s="317">
        <f>M228/1.1</f>
        <v>955.45454545454538</v>
      </c>
      <c r="J228" s="317">
        <f>N228/1.05</f>
        <v>1013.3333333333333</v>
      </c>
      <c r="K228" s="317">
        <v>1050</v>
      </c>
      <c r="L228" s="317">
        <v>1110</v>
      </c>
      <c r="M228" s="317">
        <v>1051</v>
      </c>
      <c r="N228" s="317">
        <v>1064</v>
      </c>
      <c r="O228" s="317">
        <v>1093</v>
      </c>
      <c r="P228" s="317">
        <v>1100</v>
      </c>
      <c r="Q228" s="317">
        <v>1034</v>
      </c>
      <c r="R228" s="317">
        <v>989.5</v>
      </c>
      <c r="S228" s="317">
        <v>1133</v>
      </c>
      <c r="T228" s="317">
        <v>1142</v>
      </c>
      <c r="U228" s="317">
        <v>1166</v>
      </c>
      <c r="V228" s="317">
        <v>1169</v>
      </c>
      <c r="W228" s="317">
        <v>1223</v>
      </c>
      <c r="X228" s="317">
        <v>1324</v>
      </c>
      <c r="Y228" s="317">
        <v>1338</v>
      </c>
      <c r="Z228" s="317">
        <v>1347</v>
      </c>
      <c r="AA228" s="317">
        <v>1403</v>
      </c>
      <c r="AB228" s="317">
        <v>1606</v>
      </c>
      <c r="AC228" s="317">
        <v>1548.85</v>
      </c>
      <c r="AD228" s="317">
        <v>1686.4</v>
      </c>
      <c r="AE228" s="317">
        <v>1733</v>
      </c>
      <c r="AF228" s="317">
        <v>1784</v>
      </c>
      <c r="AG228" s="317">
        <v>1791</v>
      </c>
      <c r="AH228" s="317">
        <v>1860</v>
      </c>
      <c r="AI228" s="317">
        <v>1972</v>
      </c>
      <c r="AJ228" s="317">
        <v>2033</v>
      </c>
      <c r="AK228" s="317">
        <v>1930</v>
      </c>
      <c r="AL228" s="317">
        <v>1909</v>
      </c>
      <c r="AM228" s="317">
        <v>1925</v>
      </c>
      <c r="AN228" s="317">
        <v>2128</v>
      </c>
      <c r="AU228" s="317">
        <v>2359</v>
      </c>
      <c r="AV228" s="317">
        <v>2547</v>
      </c>
      <c r="AY228" s="317">
        <v>2106</v>
      </c>
      <c r="AZ228" s="317">
        <v>2326</v>
      </c>
      <c r="DQ228" s="317">
        <v>3886</v>
      </c>
      <c r="DR228" s="317">
        <v>4275</v>
      </c>
      <c r="DS228" s="317">
        <v>4217</v>
      </c>
      <c r="DT228" s="317">
        <v>4611</v>
      </c>
      <c r="DU228" s="317">
        <v>5232</v>
      </c>
      <c r="DV228" s="317">
        <v>6244</v>
      </c>
      <c r="DW228" s="317">
        <v>7168</v>
      </c>
      <c r="DX228" s="317">
        <v>7844</v>
      </c>
    </row>
    <row r="229" spans="2:128" ht="12.75" customHeight="1" x14ac:dyDescent="0.2">
      <c r="B229" s="353" t="s">
        <v>1088</v>
      </c>
      <c r="G229" s="317">
        <f>G228+G227</f>
        <v>2149.2035398230091</v>
      </c>
      <c r="H229" s="317">
        <f>H228+H227</f>
        <v>2247.5340136054419</v>
      </c>
      <c r="I229" s="317">
        <f>I228+I227</f>
        <v>2187.7421271538919</v>
      </c>
      <c r="J229" s="317">
        <f>J228+J227</f>
        <v>2315.3168044077138</v>
      </c>
      <c r="K229" s="317">
        <v>2697</v>
      </c>
      <c r="L229" s="317">
        <v>2957</v>
      </c>
      <c r="M229" s="317">
        <v>2936.4</v>
      </c>
      <c r="N229" s="317">
        <v>2639.4</v>
      </c>
      <c r="O229" s="317">
        <v>3163</v>
      </c>
      <c r="P229" s="317">
        <v>3383</v>
      </c>
      <c r="Q229" s="317">
        <v>3168</v>
      </c>
      <c r="R229" s="317">
        <v>2947</v>
      </c>
      <c r="S229" s="317">
        <f t="shared" ref="S229:AN229" si="786">S99</f>
        <v>3489</v>
      </c>
      <c r="T229" s="317">
        <f t="shared" si="786"/>
        <v>3864.4</v>
      </c>
      <c r="U229" s="317">
        <f t="shared" si="786"/>
        <v>3677.4</v>
      </c>
      <c r="V229" s="317">
        <f t="shared" si="786"/>
        <v>3820</v>
      </c>
      <c r="W229" s="317">
        <f t="shared" si="786"/>
        <v>4181</v>
      </c>
      <c r="X229" s="317">
        <f t="shared" si="786"/>
        <v>4258</v>
      </c>
      <c r="Y229" s="317">
        <f t="shared" si="786"/>
        <v>4277</v>
      </c>
      <c r="Z229" s="317">
        <f t="shared" si="786"/>
        <v>4435</v>
      </c>
      <c r="AA229" s="317">
        <f t="shared" si="786"/>
        <v>4666</v>
      </c>
      <c r="AB229" s="317">
        <f t="shared" si="786"/>
        <v>4884</v>
      </c>
      <c r="AC229" s="317">
        <f t="shared" si="786"/>
        <v>4835</v>
      </c>
      <c r="AD229" s="317">
        <f t="shared" si="786"/>
        <v>5134</v>
      </c>
      <c r="AE229" s="317">
        <f t="shared" si="786"/>
        <v>5376</v>
      </c>
      <c r="AF229" s="317">
        <f t="shared" si="786"/>
        <v>5296</v>
      </c>
      <c r="AG229" s="317">
        <f t="shared" si="786"/>
        <v>4940</v>
      </c>
      <c r="AH229" s="317">
        <f t="shared" si="786"/>
        <v>5242</v>
      </c>
      <c r="AI229" s="317">
        <f t="shared" si="786"/>
        <v>5178</v>
      </c>
      <c r="AJ229" s="317">
        <f t="shared" si="786"/>
        <v>4986</v>
      </c>
      <c r="AK229" s="317">
        <f t="shared" si="786"/>
        <v>4833</v>
      </c>
      <c r="AL229" s="317">
        <f t="shared" si="786"/>
        <v>4790</v>
      </c>
      <c r="AM229" s="317">
        <f t="shared" si="786"/>
        <v>5626</v>
      </c>
      <c r="AN229" s="317">
        <f t="shared" si="786"/>
        <v>5810</v>
      </c>
      <c r="AU229" s="317">
        <f>AU99</f>
        <v>6363</v>
      </c>
      <c r="AV229" s="317">
        <f>AV99</f>
        <v>6340</v>
      </c>
      <c r="AY229" s="317">
        <f>AY99</f>
        <v>5780</v>
      </c>
      <c r="AZ229" s="317">
        <f>AZ99</f>
        <v>5498</v>
      </c>
      <c r="DQ229" s="351">
        <f t="shared" ref="DQ229:DX229" si="787">DQ228+DQ227</f>
        <v>9992</v>
      </c>
      <c r="DR229" s="317">
        <f t="shared" si="787"/>
        <v>11230</v>
      </c>
      <c r="DS229" s="317">
        <f t="shared" si="787"/>
        <v>12662</v>
      </c>
      <c r="DT229" s="317">
        <f t="shared" si="787"/>
        <v>14851</v>
      </c>
      <c r="DU229" s="317">
        <f t="shared" si="787"/>
        <v>17151</v>
      </c>
      <c r="DV229" s="317">
        <f t="shared" si="787"/>
        <v>19516</v>
      </c>
      <c r="DW229" s="317">
        <f t="shared" si="787"/>
        <v>22128</v>
      </c>
      <c r="DX229" s="317">
        <f t="shared" si="787"/>
        <v>22321</v>
      </c>
    </row>
    <row r="230" spans="2:128" ht="12.75" customHeight="1" x14ac:dyDescent="0.2">
      <c r="B230" s="58" t="s">
        <v>1089</v>
      </c>
      <c r="K230" s="317">
        <v>1289</v>
      </c>
      <c r="L230" s="317">
        <v>1315</v>
      </c>
      <c r="M230" s="317">
        <v>1331</v>
      </c>
      <c r="N230" s="317">
        <v>1361</v>
      </c>
      <c r="O230" s="317">
        <v>1311</v>
      </c>
      <c r="P230" s="317">
        <v>1360</v>
      </c>
      <c r="Q230" s="317">
        <v>1390</v>
      </c>
      <c r="R230" s="317">
        <v>1445</v>
      </c>
      <c r="S230" s="317">
        <v>1463.2</v>
      </c>
      <c r="T230" s="317">
        <v>1530</v>
      </c>
      <c r="U230" s="317">
        <v>1569</v>
      </c>
      <c r="V230" s="317">
        <v>1574</v>
      </c>
      <c r="W230" s="317">
        <v>1663</v>
      </c>
      <c r="X230" s="317">
        <v>1758</v>
      </c>
      <c r="Y230" s="317">
        <v>1740</v>
      </c>
      <c r="Z230" s="317">
        <v>1770</v>
      </c>
      <c r="AA230" s="317">
        <v>1747.6</v>
      </c>
      <c r="AB230" s="317">
        <v>1903</v>
      </c>
      <c r="AC230" s="317">
        <v>2145.4</v>
      </c>
      <c r="AD230" s="317">
        <v>2237</v>
      </c>
      <c r="AE230" s="317">
        <v>2194</v>
      </c>
      <c r="AF230" s="317">
        <v>2037.9</v>
      </c>
      <c r="AG230" s="317">
        <v>2073</v>
      </c>
      <c r="AH230" s="317">
        <v>2280</v>
      </c>
      <c r="AI230" s="317">
        <v>2361</v>
      </c>
      <c r="AJ230" s="317">
        <v>2378</v>
      </c>
      <c r="AK230" s="317">
        <v>2365</v>
      </c>
      <c r="AL230" s="317">
        <v>2390</v>
      </c>
      <c r="AM230" s="317">
        <v>2520</v>
      </c>
      <c r="AN230" s="317">
        <v>2590</v>
      </c>
      <c r="AU230" s="317">
        <v>2588</v>
      </c>
      <c r="AV230" s="317">
        <v>2723</v>
      </c>
      <c r="AY230" s="317">
        <v>2652</v>
      </c>
      <c r="AZ230" s="317">
        <v>2776</v>
      </c>
      <c r="DR230" s="317">
        <v>5296</v>
      </c>
      <c r="DS230" s="317">
        <v>5506</v>
      </c>
      <c r="DT230" s="317">
        <v>6136</v>
      </c>
      <c r="DU230" s="317">
        <v>6931</v>
      </c>
      <c r="DV230" s="317">
        <v>8033</v>
      </c>
      <c r="DW230" s="317">
        <v>8585</v>
      </c>
      <c r="DX230" s="317">
        <v>9494</v>
      </c>
    </row>
    <row r="231" spans="2:128" ht="12.75" customHeight="1" x14ac:dyDescent="0.2">
      <c r="B231" s="58" t="s">
        <v>1090</v>
      </c>
      <c r="K231" s="317">
        <v>1145</v>
      </c>
      <c r="L231" s="317">
        <v>1140</v>
      </c>
      <c r="M231" s="317">
        <v>1114</v>
      </c>
      <c r="N231" s="317">
        <v>1220</v>
      </c>
      <c r="O231" s="317">
        <v>1214</v>
      </c>
      <c r="P231" s="317">
        <v>1220</v>
      </c>
      <c r="Q231" s="317">
        <v>1158</v>
      </c>
      <c r="R231" s="317">
        <v>1183</v>
      </c>
      <c r="S231" s="317">
        <v>1272</v>
      </c>
      <c r="T231" s="317">
        <v>1255</v>
      </c>
      <c r="U231" s="317">
        <v>1202</v>
      </c>
      <c r="V231" s="317">
        <v>1281</v>
      </c>
      <c r="W231" s="317">
        <v>1295</v>
      </c>
      <c r="X231" s="317">
        <v>1408</v>
      </c>
      <c r="Y231" s="317">
        <v>1401</v>
      </c>
      <c r="Z231" s="317">
        <v>1548</v>
      </c>
      <c r="AA231" s="317">
        <v>1615.6</v>
      </c>
      <c r="AB231" s="317">
        <v>1726</v>
      </c>
      <c r="AC231" s="317">
        <v>1634</v>
      </c>
      <c r="AD231" s="317">
        <v>1904</v>
      </c>
      <c r="AE231" s="317">
        <v>1942</v>
      </c>
      <c r="AF231" s="317">
        <v>2019.4</v>
      </c>
      <c r="AG231" s="317">
        <v>1971</v>
      </c>
      <c r="AH231" s="317">
        <v>2370</v>
      </c>
      <c r="AI231" s="317">
        <v>2436</v>
      </c>
      <c r="AJ231" s="317">
        <v>2478</v>
      </c>
      <c r="AK231" s="317">
        <v>2257</v>
      </c>
      <c r="AL231" s="317">
        <v>2431</v>
      </c>
      <c r="AM231" s="317">
        <v>2491</v>
      </c>
      <c r="AN231" s="317">
        <v>2565</v>
      </c>
      <c r="AU231" s="317">
        <v>3113</v>
      </c>
      <c r="AV231" s="317">
        <v>3351</v>
      </c>
      <c r="AY231" s="317">
        <v>2883</v>
      </c>
      <c r="AZ231" s="317">
        <v>3111</v>
      </c>
      <c r="DR231" s="317">
        <v>4619</v>
      </c>
      <c r="DS231" s="317">
        <v>4775</v>
      </c>
      <c r="DT231" s="317">
        <v>5010</v>
      </c>
      <c r="DU231" s="317">
        <v>5652</v>
      </c>
      <c r="DV231" s="317">
        <v>6880</v>
      </c>
      <c r="DW231" s="317">
        <v>8302</v>
      </c>
      <c r="DX231" s="317">
        <v>9602</v>
      </c>
    </row>
    <row r="232" spans="2:128" ht="12.75" customHeight="1" x14ac:dyDescent="0.2">
      <c r="B232" s="58" t="s">
        <v>107</v>
      </c>
      <c r="K232" s="317">
        <v>2434</v>
      </c>
      <c r="L232" s="317">
        <v>2455</v>
      </c>
      <c r="M232" s="317">
        <v>2445</v>
      </c>
      <c r="N232" s="317">
        <v>2581</v>
      </c>
      <c r="O232" s="317">
        <v>2525</v>
      </c>
      <c r="P232" s="317">
        <v>2580</v>
      </c>
      <c r="Q232" s="317">
        <v>2548</v>
      </c>
      <c r="R232" s="317">
        <v>2628</v>
      </c>
      <c r="S232" s="351">
        <f t="shared" ref="S232:AN232" si="788">S106</f>
        <v>2735.2</v>
      </c>
      <c r="T232" s="351">
        <f t="shared" si="788"/>
        <v>2785</v>
      </c>
      <c r="U232" s="351">
        <f t="shared" si="788"/>
        <v>2771</v>
      </c>
      <c r="V232" s="351">
        <f t="shared" si="788"/>
        <v>2855</v>
      </c>
      <c r="W232" s="351">
        <f t="shared" si="788"/>
        <v>2958</v>
      </c>
      <c r="X232" s="351">
        <f t="shared" si="788"/>
        <v>3166</v>
      </c>
      <c r="Y232" s="351">
        <f t="shared" si="788"/>
        <v>3141</v>
      </c>
      <c r="Z232" s="351">
        <f t="shared" si="788"/>
        <v>3318</v>
      </c>
      <c r="AA232" s="351">
        <f t="shared" si="788"/>
        <v>3364</v>
      </c>
      <c r="AB232" s="351">
        <f t="shared" si="788"/>
        <v>3629</v>
      </c>
      <c r="AC232" s="351">
        <f t="shared" si="788"/>
        <v>3779</v>
      </c>
      <c r="AD232" s="351">
        <f t="shared" si="788"/>
        <v>4141</v>
      </c>
      <c r="AE232" s="351">
        <f t="shared" si="788"/>
        <v>4136</v>
      </c>
      <c r="AF232" s="351">
        <f t="shared" si="788"/>
        <v>4057</v>
      </c>
      <c r="AG232" s="351">
        <f t="shared" si="788"/>
        <v>4044</v>
      </c>
      <c r="AH232" s="351">
        <f t="shared" si="788"/>
        <v>4650</v>
      </c>
      <c r="AI232" s="351">
        <f t="shared" si="788"/>
        <v>4797</v>
      </c>
      <c r="AJ232" s="351">
        <f t="shared" si="788"/>
        <v>4856</v>
      </c>
      <c r="AK232" s="351">
        <f t="shared" si="788"/>
        <v>4622</v>
      </c>
      <c r="AL232" s="351">
        <f t="shared" si="788"/>
        <v>4821</v>
      </c>
      <c r="AM232" s="351">
        <f t="shared" si="788"/>
        <v>5011</v>
      </c>
      <c r="AN232" s="351">
        <f t="shared" si="788"/>
        <v>5155</v>
      </c>
      <c r="AU232" s="351">
        <f>AU106</f>
        <v>5701</v>
      </c>
      <c r="AV232" s="351">
        <f>AV106</f>
        <v>6074</v>
      </c>
      <c r="AY232" s="351">
        <f>AY106</f>
        <v>5535</v>
      </c>
      <c r="AZ232" s="351">
        <f>AZ106</f>
        <v>5887</v>
      </c>
      <c r="DR232" s="317">
        <v>9915</v>
      </c>
      <c r="DS232" s="317">
        <v>10281</v>
      </c>
      <c r="DT232" s="317">
        <f>DT231+DT230</f>
        <v>11146</v>
      </c>
      <c r="DU232" s="317">
        <f>DU231+DU230</f>
        <v>12583</v>
      </c>
      <c r="DV232" s="317">
        <f>DV231+DV230</f>
        <v>14913</v>
      </c>
      <c r="DW232" s="317">
        <f>DW231+DW230</f>
        <v>16887</v>
      </c>
      <c r="DX232" s="317">
        <f>DX231+DX230</f>
        <v>19096</v>
      </c>
    </row>
    <row r="233" spans="2:128" ht="12.75" customHeight="1" x14ac:dyDescent="0.2">
      <c r="B233" s="58" t="s">
        <v>1091</v>
      </c>
      <c r="K233" s="317">
        <v>927</v>
      </c>
      <c r="L233" s="317">
        <v>873</v>
      </c>
      <c r="M233" s="317">
        <v>921</v>
      </c>
      <c r="N233" s="317">
        <v>948</v>
      </c>
      <c r="O233" s="317">
        <v>943</v>
      </c>
      <c r="P233" s="317">
        <v>902</v>
      </c>
      <c r="Q233" s="317">
        <v>939</v>
      </c>
      <c r="R233" s="317">
        <v>976</v>
      </c>
      <c r="S233" s="317">
        <v>896</v>
      </c>
      <c r="T233" s="317">
        <v>808</v>
      </c>
      <c r="U233" s="317">
        <v>896</v>
      </c>
      <c r="V233" s="317">
        <v>848.5</v>
      </c>
      <c r="W233" s="317">
        <v>900</v>
      </c>
      <c r="X233" s="317">
        <v>907</v>
      </c>
      <c r="Y233" s="317">
        <v>910</v>
      </c>
      <c r="Z233" s="317">
        <v>888</v>
      </c>
      <c r="AA233" s="317">
        <v>1000</v>
      </c>
      <c r="AB233" s="317">
        <v>931</v>
      </c>
      <c r="AC233" s="317">
        <v>984.3</v>
      </c>
      <c r="AD233" s="317">
        <v>1053</v>
      </c>
      <c r="AE233" s="317">
        <v>1081</v>
      </c>
      <c r="AF233" s="317">
        <v>987</v>
      </c>
      <c r="AG233" s="317">
        <v>1023</v>
      </c>
      <c r="AH233" s="317">
        <v>1134</v>
      </c>
      <c r="AI233" s="317">
        <v>1114</v>
      </c>
      <c r="AJ233" s="317">
        <v>1092</v>
      </c>
      <c r="AK233" s="317">
        <v>1075</v>
      </c>
      <c r="AL233" s="317">
        <v>1124</v>
      </c>
      <c r="AM233" s="317">
        <v>1150</v>
      </c>
      <c r="AN233" s="317">
        <v>1103</v>
      </c>
      <c r="AO233" s="317"/>
      <c r="AP233" s="317"/>
      <c r="AQ233" s="317"/>
      <c r="AR233" s="317"/>
      <c r="AS233" s="317"/>
      <c r="AT233" s="317"/>
      <c r="AU233" s="317">
        <v>1819</v>
      </c>
      <c r="AV233" s="317">
        <v>1694</v>
      </c>
      <c r="AW233" s="317"/>
      <c r="AX233" s="317"/>
      <c r="AY233" s="317">
        <v>1726</v>
      </c>
      <c r="AZ233" s="317">
        <v>1708</v>
      </c>
      <c r="DR233" s="317">
        <v>3669</v>
      </c>
      <c r="DS233" s="317">
        <v>3760</v>
      </c>
      <c r="DT233" s="317">
        <v>3449</v>
      </c>
      <c r="DU233" s="317">
        <v>3605</v>
      </c>
      <c r="DV233" s="317">
        <v>3968</v>
      </c>
      <c r="DW233" s="317">
        <v>4225</v>
      </c>
      <c r="DX233" s="317">
        <v>4405</v>
      </c>
    </row>
    <row r="234" spans="2:128" ht="12.75" customHeight="1" x14ac:dyDescent="0.2">
      <c r="B234" s="58" t="s">
        <v>1092</v>
      </c>
      <c r="K234" s="317">
        <v>801</v>
      </c>
      <c r="L234" s="317">
        <v>814</v>
      </c>
      <c r="M234" s="317">
        <v>783</v>
      </c>
      <c r="N234" s="317">
        <v>796</v>
      </c>
      <c r="O234" s="317">
        <v>809</v>
      </c>
      <c r="P234" s="317">
        <v>805</v>
      </c>
      <c r="Q234" s="317">
        <v>783</v>
      </c>
      <c r="R234" s="317">
        <v>747</v>
      </c>
      <c r="S234" s="317">
        <v>735</v>
      </c>
      <c r="T234" s="317">
        <v>722</v>
      </c>
      <c r="U234" s="317">
        <v>713</v>
      </c>
      <c r="V234" s="317">
        <v>701.5</v>
      </c>
      <c r="W234" s="317">
        <v>704</v>
      </c>
      <c r="X234" s="317">
        <v>742</v>
      </c>
      <c r="Y234" s="317">
        <v>751</v>
      </c>
      <c r="Z234" s="317">
        <v>762</v>
      </c>
      <c r="AA234" s="317">
        <v>791</v>
      </c>
      <c r="AB234" s="317">
        <v>888</v>
      </c>
      <c r="AC234" s="317">
        <v>856.7</v>
      </c>
      <c r="AD234" s="317">
        <v>926</v>
      </c>
      <c r="AE234" s="317">
        <v>966</v>
      </c>
      <c r="AF234" s="317">
        <v>1013</v>
      </c>
      <c r="AG234" s="317">
        <v>1001</v>
      </c>
      <c r="AH234" s="317">
        <v>1128</v>
      </c>
      <c r="AI234" s="317">
        <v>1166</v>
      </c>
      <c r="AJ234" s="317">
        <v>1186</v>
      </c>
      <c r="AK234" s="317">
        <v>1156</v>
      </c>
      <c r="AL234" s="317">
        <v>1183</v>
      </c>
      <c r="AM234" s="317">
        <v>1205</v>
      </c>
      <c r="AN234" s="317">
        <v>1295</v>
      </c>
      <c r="AO234" s="317"/>
      <c r="AP234" s="317"/>
      <c r="AQ234" s="317"/>
      <c r="AR234" s="317"/>
      <c r="AS234" s="317"/>
      <c r="AT234" s="317"/>
      <c r="AU234" s="317">
        <v>2245</v>
      </c>
      <c r="AV234" s="317">
        <v>2342</v>
      </c>
      <c r="AW234" s="317"/>
      <c r="AX234" s="317"/>
      <c r="AY234" s="317">
        <v>1982</v>
      </c>
      <c r="AZ234" s="317">
        <v>2146</v>
      </c>
      <c r="DR234" s="317">
        <v>3194</v>
      </c>
      <c r="DS234" s="317">
        <v>3144</v>
      </c>
      <c r="DT234" s="317">
        <v>2872</v>
      </c>
      <c r="DU234" s="317">
        <v>2959</v>
      </c>
      <c r="DV234" s="317">
        <v>3462</v>
      </c>
      <c r="DW234" s="317">
        <v>4108</v>
      </c>
      <c r="DX234" s="317">
        <v>4691</v>
      </c>
    </row>
    <row r="235" spans="2:128" ht="12.75" customHeight="1" x14ac:dyDescent="0.2">
      <c r="B235" s="58" t="s">
        <v>1051</v>
      </c>
      <c r="K235" s="317">
        <v>1728</v>
      </c>
      <c r="L235" s="317">
        <v>1687</v>
      </c>
      <c r="M235" s="317">
        <v>1704</v>
      </c>
      <c r="N235" s="317">
        <v>1744</v>
      </c>
      <c r="O235" s="317">
        <v>1752</v>
      </c>
      <c r="P235" s="317">
        <v>1707</v>
      </c>
      <c r="Q235" s="317">
        <v>1722</v>
      </c>
      <c r="R235" s="317">
        <v>1723</v>
      </c>
      <c r="S235" s="317">
        <v>1631</v>
      </c>
      <c r="T235" s="317">
        <v>1530</v>
      </c>
      <c r="U235" s="317">
        <v>1609</v>
      </c>
      <c r="V235" s="317">
        <v>1550</v>
      </c>
      <c r="W235" s="317">
        <v>1604</v>
      </c>
      <c r="X235" s="317">
        <v>1649</v>
      </c>
      <c r="Y235" s="317">
        <v>1661</v>
      </c>
      <c r="Z235" s="317">
        <v>1650</v>
      </c>
      <c r="AA235" s="317">
        <v>1791</v>
      </c>
      <c r="AB235" s="317">
        <v>1819</v>
      </c>
      <c r="AC235" s="317">
        <v>1841</v>
      </c>
      <c r="AD235" s="317">
        <v>1979</v>
      </c>
      <c r="AE235" s="317">
        <v>2047</v>
      </c>
      <c r="AF235" s="317">
        <v>2000</v>
      </c>
      <c r="AG235" s="317">
        <v>2024</v>
      </c>
      <c r="AH235" s="317">
        <v>2262</v>
      </c>
      <c r="AI235" s="317">
        <v>2280</v>
      </c>
      <c r="AJ235" s="317">
        <v>2278</v>
      </c>
      <c r="AK235" s="317">
        <v>2231</v>
      </c>
      <c r="AL235" s="317">
        <v>2307</v>
      </c>
      <c r="AM235" s="317">
        <v>2355</v>
      </c>
      <c r="AN235" s="317">
        <v>2398</v>
      </c>
      <c r="AO235" s="317">
        <f t="shared" ref="AO235:BB235" si="789">AO113</f>
        <v>2456</v>
      </c>
      <c r="AP235" s="317">
        <f t="shared" si="789"/>
        <v>2565</v>
      </c>
      <c r="AQ235" s="317">
        <f t="shared" si="789"/>
        <v>3496</v>
      </c>
      <c r="AR235" s="317">
        <f t="shared" si="789"/>
        <v>3564</v>
      </c>
      <c r="AS235" s="317">
        <f t="shared" si="789"/>
        <v>3623</v>
      </c>
      <c r="AT235" s="317">
        <f t="shared" si="789"/>
        <v>3810</v>
      </c>
      <c r="AU235" s="317">
        <f t="shared" si="789"/>
        <v>4064</v>
      </c>
      <c r="AV235" s="317">
        <f t="shared" si="789"/>
        <v>4036</v>
      </c>
      <c r="AW235" s="317">
        <f t="shared" si="789"/>
        <v>4099</v>
      </c>
      <c r="AX235" s="317">
        <f t="shared" si="789"/>
        <v>3855</v>
      </c>
      <c r="AY235" s="317">
        <f t="shared" si="789"/>
        <v>3711</v>
      </c>
      <c r="AZ235" s="317">
        <f t="shared" si="789"/>
        <v>3854</v>
      </c>
      <c r="BA235" s="317">
        <f t="shared" si="789"/>
        <v>3989</v>
      </c>
      <c r="BB235" s="317">
        <f t="shared" si="789"/>
        <v>4249</v>
      </c>
      <c r="BC235" s="317"/>
      <c r="BD235" s="317"/>
      <c r="BE235" s="317"/>
      <c r="BF235" s="317"/>
      <c r="BG235" s="317"/>
      <c r="BH235" s="317"/>
      <c r="BI235" s="317"/>
      <c r="BJ235" s="317"/>
      <c r="BK235" s="317"/>
      <c r="BL235" s="317"/>
      <c r="BM235" s="317"/>
      <c r="BN235" s="317"/>
      <c r="BO235" s="317"/>
      <c r="BP235" s="317"/>
      <c r="BQ235" s="317"/>
      <c r="BR235" s="317"/>
      <c r="BS235" s="317"/>
      <c r="BT235" s="317"/>
      <c r="BU235" s="317"/>
      <c r="BV235" s="317"/>
      <c r="BW235" s="317"/>
      <c r="BX235" s="317"/>
      <c r="BY235" s="317"/>
      <c r="BZ235" s="317"/>
      <c r="CA235" s="317"/>
      <c r="CB235" s="317"/>
      <c r="CC235" s="317"/>
      <c r="CD235" s="317"/>
      <c r="CE235" s="317"/>
      <c r="CF235" s="317"/>
      <c r="CG235" s="317"/>
      <c r="CH235" s="317"/>
      <c r="CI235" s="317"/>
      <c r="CJ235" s="317"/>
      <c r="CK235" s="317"/>
      <c r="CL235" s="317"/>
      <c r="CM235" s="317"/>
      <c r="CN235" s="317"/>
      <c r="CO235" s="317"/>
      <c r="CP235" s="317"/>
      <c r="CQ235" s="317"/>
      <c r="CR235" s="317"/>
      <c r="CS235" s="317"/>
      <c r="CT235" s="317"/>
      <c r="CU235" s="317"/>
      <c r="CV235" s="317"/>
      <c r="CW235" s="317"/>
      <c r="CX235" s="317"/>
      <c r="CY235" s="317"/>
      <c r="CZ235" s="317"/>
      <c r="DA235" s="317"/>
      <c r="DB235" s="317"/>
      <c r="DC235" s="317"/>
      <c r="DD235" s="317"/>
      <c r="DE235" s="317"/>
      <c r="DF235" s="317"/>
      <c r="DR235" s="317">
        <v>6863</v>
      </c>
      <c r="DS235" s="317">
        <v>6904</v>
      </c>
      <c r="DT235" s="317">
        <f>DT234+DT233</f>
        <v>6321</v>
      </c>
      <c r="DU235" s="317">
        <f>DU234+DU233</f>
        <v>6564</v>
      </c>
      <c r="DV235" s="317">
        <f>DV234+DV233</f>
        <v>7430</v>
      </c>
      <c r="DW235" s="317">
        <f>DW234+DW233</f>
        <v>8333</v>
      </c>
      <c r="DX235" s="317">
        <f>DX234+DX233</f>
        <v>9096</v>
      </c>
    </row>
    <row r="238" spans="2:128" ht="12.75" customHeight="1" x14ac:dyDescent="0.2">
      <c r="B238" s="58" t="s">
        <v>1417</v>
      </c>
      <c r="AQ238" s="390">
        <v>1.3110999999999999</v>
      </c>
      <c r="AR238" s="390">
        <v>1.3483000000000001</v>
      </c>
      <c r="AS238" s="390">
        <v>1.3746</v>
      </c>
      <c r="AT238" s="390">
        <v>1.4483999999999999</v>
      </c>
      <c r="AU238" s="390">
        <v>1.4985999999999999</v>
      </c>
      <c r="AV238" s="390">
        <v>1.5633999999999999</v>
      </c>
      <c r="AW238" s="390">
        <v>1.5051000000000001</v>
      </c>
      <c r="AX238" s="390">
        <v>1.3214999999999999</v>
      </c>
      <c r="AY238" s="390">
        <v>1.3077000000000001</v>
      </c>
      <c r="AZ238" s="390">
        <v>1.3625</v>
      </c>
      <c r="BA238" s="390">
        <v>1.4298</v>
      </c>
      <c r="BB238" s="390">
        <v>1.4763999999999999</v>
      </c>
      <c r="BC238" s="390">
        <v>1.3844000000000001</v>
      </c>
      <c r="BD238" s="390">
        <v>1.3220000000000001</v>
      </c>
    </row>
    <row r="239" spans="2:128" ht="12.75" customHeight="1" x14ac:dyDescent="0.2">
      <c r="B239" s="353" t="s">
        <v>1416</v>
      </c>
      <c r="AU239" s="409">
        <f t="shared" ref="AU239:BC239" si="790">AU238/AQ238-1</f>
        <v>0.14300968652276724</v>
      </c>
      <c r="AV239" s="409">
        <f t="shared" si="790"/>
        <v>0.15953422828747299</v>
      </c>
      <c r="AW239" s="409">
        <f t="shared" si="790"/>
        <v>9.4936708860759556E-2</v>
      </c>
      <c r="AX239" s="409">
        <f t="shared" si="790"/>
        <v>-8.7613918806959457E-2</v>
      </c>
      <c r="AY239" s="409">
        <f t="shared" si="790"/>
        <v>-0.12738555985586542</v>
      </c>
      <c r="AZ239" s="409">
        <f t="shared" si="790"/>
        <v>-0.12850198285787373</v>
      </c>
      <c r="BA239" s="409">
        <f t="shared" si="790"/>
        <v>-5.002989834562499E-2</v>
      </c>
      <c r="BB239" s="409">
        <f t="shared" si="790"/>
        <v>0.11721528566023465</v>
      </c>
      <c r="BC239" s="409">
        <f t="shared" si="790"/>
        <v>5.8652596161199E-2</v>
      </c>
      <c r="BD239" s="409">
        <f>BD238/AZ238-1</f>
        <v>-2.9724770642201803E-2</v>
      </c>
    </row>
    <row r="240" spans="2:128" ht="12.75" customHeight="1" x14ac:dyDescent="0.2">
      <c r="B240" s="58" t="s">
        <v>1234</v>
      </c>
      <c r="AU240" s="410">
        <f t="shared" ref="AU240:BC240" si="791">+AU123</f>
        <v>5.0999999999999997E-2</v>
      </c>
      <c r="AV240" s="410">
        <f t="shared" si="791"/>
        <v>5.6000000000000001E-2</v>
      </c>
      <c r="AW240" s="410">
        <f t="shared" si="791"/>
        <v>3.1E-2</v>
      </c>
      <c r="AX240" s="410">
        <f t="shared" si="791"/>
        <v>-3.9E-2</v>
      </c>
      <c r="AY240" s="410">
        <f t="shared" si="791"/>
        <v>-0.06</v>
      </c>
      <c r="AZ240" s="410">
        <f t="shared" si="791"/>
        <v>-0.06</v>
      </c>
      <c r="BA240" s="410">
        <f t="shared" si="791"/>
        <v>-2.5000000000000001E-2</v>
      </c>
      <c r="BB240" s="410">
        <f t="shared" si="791"/>
        <v>4.4999999999999998E-2</v>
      </c>
      <c r="BC240" s="410">
        <f t="shared" si="791"/>
        <v>4.1000000000000002E-2</v>
      </c>
    </row>
    <row r="241" spans="2:56" ht="12.75" customHeight="1" x14ac:dyDescent="0.2">
      <c r="AU241" s="410"/>
      <c r="AV241" s="410"/>
      <c r="AW241" s="410"/>
      <c r="AX241" s="410"/>
      <c r="AY241" s="410"/>
      <c r="AZ241" s="410"/>
      <c r="BA241" s="410"/>
      <c r="BB241" s="410"/>
      <c r="BC241" s="410"/>
    </row>
    <row r="242" spans="2:56" ht="12.75" customHeight="1" x14ac:dyDescent="0.2">
      <c r="B242" s="58" t="s">
        <v>1418</v>
      </c>
      <c r="AQ242" s="313">
        <f t="shared" ref="AQ242:BD242" si="792">AQ55</f>
        <v>15087</v>
      </c>
      <c r="AR242" s="313">
        <f t="shared" si="792"/>
        <v>15142</v>
      </c>
      <c r="AS242" s="313">
        <f t="shared" si="792"/>
        <v>15007</v>
      </c>
      <c r="AT242" s="313">
        <f t="shared" si="792"/>
        <v>15957</v>
      </c>
      <c r="AU242" s="313">
        <f t="shared" si="792"/>
        <v>16194</v>
      </c>
      <c r="AV242" s="313">
        <f t="shared" si="792"/>
        <v>16450</v>
      </c>
      <c r="AW242" s="313">
        <f t="shared" si="792"/>
        <v>15921</v>
      </c>
      <c r="AX242" s="313">
        <f t="shared" si="792"/>
        <v>15182</v>
      </c>
      <c r="AY242" s="313">
        <f t="shared" si="792"/>
        <v>15026</v>
      </c>
      <c r="AZ242" s="313">
        <f t="shared" si="792"/>
        <v>15239</v>
      </c>
      <c r="BA242" s="313">
        <f t="shared" si="792"/>
        <v>15081</v>
      </c>
      <c r="BB242" s="313">
        <f t="shared" si="792"/>
        <v>16551</v>
      </c>
      <c r="BC242" s="313">
        <f t="shared" si="792"/>
        <v>15631</v>
      </c>
      <c r="BD242" s="313">
        <f t="shared" si="792"/>
        <v>15389</v>
      </c>
    </row>
    <row r="243" spans="2:56" ht="12.75" customHeight="1" x14ac:dyDescent="0.2">
      <c r="B243" s="58" t="s">
        <v>1419</v>
      </c>
      <c r="AU243" s="410">
        <f>AU242/AQ242-1</f>
        <v>7.3374428315768458E-2</v>
      </c>
      <c r="AV243" s="410">
        <f t="shared" ref="AV243:BD243" si="793">AV242/AR242-1</f>
        <v>8.6382248051776411E-2</v>
      </c>
      <c r="AW243" s="410">
        <f t="shared" si="793"/>
        <v>6.0904911041513854E-2</v>
      </c>
      <c r="AX243" s="410">
        <f t="shared" si="793"/>
        <v>-4.8568026571410683E-2</v>
      </c>
      <c r="AY243" s="410">
        <f t="shared" si="793"/>
        <v>-7.2125478572310775E-2</v>
      </c>
      <c r="AZ243" s="410">
        <f t="shared" si="793"/>
        <v>-7.3617021276595751E-2</v>
      </c>
      <c r="BA243" s="410">
        <f t="shared" si="793"/>
        <v>-5.27605049934049E-2</v>
      </c>
      <c r="BB243" s="410">
        <f t="shared" si="793"/>
        <v>9.017257278355939E-2</v>
      </c>
      <c r="BC243" s="410">
        <f t="shared" si="793"/>
        <v>4.026354319180081E-2</v>
      </c>
      <c r="BD243" s="410">
        <f t="shared" si="793"/>
        <v>9.8431655620447867E-3</v>
      </c>
    </row>
    <row r="244" spans="2:56" ht="12.75" customHeight="1" x14ac:dyDescent="0.2">
      <c r="B244" s="58" t="s">
        <v>1420</v>
      </c>
      <c r="AQ244" s="409">
        <f t="shared" ref="AQ244:AY244" si="794">+AQ121</f>
        <v>0</v>
      </c>
      <c r="AR244" s="409">
        <f t="shared" si="794"/>
        <v>0.108</v>
      </c>
      <c r="AS244" s="409">
        <f t="shared" si="794"/>
        <v>9.7000000000000003E-2</v>
      </c>
      <c r="AT244" s="409">
        <f t="shared" si="794"/>
        <v>0.11899999999999999</v>
      </c>
      <c r="AU244" s="409">
        <f t="shared" si="794"/>
        <v>2.5999999999999999E-2</v>
      </c>
      <c r="AV244" s="409">
        <f t="shared" si="794"/>
        <v>3.038224805177641E-2</v>
      </c>
      <c r="AW244" s="409">
        <f t="shared" si="794"/>
        <v>2.9904911041513854E-2</v>
      </c>
      <c r="AX244" s="409">
        <f t="shared" si="794"/>
        <v>-0.01</v>
      </c>
      <c r="AY244" s="409">
        <f t="shared" si="794"/>
        <v>-1.2E-2</v>
      </c>
      <c r="AZ244" s="409">
        <f>+AZ121</f>
        <v>-1.3617021276595753E-2</v>
      </c>
      <c r="BA244" s="409">
        <f>+BA121</f>
        <v>-2.7760504993404898E-2</v>
      </c>
      <c r="BB244" s="409">
        <f>+BB121</f>
        <v>4.5172572783559392E-2</v>
      </c>
      <c r="BC244" s="409">
        <f>+BC121</f>
        <v>-1E-3</v>
      </c>
      <c r="BD244"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3</vt:i4>
      </vt:variant>
    </vt:vector>
  </HeadingPairs>
  <TitlesOfParts>
    <vt:vector size="51" baseType="lpstr">
      <vt:lpstr>IP</vt:lpstr>
      <vt:lpstr>Pipeline</vt:lpstr>
      <vt:lpstr>Markets</vt:lpstr>
      <vt:lpstr>Management</vt:lpstr>
      <vt:lpstr>Pricing</vt:lpstr>
      <vt:lpstr>IMS</vt:lpstr>
      <vt:lpstr>Old Drugs</vt:lpstr>
      <vt:lpstr>Main</vt:lpstr>
      <vt:lpstr>Model</vt:lpstr>
      <vt:lpstr>Remicade</vt:lpstr>
      <vt:lpstr>Procrit</vt:lpstr>
      <vt:lpstr>Invega</vt:lpstr>
      <vt:lpstr>Consta</vt:lpstr>
      <vt:lpstr>Aciphex</vt:lpstr>
      <vt:lpstr>Levaquin</vt:lpstr>
      <vt:lpstr>Velcade</vt:lpstr>
      <vt:lpstr>Duragesic</vt:lpstr>
      <vt:lpstr>Topamax</vt:lpstr>
      <vt:lpstr>Risperdal</vt:lpstr>
      <vt:lpstr>telaprevir</vt:lpstr>
      <vt:lpstr>Concerta</vt:lpstr>
      <vt:lpstr>Ultram</vt:lpstr>
      <vt:lpstr>Natrecor</vt:lpstr>
      <vt:lpstr>Intelence</vt:lpstr>
      <vt:lpstr>Prezista</vt:lpstr>
      <vt:lpstr>Contraceptives</vt:lpstr>
      <vt:lpstr>Simponi</vt:lpstr>
      <vt:lpstr>Xarelto</vt:lpstr>
      <vt:lpstr>Stelara</vt:lpstr>
      <vt:lpstr>Tapentadol</vt:lpstr>
      <vt:lpstr>riplivirine</vt:lpstr>
      <vt:lpstr>Sustenna</vt:lpstr>
      <vt:lpstr>Doripenem</vt:lpstr>
      <vt:lpstr>canagliflozin</vt:lpstr>
      <vt:lpstr>abiraterone</vt:lpstr>
      <vt:lpstr>Comfyde</vt:lpstr>
      <vt:lpstr>Consumer</vt:lpstr>
      <vt:lpstr>Consumer Model</vt:lpstr>
      <vt:lpstr>MD&amp;D</vt:lpstr>
      <vt:lpstr>Diagnostics</vt:lpstr>
      <vt:lpstr>DePuy</vt:lpstr>
      <vt:lpstr>DePuy Model</vt:lpstr>
      <vt:lpstr>LifeScan</vt:lpstr>
      <vt:lpstr>Vision</vt:lpstr>
      <vt:lpstr>Cordis</vt:lpstr>
      <vt:lpstr>EndoSurgery</vt:lpstr>
      <vt:lpstr>Ethicon</vt:lpstr>
      <vt:lpstr>Acquisitions</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2022-07-17T22:16:16Z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