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5C16B9A3-D13D-4DDF-8663-012B05D5826D}" xr6:coauthVersionLast="47" xr6:coauthVersionMax="47" xr10:uidLastSave="{00000000-0000-0000-0000-000000000000}"/>
  <bookViews>
    <workbookView xWindow="13350" yWindow="270" windowWidth="27420" windowHeight="20610" activeTab="1" xr2:uid="{DF105585-55F7-489F-BFB3-1F48B85ABA8A}"/>
  </bookViews>
  <sheets>
    <sheet name="Main" sheetId="1" r:id="rId1"/>
    <sheet name="Model" sheetId="2" r:id="rId2"/>
    <sheet name="I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25" i="2" l="1"/>
  <c r="X26" i="2"/>
  <c r="M7" i="2"/>
  <c r="L7" i="2"/>
  <c r="K7" i="2"/>
  <c r="P7" i="2"/>
  <c r="O7" i="2"/>
  <c r="N7" i="2"/>
  <c r="T7" i="2"/>
  <c r="S7" i="2"/>
  <c r="R7" i="2"/>
  <c r="Q7" i="2"/>
  <c r="U7" i="2"/>
  <c r="AK45" i="2"/>
  <c r="V15" i="2"/>
  <c r="V14" i="2"/>
  <c r="V11" i="2"/>
  <c r="V28" i="2"/>
  <c r="AB26" i="2"/>
  <c r="AC26" i="2"/>
  <c r="AF39" i="2"/>
  <c r="Y31" i="2"/>
  <c r="X31" i="2"/>
  <c r="W31" i="2"/>
  <c r="Y30" i="2"/>
  <c r="X30" i="2"/>
  <c r="W30" i="2"/>
  <c r="Y29" i="2"/>
  <c r="X29" i="2"/>
  <c r="W29" i="2"/>
  <c r="V67" i="2"/>
  <c r="W67" i="2" s="1"/>
  <c r="X67" i="2" s="1"/>
  <c r="Y67" i="2" s="1"/>
  <c r="Z67" i="2" s="1"/>
  <c r="U97" i="2"/>
  <c r="U93" i="2"/>
  <c r="U25" i="2"/>
  <c r="U15" i="2" s="1"/>
  <c r="V16" i="2" s="1"/>
  <c r="T103" i="2"/>
  <c r="S103" i="2"/>
  <c r="R103" i="2"/>
  <c r="U103" i="2"/>
  <c r="U90" i="2"/>
  <c r="U89" i="2"/>
  <c r="U88" i="2"/>
  <c r="U85" i="2"/>
  <c r="U79" i="2"/>
  <c r="U78" i="2"/>
  <c r="U77" i="2"/>
  <c r="U76" i="2"/>
  <c r="U75" i="2"/>
  <c r="U64" i="2"/>
  <c r="U72" i="2" s="1"/>
  <c r="U58" i="2"/>
  <c r="U53" i="2"/>
  <c r="U60" i="2" s="1"/>
  <c r="M3" i="1"/>
  <c r="AK29" i="2"/>
  <c r="AL29" i="2" s="1"/>
  <c r="AM29" i="2" s="1"/>
  <c r="AN29" i="2" s="1"/>
  <c r="AO29" i="2" s="1"/>
  <c r="AP29" i="2" s="1"/>
  <c r="Q64" i="2"/>
  <c r="Q72" i="2" s="1"/>
  <c r="Q58" i="2"/>
  <c r="Q53" i="2"/>
  <c r="Q60" i="2" s="1"/>
  <c r="C36" i="2"/>
  <c r="C32" i="2"/>
  <c r="AH31" i="2"/>
  <c r="AH32" i="2" s="1"/>
  <c r="H31" i="2"/>
  <c r="H32" i="2" s="1"/>
  <c r="G31" i="2"/>
  <c r="G32" i="2" s="1"/>
  <c r="C26" i="2"/>
  <c r="C28" i="2" s="1"/>
  <c r="C48" i="2" s="1"/>
  <c r="G26" i="2"/>
  <c r="G28" i="2" s="1"/>
  <c r="G48" i="2" s="1"/>
  <c r="D32" i="2"/>
  <c r="D26" i="2"/>
  <c r="D28" i="2" s="1"/>
  <c r="D48" i="2" s="1"/>
  <c r="E32" i="2"/>
  <c r="I32" i="2"/>
  <c r="E26" i="2"/>
  <c r="E28" i="2" s="1"/>
  <c r="E48" i="2" s="1"/>
  <c r="AG36" i="2"/>
  <c r="AG32" i="2"/>
  <c r="O42" i="2"/>
  <c r="F32" i="2"/>
  <c r="J32" i="2"/>
  <c r="AG26" i="2"/>
  <c r="AG28" i="2" s="1"/>
  <c r="AG48" i="2" s="1"/>
  <c r="AF26" i="2"/>
  <c r="AE26" i="2"/>
  <c r="AE41" i="2" s="1"/>
  <c r="AD26" i="2"/>
  <c r="I26" i="2"/>
  <c r="M41" i="2" s="1"/>
  <c r="H26" i="2"/>
  <c r="L41" i="2" s="1"/>
  <c r="F26" i="2"/>
  <c r="F28" i="2" s="1"/>
  <c r="F48" i="2" s="1"/>
  <c r="J26" i="2"/>
  <c r="N41" i="2" s="1"/>
  <c r="T97" i="2"/>
  <c r="S97" i="2"/>
  <c r="P93" i="2"/>
  <c r="Q93" i="2" s="1"/>
  <c r="P89" i="2"/>
  <c r="Q89" i="2" s="1"/>
  <c r="P88" i="2"/>
  <c r="Q88" i="2" s="1"/>
  <c r="P85" i="2"/>
  <c r="Q85" i="2" s="1"/>
  <c r="P83" i="2"/>
  <c r="Q83" i="2" s="1"/>
  <c r="P79" i="2"/>
  <c r="Q79" i="2" s="1"/>
  <c r="P78" i="2"/>
  <c r="Q78" i="2" s="1"/>
  <c r="P77" i="2"/>
  <c r="Q77" i="2" s="1"/>
  <c r="P76" i="2"/>
  <c r="Q76" i="2" s="1"/>
  <c r="P75" i="2"/>
  <c r="Q75" i="2" s="1"/>
  <c r="P64" i="2"/>
  <c r="P72" i="2" s="1"/>
  <c r="P58" i="2"/>
  <c r="P53" i="2"/>
  <c r="O91" i="2"/>
  <c r="O92" i="2" s="1"/>
  <c r="O84" i="2"/>
  <c r="O86" i="2" s="1"/>
  <c r="O80" i="2"/>
  <c r="O81" i="2" s="1"/>
  <c r="O99" i="2" s="1"/>
  <c r="O64" i="2"/>
  <c r="O72" i="2" s="1"/>
  <c r="O58" i="2"/>
  <c r="O53" i="2"/>
  <c r="U42" i="2"/>
  <c r="U45" i="2"/>
  <c r="V45" i="2"/>
  <c r="T25" i="2"/>
  <c r="T26" i="2" s="1"/>
  <c r="T41" i="2" s="1"/>
  <c r="T42" i="2"/>
  <c r="T91" i="2"/>
  <c r="T92" i="2" s="1"/>
  <c r="T84" i="2"/>
  <c r="T83" i="2"/>
  <c r="T86" i="2" s="1"/>
  <c r="T80" i="2"/>
  <c r="T81" i="2" s="1"/>
  <c r="T64" i="2"/>
  <c r="T72" i="2" s="1"/>
  <c r="T58" i="2"/>
  <c r="T53" i="2"/>
  <c r="T60" i="2" s="1"/>
  <c r="T45" i="2"/>
  <c r="AF41" i="2" l="1"/>
  <c r="T99" i="2"/>
  <c r="AD41" i="2"/>
  <c r="AG41" i="2"/>
  <c r="AC41" i="2"/>
  <c r="X32" i="2"/>
  <c r="Y32" i="2"/>
  <c r="Q52" i="2"/>
  <c r="U52" i="2"/>
  <c r="Y25" i="2"/>
  <c r="Y26" i="2" s="1"/>
  <c r="U14" i="2"/>
  <c r="U26" i="2"/>
  <c r="U106" i="2" s="1"/>
  <c r="T52" i="2"/>
  <c r="W32" i="2"/>
  <c r="T14" i="2"/>
  <c r="G41" i="2"/>
  <c r="T15" i="2"/>
  <c r="U16" i="2" s="1"/>
  <c r="I41" i="2"/>
  <c r="J41" i="2"/>
  <c r="H41" i="2"/>
  <c r="C33" i="2"/>
  <c r="G33" i="2"/>
  <c r="J28" i="2"/>
  <c r="J48" i="2" s="1"/>
  <c r="H28" i="2"/>
  <c r="H48" i="2" s="1"/>
  <c r="D33" i="2"/>
  <c r="T94" i="2"/>
  <c r="P80" i="2"/>
  <c r="P84" i="2"/>
  <c r="Q84" i="2" s="1"/>
  <c r="Q86" i="2" s="1"/>
  <c r="I28" i="2"/>
  <c r="I48" i="2" s="1"/>
  <c r="O60" i="2"/>
  <c r="E33" i="2"/>
  <c r="T28" i="2"/>
  <c r="T11" i="2"/>
  <c r="AG33" i="2"/>
  <c r="F33" i="2"/>
  <c r="O94" i="2"/>
  <c r="P60" i="2"/>
  <c r="P91" i="2"/>
  <c r="L32" i="2"/>
  <c r="K32" i="2"/>
  <c r="Z31" i="2"/>
  <c r="Z30" i="2"/>
  <c r="Z29" i="2"/>
  <c r="W34" i="2"/>
  <c r="X34" i="2" s="1"/>
  <c r="Y34" i="2" s="1"/>
  <c r="Z34" i="2" s="1"/>
  <c r="M32" i="2"/>
  <c r="R92" i="2"/>
  <c r="R84" i="2"/>
  <c r="R86" i="2" s="1"/>
  <c r="R80" i="2"/>
  <c r="R81" i="2" s="1"/>
  <c r="R99" i="2" s="1"/>
  <c r="N64" i="2"/>
  <c r="N72" i="2" s="1"/>
  <c r="R64" i="2"/>
  <c r="R72" i="2" s="1"/>
  <c r="R58" i="2"/>
  <c r="R53" i="2"/>
  <c r="N58" i="2"/>
  <c r="N53" i="2"/>
  <c r="AI45" i="2"/>
  <c r="AJ45" i="2"/>
  <c r="AJ26" i="2"/>
  <c r="AI26" i="2"/>
  <c r="AH26" i="2"/>
  <c r="R45" i="2"/>
  <c r="S45" i="2"/>
  <c r="AK31" i="2"/>
  <c r="AL31" i="2" s="1"/>
  <c r="AM31" i="2" s="1"/>
  <c r="AN31" i="2" s="1"/>
  <c r="AO31" i="2" s="1"/>
  <c r="AP31" i="2" s="1"/>
  <c r="AQ31" i="2" s="1"/>
  <c r="AR31" i="2" s="1"/>
  <c r="AS31" i="2" s="1"/>
  <c r="AK30" i="2"/>
  <c r="AL30" i="2" s="1"/>
  <c r="AM30" i="2" s="1"/>
  <c r="AN30" i="2" s="1"/>
  <c r="AO30" i="2" s="1"/>
  <c r="AP30" i="2" s="1"/>
  <c r="AQ30" i="2" s="1"/>
  <c r="AR30" i="2" s="1"/>
  <c r="AS30" i="2" s="1"/>
  <c r="AJ32" i="2"/>
  <c r="AI32" i="2"/>
  <c r="AE2" i="2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N32" i="2"/>
  <c r="N28" i="2"/>
  <c r="N48" i="2" s="1"/>
  <c r="M28" i="2"/>
  <c r="M48" i="2" s="1"/>
  <c r="L28" i="2"/>
  <c r="L48" i="2" s="1"/>
  <c r="R28" i="2"/>
  <c r="R48" i="2" s="1"/>
  <c r="Q28" i="2"/>
  <c r="Q48" i="2" s="1"/>
  <c r="P28" i="2"/>
  <c r="P48" i="2" s="1"/>
  <c r="R32" i="2"/>
  <c r="Q32" i="2"/>
  <c r="P32" i="2"/>
  <c r="O32" i="2"/>
  <c r="P41" i="2"/>
  <c r="R42" i="2"/>
  <c r="Q42" i="2"/>
  <c r="P42" i="2"/>
  <c r="R41" i="2"/>
  <c r="Q41" i="2"/>
  <c r="S25" i="2"/>
  <c r="R25" i="2"/>
  <c r="Z25" i="2" s="1"/>
  <c r="Z26" i="2" s="1"/>
  <c r="Q25" i="2"/>
  <c r="P25" i="2"/>
  <c r="P15" i="2" s="1"/>
  <c r="O25" i="2"/>
  <c r="O26" i="2" s="1"/>
  <c r="N25" i="2"/>
  <c r="N15" i="2" s="1"/>
  <c r="M25" i="2"/>
  <c r="M15" i="2" s="1"/>
  <c r="L25" i="2"/>
  <c r="L15" i="2" s="1"/>
  <c r="K25" i="2"/>
  <c r="K15" i="2" s="1"/>
  <c r="R11" i="2"/>
  <c r="Q11" i="2"/>
  <c r="P11" i="2"/>
  <c r="N11" i="2"/>
  <c r="M11" i="2"/>
  <c r="L11" i="2"/>
  <c r="S42" i="2"/>
  <c r="M4" i="1"/>
  <c r="M7" i="1" s="1"/>
  <c r="S91" i="2"/>
  <c r="S83" i="2"/>
  <c r="U83" i="2" s="1"/>
  <c r="S84" i="2"/>
  <c r="U84" i="2" s="1"/>
  <c r="S80" i="2"/>
  <c r="S81" i="2" s="1"/>
  <c r="S64" i="2"/>
  <c r="S72" i="2" s="1"/>
  <c r="S58" i="2"/>
  <c r="S53" i="2"/>
  <c r="S52" i="2" s="1"/>
  <c r="S32" i="2"/>
  <c r="R46" i="2" l="1"/>
  <c r="G35" i="2"/>
  <c r="G49" i="2"/>
  <c r="C35" i="2"/>
  <c r="C37" i="2" s="1"/>
  <c r="C38" i="2" s="1"/>
  <c r="C49" i="2"/>
  <c r="E35" i="2"/>
  <c r="E49" i="2"/>
  <c r="D35" i="2"/>
  <c r="D49" i="2"/>
  <c r="AG35" i="2"/>
  <c r="AG37" i="2" s="1"/>
  <c r="AG38" i="2" s="1"/>
  <c r="AG49" i="2"/>
  <c r="F35" i="2"/>
  <c r="F49" i="2"/>
  <c r="Q46" i="2"/>
  <c r="Z32" i="2"/>
  <c r="S46" i="2"/>
  <c r="W46" i="2"/>
  <c r="S99" i="2"/>
  <c r="I33" i="2"/>
  <c r="X41" i="2"/>
  <c r="X28" i="2"/>
  <c r="X27" i="2" s="1"/>
  <c r="Z28" i="2"/>
  <c r="Z48" i="2" s="1"/>
  <c r="S92" i="2"/>
  <c r="U91" i="2"/>
  <c r="U92" i="2" s="1"/>
  <c r="R60" i="2"/>
  <c r="R52" i="2"/>
  <c r="Y28" i="2"/>
  <c r="Y41" i="2"/>
  <c r="Q12" i="2"/>
  <c r="U80" i="2"/>
  <c r="U81" i="2" s="1"/>
  <c r="U99" i="2" s="1"/>
  <c r="U86" i="2"/>
  <c r="P86" i="2"/>
  <c r="S14" i="2"/>
  <c r="W26" i="2"/>
  <c r="P81" i="2"/>
  <c r="P99" i="2" s="1"/>
  <c r="Q80" i="2"/>
  <c r="Q81" i="2" s="1"/>
  <c r="Q99" i="2" s="1"/>
  <c r="D37" i="2"/>
  <c r="D38" i="2" s="1"/>
  <c r="D50" i="2"/>
  <c r="E37" i="2"/>
  <c r="E38" i="2" s="1"/>
  <c r="E50" i="2"/>
  <c r="G37" i="2"/>
  <c r="G38" i="2" s="1"/>
  <c r="G50" i="2"/>
  <c r="P92" i="2"/>
  <c r="Q91" i="2"/>
  <c r="Q92" i="2" s="1"/>
  <c r="J33" i="2"/>
  <c r="F37" i="2"/>
  <c r="F38" i="2" s="1"/>
  <c r="F50" i="2"/>
  <c r="H33" i="2"/>
  <c r="AI28" i="2"/>
  <c r="AI48" i="2" s="1"/>
  <c r="AI41" i="2"/>
  <c r="AH28" i="2"/>
  <c r="AH41" i="2"/>
  <c r="Q15" i="2"/>
  <c r="Q16" i="2" s="1"/>
  <c r="U17" i="2" s="1"/>
  <c r="U41" i="2"/>
  <c r="R15" i="2"/>
  <c r="Z41" i="2"/>
  <c r="T32" i="2"/>
  <c r="AJ53" i="2"/>
  <c r="N60" i="2"/>
  <c r="AJ41" i="2"/>
  <c r="U32" i="2"/>
  <c r="T48" i="2"/>
  <c r="S26" i="2"/>
  <c r="R94" i="2"/>
  <c r="K26" i="2"/>
  <c r="AJ28" i="2"/>
  <c r="AJ48" i="2" s="1"/>
  <c r="M33" i="2"/>
  <c r="Q14" i="2"/>
  <c r="O15" i="2"/>
  <c r="O16" i="2" s="1"/>
  <c r="R12" i="2"/>
  <c r="W39" i="2"/>
  <c r="X39" i="2" s="1"/>
  <c r="Y39" i="2" s="1"/>
  <c r="Z39" i="2" s="1"/>
  <c r="L33" i="2"/>
  <c r="P33" i="2"/>
  <c r="V32" i="2"/>
  <c r="V46" i="2" s="1"/>
  <c r="AL32" i="2"/>
  <c r="AK32" i="2"/>
  <c r="Q33" i="2"/>
  <c r="R33" i="2"/>
  <c r="O14" i="2"/>
  <c r="P14" i="2"/>
  <c r="O28" i="2"/>
  <c r="N33" i="2"/>
  <c r="M16" i="2"/>
  <c r="M14" i="2"/>
  <c r="S15" i="2"/>
  <c r="T16" i="2" s="1"/>
  <c r="R14" i="2"/>
  <c r="N14" i="2"/>
  <c r="L14" i="2"/>
  <c r="K14" i="2"/>
  <c r="L16" i="2"/>
  <c r="N16" i="2"/>
  <c r="M12" i="2"/>
  <c r="N12" i="2"/>
  <c r="O11" i="2"/>
  <c r="P12" i="2" s="1"/>
  <c r="S86" i="2"/>
  <c r="S60" i="2"/>
  <c r="C50" i="2" l="1"/>
  <c r="T100" i="2"/>
  <c r="W41" i="2"/>
  <c r="U100" i="2"/>
  <c r="N35" i="2"/>
  <c r="N49" i="2"/>
  <c r="R35" i="2"/>
  <c r="R49" i="2"/>
  <c r="Q35" i="2"/>
  <c r="Q37" i="2" s="1"/>
  <c r="Q49" i="2"/>
  <c r="M35" i="2"/>
  <c r="M50" i="2" s="1"/>
  <c r="M49" i="2"/>
  <c r="J35" i="2"/>
  <c r="J37" i="2" s="1"/>
  <c r="J38" i="2" s="1"/>
  <c r="J49" i="2"/>
  <c r="I35" i="2"/>
  <c r="I49" i="2"/>
  <c r="AG50" i="2"/>
  <c r="P35" i="2"/>
  <c r="P37" i="2" s="1"/>
  <c r="P49" i="2"/>
  <c r="L35" i="2"/>
  <c r="L50" i="2" s="1"/>
  <c r="L49" i="2"/>
  <c r="S94" i="2"/>
  <c r="H35" i="2"/>
  <c r="H49" i="2"/>
  <c r="Z33" i="2"/>
  <c r="Z35" i="2" s="1"/>
  <c r="U46" i="2"/>
  <c r="Y46" i="2"/>
  <c r="T33" i="2"/>
  <c r="T46" i="2"/>
  <c r="X46" i="2"/>
  <c r="Z46" i="2"/>
  <c r="W28" i="2"/>
  <c r="W27" i="2" s="1"/>
  <c r="Y48" i="2"/>
  <c r="Y33" i="2"/>
  <c r="Y27" i="2"/>
  <c r="P94" i="2"/>
  <c r="X48" i="2"/>
  <c r="X33" i="2"/>
  <c r="U94" i="2"/>
  <c r="Z27" i="2"/>
  <c r="Q13" i="2"/>
  <c r="S11" i="2"/>
  <c r="S12" i="2" s="1"/>
  <c r="S41" i="2"/>
  <c r="AK26" i="2"/>
  <c r="AL26" i="2" s="1"/>
  <c r="AM26" i="2" s="1"/>
  <c r="AN26" i="2" s="1"/>
  <c r="AO26" i="2" s="1"/>
  <c r="S16" i="2"/>
  <c r="S17" i="2" s="1"/>
  <c r="U28" i="2"/>
  <c r="U33" i="2" s="1"/>
  <c r="U11" i="2"/>
  <c r="S100" i="2"/>
  <c r="R100" i="2"/>
  <c r="O41" i="2"/>
  <c r="K41" i="2"/>
  <c r="AI33" i="2"/>
  <c r="Q94" i="2"/>
  <c r="R16" i="2"/>
  <c r="AH48" i="2"/>
  <c r="AH33" i="2"/>
  <c r="AJ33" i="2"/>
  <c r="V48" i="2"/>
  <c r="V41" i="2"/>
  <c r="P16" i="2"/>
  <c r="T17" i="2" s="1"/>
  <c r="N37" i="2"/>
  <c r="N38" i="2" s="1"/>
  <c r="N50" i="2"/>
  <c r="R37" i="2"/>
  <c r="R50" i="2"/>
  <c r="K11" i="2"/>
  <c r="L12" i="2" s="1"/>
  <c r="P13" i="2" s="1"/>
  <c r="K28" i="2"/>
  <c r="AK39" i="2"/>
  <c r="AL39" i="2" s="1"/>
  <c r="AM39" i="2" s="1"/>
  <c r="AN39" i="2" s="1"/>
  <c r="R13" i="2"/>
  <c r="O33" i="2"/>
  <c r="O48" i="2"/>
  <c r="AM32" i="2"/>
  <c r="Q17" i="2"/>
  <c r="S28" i="2"/>
  <c r="O12" i="2"/>
  <c r="M37" i="2" l="1"/>
  <c r="M38" i="2" s="1"/>
  <c r="Z36" i="2"/>
  <c r="Z50" i="2" s="1"/>
  <c r="AJ35" i="2"/>
  <c r="AJ37" i="2" s="1"/>
  <c r="AJ38" i="2" s="1"/>
  <c r="AJ49" i="2"/>
  <c r="L37" i="2"/>
  <c r="L38" i="2" s="1"/>
  <c r="AH35" i="2"/>
  <c r="AH49" i="2"/>
  <c r="Y35" i="2"/>
  <c r="Y36" i="2" s="1"/>
  <c r="Y50" i="2" s="1"/>
  <c r="Y49" i="2"/>
  <c r="P50" i="2"/>
  <c r="Q50" i="2"/>
  <c r="Z49" i="2"/>
  <c r="H50" i="2"/>
  <c r="H37" i="2"/>
  <c r="H38" i="2" s="1"/>
  <c r="X35" i="2"/>
  <c r="X36" i="2" s="1"/>
  <c r="X50" i="2" s="1"/>
  <c r="X49" i="2"/>
  <c r="I37" i="2"/>
  <c r="I38" i="2" s="1"/>
  <c r="I50" i="2"/>
  <c r="R17" i="2"/>
  <c r="V17" i="2"/>
  <c r="O35" i="2"/>
  <c r="O37" i="2" s="1"/>
  <c r="O49" i="2"/>
  <c r="AI35" i="2"/>
  <c r="AI37" i="2" s="1"/>
  <c r="AI38" i="2" s="1"/>
  <c r="AI49" i="2"/>
  <c r="T35" i="2"/>
  <c r="T50" i="2" s="1"/>
  <c r="T49" i="2"/>
  <c r="J50" i="2"/>
  <c r="U12" i="2"/>
  <c r="U13" i="2" s="1"/>
  <c r="V12" i="2"/>
  <c r="V13" i="2" s="1"/>
  <c r="U35" i="2"/>
  <c r="U49" i="2"/>
  <c r="T12" i="2"/>
  <c r="T13" i="2" s="1"/>
  <c r="W48" i="2"/>
  <c r="W33" i="2"/>
  <c r="AJ50" i="2"/>
  <c r="V33" i="2"/>
  <c r="S13" i="2"/>
  <c r="P17" i="2"/>
  <c r="Q38" i="2"/>
  <c r="Q74" i="2"/>
  <c r="AH37" i="2"/>
  <c r="AH38" i="2" s="1"/>
  <c r="AH50" i="2"/>
  <c r="U50" i="2"/>
  <c r="U48" i="2"/>
  <c r="P38" i="2"/>
  <c r="P74" i="2"/>
  <c r="K48" i="2"/>
  <c r="K33" i="2"/>
  <c r="R38" i="2"/>
  <c r="R74" i="2"/>
  <c r="S33" i="2"/>
  <c r="S48" i="2"/>
  <c r="AO39" i="2"/>
  <c r="AK41" i="2"/>
  <c r="AK28" i="2"/>
  <c r="AK48" i="2" s="1"/>
  <c r="AN32" i="2"/>
  <c r="Y37" i="2" l="1"/>
  <c r="Y38" i="2" s="1"/>
  <c r="K35" i="2"/>
  <c r="K49" i="2"/>
  <c r="X37" i="2"/>
  <c r="X38" i="2" s="1"/>
  <c r="W35" i="2"/>
  <c r="W36" i="2" s="1"/>
  <c r="W49" i="2"/>
  <c r="AI50" i="2"/>
  <c r="S35" i="2"/>
  <c r="S49" i="2"/>
  <c r="O50" i="2"/>
  <c r="T37" i="2"/>
  <c r="Z37" i="2"/>
  <c r="Z38" i="2" s="1"/>
  <c r="V35" i="2"/>
  <c r="V49" i="2"/>
  <c r="W37" i="2"/>
  <c r="W38" i="2" s="1"/>
  <c r="W50" i="2"/>
  <c r="K37" i="2"/>
  <c r="K38" i="2" s="1"/>
  <c r="K50" i="2"/>
  <c r="O38" i="2"/>
  <c r="O74" i="2"/>
  <c r="U37" i="2"/>
  <c r="U74" i="2" s="1"/>
  <c r="S37" i="2"/>
  <c r="S38" i="2" s="1"/>
  <c r="S50" i="2"/>
  <c r="AP39" i="2"/>
  <c r="AO32" i="2"/>
  <c r="AK33" i="2"/>
  <c r="AL28" i="2"/>
  <c r="AL48" i="2" s="1"/>
  <c r="AL41" i="2"/>
  <c r="AK27" i="2"/>
  <c r="T38" i="2" l="1"/>
  <c r="T74" i="2"/>
  <c r="AK35" i="2"/>
  <c r="AK36" i="2" s="1"/>
  <c r="AK50" i="2" s="1"/>
  <c r="AK49" i="2"/>
  <c r="V50" i="2"/>
  <c r="S74" i="2"/>
  <c r="U38" i="2"/>
  <c r="AQ39" i="2"/>
  <c r="AQ29" i="2"/>
  <c r="AP32" i="2"/>
  <c r="AL27" i="2"/>
  <c r="AL33" i="2"/>
  <c r="AL49" i="2" s="1"/>
  <c r="AM28" i="2"/>
  <c r="AM48" i="2" s="1"/>
  <c r="AM41" i="2"/>
  <c r="V37" i="2" l="1"/>
  <c r="V38" i="2"/>
  <c r="V53" i="2"/>
  <c r="AK37" i="2"/>
  <c r="AK38" i="2" s="1"/>
  <c r="AR39" i="2"/>
  <c r="AM27" i="2"/>
  <c r="AM33" i="2"/>
  <c r="AM49" i="2" s="1"/>
  <c r="AN28" i="2"/>
  <c r="AN48" i="2" s="1"/>
  <c r="AN41" i="2"/>
  <c r="AR29" i="2"/>
  <c r="AQ32" i="2"/>
  <c r="W53" i="2" l="1"/>
  <c r="V52" i="2"/>
  <c r="AK53" i="2"/>
  <c r="AL34" i="2" s="1"/>
  <c r="AL35" i="2" s="1"/>
  <c r="AL36" i="2" s="1"/>
  <c r="AL50" i="2" s="1"/>
  <c r="AS39" i="2"/>
  <c r="AS29" i="2"/>
  <c r="AS32" i="2" s="1"/>
  <c r="AR32" i="2"/>
  <c r="AN27" i="2"/>
  <c r="AN33" i="2"/>
  <c r="AN49" i="2" s="1"/>
  <c r="AP26" i="2"/>
  <c r="AO28" i="2"/>
  <c r="AO48" i="2" s="1"/>
  <c r="AO41" i="2"/>
  <c r="AL37" i="2" l="1"/>
  <c r="AL53" i="2" s="1"/>
  <c r="AM34" i="2" s="1"/>
  <c r="X53" i="2"/>
  <c r="W52" i="2"/>
  <c r="AQ26" i="2"/>
  <c r="AP28" i="2"/>
  <c r="AP27" i="2" s="1"/>
  <c r="AP41" i="2"/>
  <c r="AO27" i="2"/>
  <c r="AO33" i="2"/>
  <c r="AO49" i="2" s="1"/>
  <c r="AL38" i="2" l="1"/>
  <c r="X52" i="2"/>
  <c r="Y53" i="2"/>
  <c r="AP33" i="2"/>
  <c r="AP49" i="2" s="1"/>
  <c r="AP48" i="2"/>
  <c r="AM35" i="2"/>
  <c r="AR26" i="2"/>
  <c r="AQ28" i="2"/>
  <c r="AQ27" i="2" s="1"/>
  <c r="AQ41" i="2"/>
  <c r="Y52" i="2" l="1"/>
  <c r="Z53" i="2"/>
  <c r="Z52" i="2" s="1"/>
  <c r="AQ33" i="2"/>
  <c r="AQ49" i="2" s="1"/>
  <c r="AQ48" i="2"/>
  <c r="AM36" i="2"/>
  <c r="AM50" i="2" s="1"/>
  <c r="AS26" i="2"/>
  <c r="AR28" i="2"/>
  <c r="AR27" i="2" s="1"/>
  <c r="AR41" i="2"/>
  <c r="AR33" i="2" l="1"/>
  <c r="AR49" i="2" s="1"/>
  <c r="AR48" i="2"/>
  <c r="AM37" i="2"/>
  <c r="AS41" i="2"/>
  <c r="AS28" i="2"/>
  <c r="AS33" i="2" l="1"/>
  <c r="AS49" i="2" s="1"/>
  <c r="AS48" i="2"/>
  <c r="AS27" i="2"/>
  <c r="AM38" i="2"/>
  <c r="AM53" i="2"/>
  <c r="AN34" i="2" s="1"/>
  <c r="AN35" i="2" l="1"/>
  <c r="AN36" i="2" l="1"/>
  <c r="AN50" i="2" s="1"/>
  <c r="AN37" i="2" l="1"/>
  <c r="AN38" i="2" l="1"/>
  <c r="AN53" i="2"/>
  <c r="AO34" i="2" s="1"/>
  <c r="AO35" i="2" s="1"/>
  <c r="AO36" i="2" l="1"/>
  <c r="AO50" i="2" s="1"/>
  <c r="AO37" i="2" l="1"/>
  <c r="AO38" i="2" s="1"/>
  <c r="AO53" i="2" l="1"/>
  <c r="AP34" i="2" s="1"/>
  <c r="AP35" i="2" s="1"/>
  <c r="AP36" i="2" l="1"/>
  <c r="AP50" i="2" s="1"/>
  <c r="AP37" i="2" l="1"/>
  <c r="AP38" i="2" l="1"/>
  <c r="AP53" i="2"/>
  <c r="AQ34" i="2" s="1"/>
  <c r="AQ35" i="2" l="1"/>
  <c r="AQ36" i="2" l="1"/>
  <c r="AQ50" i="2" s="1"/>
  <c r="AQ37" i="2" l="1"/>
  <c r="AQ38" i="2" l="1"/>
  <c r="AQ53" i="2"/>
  <c r="AR34" i="2" s="1"/>
  <c r="AR35" i="2" l="1"/>
  <c r="AR36" i="2" l="1"/>
  <c r="AR50" i="2" s="1"/>
  <c r="AR37" i="2" l="1"/>
  <c r="AR38" i="2" l="1"/>
  <c r="AR53" i="2"/>
  <c r="AS34" i="2" s="1"/>
  <c r="AS35" i="2" l="1"/>
  <c r="AS36" i="2" l="1"/>
  <c r="AS50" i="2" s="1"/>
  <c r="AS37" i="2" l="1"/>
  <c r="AT37" i="2" s="1"/>
  <c r="AU37" i="2" s="1"/>
  <c r="AV37" i="2" s="1"/>
  <c r="AW37" i="2" s="1"/>
  <c r="AX37" i="2" s="1"/>
  <c r="AY37" i="2" s="1"/>
  <c r="AZ37" i="2" s="1"/>
  <c r="BA37" i="2" s="1"/>
  <c r="BB37" i="2" s="1"/>
  <c r="BC37" i="2" s="1"/>
  <c r="BD37" i="2" s="1"/>
  <c r="BE37" i="2" s="1"/>
  <c r="BF37" i="2" s="1"/>
  <c r="BG37" i="2" s="1"/>
  <c r="BH37" i="2" s="1"/>
  <c r="BI37" i="2" s="1"/>
  <c r="BJ37" i="2" s="1"/>
  <c r="BK37" i="2" s="1"/>
  <c r="BL37" i="2" s="1"/>
  <c r="BM37" i="2" s="1"/>
  <c r="BN37" i="2" s="1"/>
  <c r="BO37" i="2" s="1"/>
  <c r="BP37" i="2" s="1"/>
  <c r="BQ37" i="2" s="1"/>
  <c r="BR37" i="2" s="1"/>
  <c r="BS37" i="2" s="1"/>
  <c r="BT37" i="2" s="1"/>
  <c r="BU37" i="2" s="1"/>
  <c r="BV37" i="2" s="1"/>
  <c r="BW37" i="2" s="1"/>
  <c r="BX37" i="2" s="1"/>
  <c r="BY37" i="2" s="1"/>
  <c r="BZ37" i="2" s="1"/>
  <c r="CA37" i="2" s="1"/>
  <c r="CB37" i="2" s="1"/>
  <c r="CC37" i="2" s="1"/>
  <c r="CD37" i="2" s="1"/>
  <c r="CE37" i="2" s="1"/>
  <c r="CF37" i="2" s="1"/>
  <c r="CG37" i="2" s="1"/>
  <c r="CH37" i="2" s="1"/>
  <c r="CI37" i="2" s="1"/>
  <c r="CJ37" i="2" s="1"/>
  <c r="CK37" i="2" s="1"/>
  <c r="CL37" i="2" s="1"/>
  <c r="CM37" i="2" s="1"/>
  <c r="CN37" i="2" s="1"/>
  <c r="CO37" i="2" s="1"/>
  <c r="CP37" i="2" s="1"/>
  <c r="CQ37" i="2" s="1"/>
  <c r="CR37" i="2" s="1"/>
  <c r="CS37" i="2" s="1"/>
  <c r="CT37" i="2" s="1"/>
  <c r="CU37" i="2" s="1"/>
  <c r="CV37" i="2" s="1"/>
  <c r="CW37" i="2" s="1"/>
  <c r="AX49" i="2" l="1"/>
  <c r="AX53" i="2" s="1"/>
  <c r="AX54" i="2" s="1"/>
  <c r="AS38" i="2"/>
  <c r="AS5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tc={FBBFA768-8F12-42F0-9C0B-EE828045336C}</author>
    <author>tc={0E3DC74B-1EA6-4DE1-9FC1-22223C626216}</author>
    <author>tc={BD43B5D8-C5C9-4E17-8362-9EF57E1B35E5}</author>
    <author>tc={8C543166-7E6A-448B-B7E3-720F51E35135}</author>
    <author>tc={37B1D132-4F99-4BFA-B9DE-FA9D39796D75}</author>
    <author>tc={9BAC047B-9C13-4083-9E91-56CC4B86282A}</author>
    <author>tc={48BE0944-3BDD-4973-B1C2-88AA905BEB25}</author>
  </authors>
  <commentList>
    <comment ref="T25" authorId="0" shapeId="0" xr:uid="{FBBFA768-8F12-42F0-9C0B-EE828045336C}">
      <text>
        <t>[Threaded comment]
Your version of Excel allows you to read this threaded comment; however, any edits to it will get removed if the file is opened in a newer version of Excel. Learn more: https://go.microsoft.com/fwlink/?linkid=870924
Comment:
    Reels &gt;1B run-rate</t>
      </text>
    </comment>
    <comment ref="R26" authorId="1" shapeId="0" xr:uid="{0E3DC74B-1EA6-4DE1-9FC1-22223C626216}">
      <text>
        <t>[Threaded comment]
Your version of Excel allows you to read this threaded comment; however, any edits to it will get removed if the file is opened in a newer version of Excel. Learn more: https://go.microsoft.com/fwlink/?linkid=870924
Comment:
    Q321: 31.5B-34B guidance</t>
      </text>
    </comment>
    <comment ref="S26" authorId="2" shapeId="0" xr:uid="{BD43B5D8-C5C9-4E17-8362-9EF57E1B35E5}">
      <text>
        <t>[Threaded comment]
Your version of Excel allows you to read this threaded comment; however, any edits to it will get removed if the file is opened in a newer version of Excel. Learn more: https://go.microsoft.com/fwlink/?linkid=870924
Comment:
    Q421 guidance: 27-29B</t>
      </text>
    </comment>
    <comment ref="T26" authorId="3" shapeId="0" xr:uid="{8C543166-7E6A-448B-B7E3-720F51E35135}">
      <text>
        <t>[Threaded comment]
Your version of Excel allows you to read this threaded comment; however, any edits to it will get removed if the file is opened in a newer version of Excel. Learn more: https://go.microsoft.com/fwlink/?linkid=870924
Comment:
    Q122 guidance: 28-30B</t>
      </text>
    </comment>
    <comment ref="U26" authorId="4" shapeId="0" xr:uid="{37B1D132-4F99-4BFA-B9DE-FA9D39796D75}">
      <text>
        <t>[Threaded comment]
Your version of Excel allows you to read this threaded comment; however, any edits to it will get removed if the file is opened in a newer version of Excel. Learn more: https://go.microsoft.com/fwlink/?linkid=870924
Comment:
    Q222 guidance: 26-28.5B</t>
      </text>
    </comment>
    <comment ref="V26" authorId="5" shapeId="0" xr:uid="{9BAC047B-9C13-4083-9E91-56CC4B86282A}">
      <text>
        <t>[Threaded comment]
Your version of Excel allows you to read this threaded comment; however, any edits to it will get removed if the file is opened in a newer version of Excel. Learn more: https://go.microsoft.com/fwlink/?linkid=870924
Comment:
    Q322: 30.0-32.5B</t>
      </text>
    </comment>
    <comment ref="W26" authorId="6" shapeId="0" xr:uid="{48BE0944-3BDD-4973-B1C2-88AA905BEB25}">
      <text>
        <t>[Threaded comment]
Your version of Excel allows you to read this threaded comment; however, any edits to it will get removed if the file is opened in a newer version of Excel. Learn more: https://go.microsoft.com/fwlink/?linkid=870924
Comment:
    26.0-28.5B given Q422
Consensus 27.65B 4/26</t>
      </text>
    </comment>
  </commentList>
</comments>
</file>

<file path=xl/sharedStrings.xml><?xml version="1.0" encoding="utf-8"?>
<sst xmlns="http://schemas.openxmlformats.org/spreadsheetml/2006/main" count="243" uniqueCount="206">
  <si>
    <t xml:space="preserve"> </t>
  </si>
  <si>
    <t>Price</t>
  </si>
  <si>
    <t>Shares</t>
  </si>
  <si>
    <t>MC</t>
  </si>
  <si>
    <t>Cash</t>
  </si>
  <si>
    <t>Debt</t>
  </si>
  <si>
    <t>EV</t>
  </si>
  <si>
    <t>Main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</si>
  <si>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</si>
  <si>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</si>
  <si>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</si>
  <si>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</si>
  <si>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</si>
  <si>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</si>
  <si>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</si>
  <si>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</si>
  <si>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</si>
  <si>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</si>
  <si>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</si>
  <si>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</si>
  <si>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</si>
  <si>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</si>
  <si>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</si>
  <si>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</si>
  <si>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Revenue</t>
  </si>
  <si>
    <t>Family DAP</t>
  </si>
  <si>
    <t>Family MAP</t>
  </si>
  <si>
    <t>Facebook DAU</t>
  </si>
  <si>
    <t>Facebook MAU</t>
  </si>
  <si>
    <t>Facebook</t>
  </si>
  <si>
    <t>Instagram</t>
  </si>
  <si>
    <t>WhatsApp</t>
  </si>
  <si>
    <t>Horizon</t>
  </si>
  <si>
    <t>Quest</t>
  </si>
  <si>
    <t>Reality Labs</t>
  </si>
  <si>
    <t>Headcount</t>
  </si>
  <si>
    <t>COGS</t>
  </si>
  <si>
    <t>Gross Margin</t>
  </si>
  <si>
    <t>R&amp;D</t>
  </si>
  <si>
    <t>G&amp;A</t>
  </si>
  <si>
    <t>M&amp;S</t>
  </si>
  <si>
    <t>Operating Expenses</t>
  </si>
  <si>
    <t>Operating Income</t>
  </si>
  <si>
    <t>Interest Income</t>
  </si>
  <si>
    <t>Pretax Income</t>
  </si>
  <si>
    <t>Taxes</t>
  </si>
  <si>
    <t>Net Income</t>
  </si>
  <si>
    <t>EPS</t>
  </si>
  <si>
    <t>Revenue y/y</t>
  </si>
  <si>
    <t>AR</t>
  </si>
  <si>
    <t>Prepaids</t>
  </si>
  <si>
    <t>PPE</t>
  </si>
  <si>
    <t>Lease ROU</t>
  </si>
  <si>
    <t>Assets</t>
  </si>
  <si>
    <t>Intangibles</t>
  </si>
  <si>
    <t>Other</t>
  </si>
  <si>
    <t>AP</t>
  </si>
  <si>
    <t>Partners Payable</t>
  </si>
  <si>
    <t>Leases</t>
  </si>
  <si>
    <t>AE</t>
  </si>
  <si>
    <t>DR</t>
  </si>
  <si>
    <t>L+SE</t>
  </si>
  <si>
    <t>Retained</t>
  </si>
  <si>
    <t>AOCL</t>
  </si>
  <si>
    <t>PIC</t>
  </si>
  <si>
    <t>OL</t>
  </si>
  <si>
    <t>Model NI</t>
  </si>
  <si>
    <t>Reported NI</t>
  </si>
  <si>
    <t>CFFO</t>
  </si>
  <si>
    <t>D&amp;A</t>
  </si>
  <si>
    <t>SBC</t>
  </si>
  <si>
    <t>DT</t>
  </si>
  <si>
    <t>WC</t>
  </si>
  <si>
    <t>CapEx</t>
  </si>
  <si>
    <t>Investing</t>
  </si>
  <si>
    <t>Acquisitions</t>
  </si>
  <si>
    <t>CFFI</t>
  </si>
  <si>
    <t>SBC Taxes</t>
  </si>
  <si>
    <t>Buybacks</t>
  </si>
  <si>
    <t>CFFF</t>
  </si>
  <si>
    <t>FX</t>
  </si>
  <si>
    <t>CIC</t>
  </si>
  <si>
    <t>Ads</t>
  </si>
  <si>
    <t>Reality</t>
  </si>
  <si>
    <t>Family MARPU</t>
  </si>
  <si>
    <t>Family DARPU</t>
  </si>
  <si>
    <t>CEO: Mark Zuckerburg since 2004</t>
  </si>
  <si>
    <t>COO: Javier Olivian replaces Sheryl Sandberg who resigns 5/28/22</t>
  </si>
  <si>
    <t>2012: IPO</t>
  </si>
  <si>
    <t>2/4/2004: Founded</t>
  </si>
  <si>
    <t>Class A</t>
  </si>
  <si>
    <t>Class B</t>
  </si>
  <si>
    <t>BOD: Andreessen, Alford, Houston, Killefer, Kimmitt, Sandberg, Travis, Xu</t>
  </si>
  <si>
    <t>Menlo Park, CA</t>
  </si>
  <si>
    <t>650-543-4800</t>
  </si>
  <si>
    <t>US Revenue y/y</t>
  </si>
  <si>
    <t>Ad Pricing y/y</t>
  </si>
  <si>
    <t>Ad Volume y/y</t>
  </si>
  <si>
    <t>Global ARPP</t>
  </si>
  <si>
    <t xml:space="preserve">  2Q MA</t>
  </si>
  <si>
    <t xml:space="preserve">  y/y</t>
  </si>
  <si>
    <t xml:space="preserve">  US/CA</t>
  </si>
  <si>
    <t>IR: Deborah Crawford investor@fb.com</t>
  </si>
  <si>
    <t>USCA Ads</t>
  </si>
  <si>
    <t>EU Ads</t>
  </si>
  <si>
    <t>20% of time Reels</t>
  </si>
  <si>
    <t>50% of time Video</t>
  </si>
  <si>
    <t>APAC Ads</t>
  </si>
  <si>
    <t>Reality y/y</t>
  </si>
  <si>
    <t>CFO: Dave Wehner</t>
  </si>
  <si>
    <t>Tax Rate</t>
  </si>
  <si>
    <t>ROIC</t>
  </si>
  <si>
    <t>NPV</t>
  </si>
  <si>
    <t>Discount</t>
  </si>
  <si>
    <t>Terminal</t>
  </si>
  <si>
    <t>Share</t>
  </si>
  <si>
    <t>Upside</t>
  </si>
  <si>
    <t>Q123</t>
  </si>
  <si>
    <t>Q223</t>
  </si>
  <si>
    <t>Q323</t>
  </si>
  <si>
    <t>Q423</t>
  </si>
  <si>
    <t>ROW Ads</t>
  </si>
  <si>
    <t>Q418</t>
  </si>
  <si>
    <t>Q318</t>
  </si>
  <si>
    <t>Q218</t>
  </si>
  <si>
    <t>Q118</t>
  </si>
  <si>
    <t>Stories?</t>
  </si>
  <si>
    <t>FCF</t>
  </si>
  <si>
    <t>FCF TTM</t>
  </si>
  <si>
    <t>Number</t>
  </si>
  <si>
    <t>Title</t>
  </si>
  <si>
    <t>Filed</t>
  </si>
  <si>
    <t>Issued</t>
  </si>
  <si>
    <t>Monitoring circuit including cascaded s-boxes for fault injection attack protection</t>
  </si>
  <si>
    <t>Entity</t>
  </si>
  <si>
    <t>FACEBOOK TECHNOLOGIES, LLC (Menlo Park, CA)</t>
  </si>
  <si>
    <t>Inventors</t>
  </si>
  <si>
    <t>Satpathy; Sudhir (Redmond, WA), Powiertowski; Wojciech Stefan (Kirkland, WA), Modadugu; Nagendra Gupta (San Francisco, CA), Upasani; Neeraj (Sammamish, WA)</t>
  </si>
  <si>
    <t>Relevance</t>
  </si>
  <si>
    <t>Virtual reality-based augmented reality development system</t>
  </si>
  <si>
    <t>Bond; Lars Anders (San Mateo, CA), Georg; Francesco (Mountain View, CA), Ocampo; Christopher John (Dublin, CA), Slater; Michael (Nottingham, GB), Smet; Stef Marc (London, GB), Verlinde; Hannes (Post-MSX, GB)</t>
  </si>
  <si>
    <t xml:space="preserve">	FACEBOOK TECHNOLOGIES, LLC (Menlo Park, CA)</t>
  </si>
  <si>
    <t>Lu; Lu (Kirkland, WA), Li; Gang (Bothwell, WA), Lee; Seungjae (Redmond, WA), Wang; Mengfi (Seattle, WA)</t>
  </si>
  <si>
    <t>Pancake lens including diffuser</t>
  </si>
  <si>
    <t>Gollier; Jacques (Sammamish, WA), Geng; Ying (Bellevue, WA), Chen; Dong (Foster City, CA)</t>
  </si>
  <si>
    <t>High-resolution liquid crystal displays</t>
  </si>
  <si>
    <t xml:space="preserve">	Facebook Technologies, LLC (Menlo Park, CA)</t>
  </si>
  <si>
    <t>Fluidic valve</t>
  </si>
  <si>
    <t>Facebook Technologies, LLC (Menlo Park, CA)</t>
  </si>
  <si>
    <t xml:space="preserve">	Schied; Christoph Hermann (Seattle, WA), Kaplanyan; Anton S. (Redmond, WA)</t>
  </si>
  <si>
    <t>Systems and methods for graphics rendering based on machine learning</t>
  </si>
  <si>
    <t xml:space="preserve">	Hirsh; Seth Michael (Seattle, WA), Chao; Qing (Redmond, WA), Cavin; Robert Dale (Seattle, WA), Guestrin; Elias Daniel (Redmond, WA), Hall; Michael (Bellevue, WA)</t>
  </si>
  <si>
    <t>Gaze detection pipeline in an artificial reality system</t>
  </si>
  <si>
    <t xml:space="preserve">	Bikumandla; Manoj (Union City, CA), Bardagjy; Andrew Matthew (Seattle, WA), Hazegh; Cina (Walnut Creek, CA)</t>
  </si>
  <si>
    <t>Systems and methods for optical demodulation in a depth-sensing device</t>
  </si>
  <si>
    <t>Systems and methods for temporal anti-aliasing</t>
  </si>
  <si>
    <t>Ning; Tianxin (Mountain View, CA), Jiang; Haomiao (Sunnyvale, CA), Bastani; Behnam (Palo Alto, CA)</t>
  </si>
  <si>
    <t xml:space="preserve">	Facebook Technologies, LLC. (Menlo Park, CA)</t>
  </si>
  <si>
    <t>Buckley; Edward (Redmond, WA)</t>
  </si>
  <si>
    <t>Systems and methods for mask-based spatio-temporal dithering</t>
  </si>
  <si>
    <t>Artificial reality system using a multisurface display protocol to communicate surface data</t>
  </si>
  <si>
    <t>Tamama; Hideo (Kirkland, WA), Mathur; Alok Kumar (Cupertino, CA), Clohset; Steve John (San Francisco, CA)</t>
  </si>
  <si>
    <t>Goodall; Todd (Mill Valley, CA), Kaplanyan; Anton S (Redmond, WA), Patney; Anjul (Kirkland, WA), Sriwasansak; Jamorn (Redmond, WA)</t>
  </si>
  <si>
    <t>Efficient motion-compensated spatiotemporal sampling</t>
  </si>
  <si>
    <t>Selfon; Scott Phillip (Kirkland, WA)</t>
  </si>
  <si>
    <t>Systems and methods for audio adjustment</t>
  </si>
  <si>
    <t>Facebook Technologies, LLC. (Menlo Park, CA)</t>
  </si>
  <si>
    <t>Atlas; Charlene Mary (Redmond, WA), Bachy; Romain (Seattle, WA), MacKenzie; Kevin James (Sammamish, WA), Matsuda; Nathan (Seattle, WA), Murdison; Thomas Scott (Kirkland, WA), Quigley; Ocean (Oakland, CA), Sears; Jasmine Soria (Kirkland, WA)</t>
  </si>
  <si>
    <t>Adaptive rendering in artificial reality environments</t>
  </si>
  <si>
    <t xml:space="preserve">	Simon Kreuz; Tomas (Pittsburgh, PA), Saragih; Jason (Pittsburgh, PA), Lombardi; Stephen Anthony (Pittsburgh, PA), Ma; Shugao (Pittsburgh, PA), Schwartz; Gabriel Bailowitz (Pittsburgh, PA)</t>
  </si>
  <si>
    <t>Systems and methods for rendering avatar with high resolution geometry</t>
  </si>
  <si>
    <t xml:space="preserve">	Golas; Abhinav (Burlingame, CA)</t>
  </si>
  <si>
    <t>Distortion-corrected rasterization</t>
  </si>
  <si>
    <t>Randomized clock cycle lengths for boot sequences</t>
  </si>
  <si>
    <t>Ravasz; Jonathan (London, GB), Stevens; Jasper (London, GB), Varga; Adam Tibor (London, GB), Pinchon; Etienne (London, GB), Tickner; Simon Charles (Canterbury, GB), Spurlock; Jennifer Lynn (Seattle, WA), Sorge-Toomey; Kyle Eric (Seattle, WA), Ellis; Robert (London, GB), Fox; Barrett (Berkeley, CA)</t>
  </si>
  <si>
    <t>Detecting input using a stylus in artificial reality systems based on a stylus movement after a stylus selection action</t>
  </si>
  <si>
    <t>Optical assembly with holographic optics for folded optical path</t>
  </si>
  <si>
    <t xml:space="preserve">	Maimone; Andrew (Duvall, WA), Wang; Junren (Redmond, WA), Silverstein; Barry (Kirkland, WA)</t>
  </si>
  <si>
    <t xml:space="preserve">	Tanner; Christopher Richard (San Carlos, CA), Havilio; Amir Mesguich (San Francisco, CA), Pujals; Michelle (Los Gatos, CA), Noris; Gioacchino (Zurich, CH), Marra; Alessia (Zurich, CH), Wallen; Nicholas (South San Francisco, CA)</t>
  </si>
  <si>
    <t>Mixed reality objects in virtual reality environments</t>
  </si>
  <si>
    <t xml:space="preserve">	Zwiegincew; Arthur (Medina, CA), Mittertreiner; Gwen Erick Eng (Mountain View, CA), Keep; Andrew William (Redmond, WA)</t>
  </si>
  <si>
    <t>System and method of utilizing data binding to propagate data changes</t>
  </si>
  <si>
    <t>Gong; Jun (Redmond, WA), Gupta; Aakar (Redmond, WA), Benko; Hrvoje (Seattle, WA)</t>
  </si>
  <si>
    <t>Wearable device and user input system for computing devices and artificial reality environments</t>
  </si>
  <si>
    <t>Bodolec; Arthur (New York City, NY), Shu; Jing (Sunnyvale, CA), Young; Lindsay (San Francisco, CA), Summers; Melissa Erin (Charlotte, NC), Zeller; Andrea (Bothell, WA), Lee; Seohyun (Mountain View, CA), Gokalp; Ayfer (Kirkland, WA)</t>
  </si>
  <si>
    <t>Suspend mode feature for artificial reality systems</t>
  </si>
  <si>
    <t xml:space="preserve">	Lane; Austin (Redmond, WA), Colburn; Matthew E. (Woodinville, WA), Calafiore; Giuseppe (Redmond, WA), Mohanty; Nihar Ranjan (Redmond, WA)</t>
  </si>
  <si>
    <t>Nanoimprint lithography material with switchable mechanical properties</t>
  </si>
  <si>
    <t>Illumination device with encapsulated lens</t>
  </si>
  <si>
    <t xml:space="preserve">	Sharma; Robin (Redmond, WA), Ouderkirk; Andrew John (Redmond, WA), Liao; Christopher Yuan Ting (Seattle, WA), Zhang; Qi (Kirkland, WA), Malhotra; Tanya (Redmond, WA), Hatzillias; Karol Constantine (Kenmore, WA), Scheller; Maik (Redmond, WA), Ye; Sheng (Redmond, WA), Andreev; Gregory Olegovic (Redmond, WA)</t>
  </si>
  <si>
    <t>D960,160</t>
  </si>
  <si>
    <t xml:space="preserve">	Bristol; Peter Wesley (Seattle, WA), Chen; Yi-yaun (Seattle, WA), Romano; Mauricio (Redmond, WA), Newbury; Peter Allan Chase (Burlington, WA)</t>
  </si>
  <si>
    <t>Controller</t>
  </si>
  <si>
    <t>Lu; Gang (Pleasanton, CA), Doshi; Nihar (Fremont, CA), Han; Jiwon Steve (San Ramon, CA), Wang; Xiaoguang (Sunnyvale, CA), Zheng; Dong (Saratoga, CA), Hu; Chunyu (Saratoga, CA), Qu; Qi (Redmond, WA)</t>
  </si>
  <si>
    <t>Switching between different communication protocols</t>
  </si>
  <si>
    <t>Reality Labs OI</t>
  </si>
  <si>
    <t>Net Cash</t>
  </si>
  <si>
    <t>tbh 2017 - Nikita Bier</t>
  </si>
  <si>
    <t>Reality Labs 6mo y/y</t>
  </si>
  <si>
    <t>Family OI</t>
  </si>
  <si>
    <t xml:space="preserve">  Change q/q</t>
  </si>
  <si>
    <t>OpEx y/y</t>
  </si>
  <si>
    <t>Operating Margin</t>
  </si>
  <si>
    <t>Family OM%</t>
  </si>
  <si>
    <t>Stock Price (period end)</t>
  </si>
  <si>
    <t xml:space="preserve">  US/CA ARPU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</si>
</sst>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horizontal="right"/>
    </xf>
    <xf numFmtId="0" fontId="2" fillId="0" borderId="0" xfId="1"/>
    <xf numFmtId="3" fontId="0" fillId="0" borderId="0" xfId="0" applyNumberFormat="1"/>
    <xf numFmtId="0" fontId="1" fillId="0" borderId="0" xfId="0" applyFont="1"/>
    <xf numFmtId="0" fontId="3" fillId="0" borderId="0" xfId="0" applyFon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3" fontId="4" fillId="0" borderId="0" xfId="0" applyNumberFormat="1" applyFont="1"/>
    <xf numFmtId="3" fontId="4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9" fontId="4" fillId="0" borderId="0" xfId="0" applyNumberFormat="1" applyFont="1" applyAlignment="1">
      <alignment horizontal="right"/>
    </xf>
    <xf numFmtId="4" fontId="0" fillId="0" borderId="0" xfId="0" applyNumberFormat="1"/>
    <xf numFmtId="9" fontId="1" fillId="0" borderId="0" xfId="0" applyNumberFormat="1" applyFont="1"/>
    <xf numFmtId="9" fontId="0" fillId="0" borderId="0" xfId="0" applyNumberFormat="1"/>
    <xf numFmtId="14" fontId="0" fillId="0" borderId="0" xfId="0" applyNumberFormat="1"/>
    <xf numFmtId="3" fontId="0" fillId="2" borderId="0" xfId="0" applyNumberFormat="1" applyFill="1" applyAlignment="1">
      <alignment horizontal="right"/>
    </xf>
    <xf numFmtId="4" fontId="0" fillId="2" borderId="0" xfId="0" applyNumberForma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99881B5-ABB4-4217-96D2-F267F48EA76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36909</xdr:colOff>
      <xdr:row>0</xdr:row>
      <xdr:rowOff>32525</xdr:rowOff>
    </xdr:from>
    <xdr:to>
      <xdr:col>23</xdr:col>
      <xdr:colOff>36909</xdr:colOff>
      <xdr:row>121</xdr:row>
      <xdr:rowOff>32526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323189D-C9D9-F2EF-EA92-77C530A80B61}"/>
            </a:ext>
          </a:extLst>
        </xdr:cNvPr>
        <xdr:cNvCxnSpPr/>
      </xdr:nvCxnSpPr>
      <xdr:spPr>
        <a:xfrm>
          <a:off x="14421982" y="32525"/>
          <a:ext cx="0" cy="196772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36</xdr:col>
      <xdr:colOff>28575</xdr:colOff>
      <xdr:row>0</xdr:row>
      <xdr:rowOff>0</xdr:rowOff>
    </xdr:from>
    <xdr:to>
      <xdr:col>36</xdr:col>
      <xdr:colOff>28575</xdr:colOff>
      <xdr:row>57</xdr:row>
      <xdr:rowOff>28575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24DDBC1-608B-6F25-EAC7-D2983CE213BA}"/>
            </a:ext>
          </a:extLst>
        </xdr:cNvPr>
        <xdr:cNvCxnSpPr/>
      </xdr:nvCxnSpPr>
      <xdr:spPr>
        <a:xfrm>
          <a:off x="18087975" y="0"/>
          <a:ext cx="0" cy="8124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527D12BE-C9D2-4ADE-8FA6-64C9EAF4387F}" userId="9ffda80931a5727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25" dT="2022-09-30T13:25:09.70" personId="{527D12BE-C9D2-4ADE-8FA6-64C9EAF4387F}" id="{FBBFA768-8F12-42F0-9C0B-EE828045336C}">
    <text>Reels &gt;1B run-rate</text>
  </threadedComment>
  <threadedComment ref="R26" dT="2022-06-12T02:12:46.51" personId="{527D12BE-C9D2-4ADE-8FA6-64C9EAF4387F}" id="{0E3DC74B-1EA6-4DE1-9FC1-22223C626216}">
    <text>Q321: 31.5B-34B guidance</text>
  </threadedComment>
  <threadedComment ref="S26" dT="2022-06-12T01:45:07.26" personId="{527D12BE-C9D2-4ADE-8FA6-64C9EAF4387F}" id="{BD43B5D8-C5C9-4E17-8362-9EF57E1B35E5}">
    <text>Q421 guidance: 27-29B</text>
  </threadedComment>
  <threadedComment ref="T26" dT="2022-06-11T18:28:26.10" personId="{527D12BE-C9D2-4ADE-8FA6-64C9EAF4387F}" id="{8C543166-7E6A-448B-B7E3-720F51E35135}">
    <text>Q122 guidance: 28-30B</text>
  </threadedComment>
  <threadedComment ref="U26" dT="2022-07-27T23:03:53.04" personId="{527D12BE-C9D2-4ADE-8FA6-64C9EAF4387F}" id="{37B1D132-4F99-4BFA-B9DE-FA9D39796D75}">
    <text>Q222 guidance: 26-28.5B</text>
  </threadedComment>
  <threadedComment ref="V26" dT="2022-10-27T13:48:29.91" personId="{527D12BE-C9D2-4ADE-8FA6-64C9EAF4387F}" id="{9BAC047B-9C13-4083-9E91-56CC4B86282A}">
    <text>Q322: 30.0-32.5B</text>
  </threadedComment>
  <threadedComment ref="W26" dT="2023-02-01T21:20:58.90" personId="{527D12BE-C9D2-4ADE-8FA6-64C9EAF4387F}" id="{48BE0944-3BDD-4973-B1C2-88AA905BEB25}">
    <text>26.0-28.5B given Q422
Consensus 27.65B 4/26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1324B-BEE3-4317-A400-2CB53AA7AD6F}">
  <dimension ref="A1:N28"/>
  <sheetViews>
    <sheetView zoomScale="175" zoomScaleNormal="175" workbookViewId="0"/>
  </sheetViews>
  <sheetFormatPr defaultRowHeight="12.75" x14ac:dyDescent="0.2"/>
  <cols>
    <col min="2" max="2" width="13" customWidth="1"/>
  </cols>
  <sheetData>
    <row r="1" spans="1:14" x14ac:dyDescent="0.2">
      <c r="A1" t="s">
        <v>0</v>
      </c>
    </row>
    <row r="2" spans="1:14" x14ac:dyDescent="0.2">
      <c r="L2" t="s">
        <v>1</v>
      </c>
      <c r="M2" s="17">
        <v>210</v>
      </c>
    </row>
    <row r="3" spans="1:14" x14ac:dyDescent="0.2">
      <c r="B3" t="s">
        <v>29</v>
      </c>
      <c r="C3" t="s">
        <v>106</v>
      </c>
      <c r="L3" t="s">
        <v>2</v>
      </c>
      <c r="M3" s="3">
        <f>2248.672204+402.87647</f>
        <v>2651.5486740000001</v>
      </c>
      <c r="N3" s="1" t="s">
        <v>22</v>
      </c>
    </row>
    <row r="4" spans="1:14" x14ac:dyDescent="0.2">
      <c r="B4" t="s">
        <v>30</v>
      </c>
      <c r="C4" t="s">
        <v>105</v>
      </c>
      <c r="L4" t="s">
        <v>3</v>
      </c>
      <c r="M4" s="3">
        <f>+M3*M2</f>
        <v>556825.22154000006</v>
      </c>
    </row>
    <row r="5" spans="1:14" x14ac:dyDescent="0.2">
      <c r="C5" t="s">
        <v>126</v>
      </c>
      <c r="L5" t="s">
        <v>4</v>
      </c>
      <c r="M5" s="3">
        <v>48304</v>
      </c>
      <c r="N5" s="1" t="s">
        <v>22</v>
      </c>
    </row>
    <row r="6" spans="1:14" x14ac:dyDescent="0.2">
      <c r="B6" t="s">
        <v>31</v>
      </c>
      <c r="L6" t="s">
        <v>5</v>
      </c>
      <c r="M6" s="3">
        <v>9922</v>
      </c>
      <c r="N6" s="1" t="s">
        <v>22</v>
      </c>
    </row>
    <row r="7" spans="1:14" x14ac:dyDescent="0.2">
      <c r="L7" t="s">
        <v>6</v>
      </c>
      <c r="M7" s="3">
        <f>+M4-M5+M6</f>
        <v>518443.22154000006</v>
      </c>
    </row>
    <row r="8" spans="1:14" x14ac:dyDescent="0.2">
      <c r="B8" s="5" t="s">
        <v>34</v>
      </c>
    </row>
    <row r="9" spans="1:14" x14ac:dyDescent="0.2">
      <c r="B9" t="s">
        <v>32</v>
      </c>
    </row>
    <row r="10" spans="1:14" x14ac:dyDescent="0.2">
      <c r="B10" t="s">
        <v>33</v>
      </c>
      <c r="L10" t="s">
        <v>90</v>
      </c>
      <c r="M10" s="3">
        <v>1865.970703</v>
      </c>
    </row>
    <row r="11" spans="1:14" x14ac:dyDescent="0.2">
      <c r="L11" t="s">
        <v>91</v>
      </c>
      <c r="M11" s="3">
        <v>366.55794300000002</v>
      </c>
    </row>
    <row r="15" spans="1:14" x14ac:dyDescent="0.2">
      <c r="B15" t="s">
        <v>86</v>
      </c>
    </row>
    <row r="16" spans="1:14" x14ac:dyDescent="0.2">
      <c r="B16" t="s">
        <v>109</v>
      </c>
    </row>
    <row r="17" spans="2:12" x14ac:dyDescent="0.2">
      <c r="B17" t="s">
        <v>87</v>
      </c>
    </row>
    <row r="18" spans="2:12" x14ac:dyDescent="0.2">
      <c r="B18" t="s">
        <v>92</v>
      </c>
      <c r="L18" s="5" t="s">
        <v>75</v>
      </c>
    </row>
    <row r="19" spans="2:12" x14ac:dyDescent="0.2">
      <c r="B19" t="s">
        <v>102</v>
      </c>
      <c r="L19" t="s">
        <v>197</v>
      </c>
    </row>
    <row r="24" spans="2:12" x14ac:dyDescent="0.2">
      <c r="B24" t="s">
        <v>88</v>
      </c>
    </row>
    <row r="25" spans="2:12" x14ac:dyDescent="0.2">
      <c r="B25" t="s">
        <v>89</v>
      </c>
    </row>
    <row r="27" spans="2:12" x14ac:dyDescent="0.2">
      <c r="B27" t="s">
        <v>93</v>
      </c>
    </row>
    <row r="28" spans="2:12" x14ac:dyDescent="0.2">
      <c r="B28" t="s">
        <v>94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87D1C-8B34-4AB7-86D4-BE833131478C}">
  <dimension ref="A1:CW108"/>
  <sheetViews>
    <sheetView tabSelected="1" zoomScale="205" zoomScaleNormal="205" workbookViewId="0">
      <pane xSplit="2" ySplit="2" topLeftCell="Q15" activePane="bottomRight" state="frozen"/>
      <selection pane="topRight" activeCell="C1" sqref="C1"/>
      <selection pane="bottomLeft" activeCell="A3" sqref="A3"/>
      <selection pane="bottomRight" activeCell="Z29" sqref="Z29"/>
    </sheetView>
  </sheetViews>
  <sheetFormatPr defaultRowHeight="12.75" x14ac:dyDescent="0.2"/>
  <cols>
    <col min="1" max="1" width="5" bestFit="1" customWidth="1"/>
    <col min="2" max="2" width="19" customWidth="1"/>
    <col min="3" max="25" width="9.140625" style="1"/>
  </cols>
  <sheetData>
    <row r="1" spans="1:45" x14ac:dyDescent="0.2">
      <c r="A1" s="2" t="s">
        <v>7</v>
      </c>
    </row>
    <row r="2" spans="1:45" x14ac:dyDescent="0.2">
      <c r="C2" s="1" t="s">
        <v>125</v>
      </c>
      <c r="D2" s="1" t="s">
        <v>124</v>
      </c>
      <c r="E2" s="1" t="s">
        <v>123</v>
      </c>
      <c r="F2" s="1" t="s">
        <v>122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  <c r="P2" s="1" t="s">
        <v>17</v>
      </c>
      <c r="Q2" s="1" t="s">
        <v>18</v>
      </c>
      <c r="R2" s="1" t="s">
        <v>19</v>
      </c>
      <c r="S2" s="1" t="s">
        <v>20</v>
      </c>
      <c r="T2" s="1" t="s">
        <v>21</v>
      </c>
      <c r="U2" s="1" t="s">
        <v>22</v>
      </c>
      <c r="V2" s="1" t="s">
        <v>23</v>
      </c>
      <c r="W2" s="1" t="s">
        <v>117</v>
      </c>
      <c r="X2" s="1" t="s">
        <v>118</v>
      </c>
      <c r="Y2" s="1" t="s">
        <v>119</v>
      </c>
      <c r="Z2" s="1" t="s">
        <v>120</v>
      </c>
      <c r="AB2">
        <v>2013</v>
      </c>
      <c r="AC2">
        <v>2014</v>
      </c>
      <c r="AD2">
        <v>2015</v>
      </c>
      <c r="AE2">
        <f>+AD2+1</f>
        <v>2016</v>
      </c>
      <c r="AF2">
        <f t="shared" ref="AF2:AS2" si="0">+AE2+1</f>
        <v>2017</v>
      </c>
      <c r="AG2">
        <f t="shared" si="0"/>
        <v>2018</v>
      </c>
      <c r="AH2">
        <f t="shared" si="0"/>
        <v>2019</v>
      </c>
      <c r="AI2">
        <f t="shared" si="0"/>
        <v>2020</v>
      </c>
      <c r="AJ2">
        <f t="shared" si="0"/>
        <v>2021</v>
      </c>
      <c r="AK2">
        <f t="shared" si="0"/>
        <v>2022</v>
      </c>
      <c r="AL2">
        <f t="shared" si="0"/>
        <v>2023</v>
      </c>
      <c r="AM2">
        <f t="shared" si="0"/>
        <v>2024</v>
      </c>
      <c r="AN2">
        <f t="shared" si="0"/>
        <v>2025</v>
      </c>
      <c r="AO2">
        <f t="shared" si="0"/>
        <v>2026</v>
      </c>
      <c r="AP2">
        <f t="shared" si="0"/>
        <v>2027</v>
      </c>
      <c r="AQ2">
        <f t="shared" si="0"/>
        <v>2028</v>
      </c>
      <c r="AR2">
        <f t="shared" si="0"/>
        <v>2029</v>
      </c>
      <c r="AS2">
        <f t="shared" si="0"/>
        <v>2030</v>
      </c>
    </row>
    <row r="3" spans="1:45" s="3" customFormat="1" x14ac:dyDescent="0.2">
      <c r="B3" s="3" t="s">
        <v>25</v>
      </c>
      <c r="C3" s="6"/>
      <c r="D3" s="6"/>
      <c r="E3" s="6"/>
      <c r="F3" s="6"/>
      <c r="G3" s="6"/>
      <c r="H3" s="6"/>
      <c r="I3" s="6"/>
      <c r="J3" s="6">
        <v>2260</v>
      </c>
      <c r="K3" s="6">
        <v>2360</v>
      </c>
      <c r="L3" s="6">
        <v>2470</v>
      </c>
      <c r="M3" s="6">
        <v>2540</v>
      </c>
      <c r="N3" s="6">
        <v>2600</v>
      </c>
      <c r="O3" s="6">
        <v>2720</v>
      </c>
      <c r="P3" s="6">
        <v>2760</v>
      </c>
      <c r="Q3" s="6">
        <v>2810</v>
      </c>
      <c r="R3" s="6">
        <v>2820</v>
      </c>
      <c r="S3" s="6">
        <v>2870</v>
      </c>
      <c r="T3" s="6">
        <v>2880</v>
      </c>
      <c r="U3" s="6">
        <v>2930</v>
      </c>
      <c r="V3" s="6">
        <v>2960</v>
      </c>
      <c r="W3" s="6">
        <v>3020</v>
      </c>
      <c r="X3" s="6"/>
      <c r="Y3" s="6"/>
    </row>
    <row r="4" spans="1:45" s="3" customFormat="1" x14ac:dyDescent="0.2">
      <c r="B4" s="3" t="s">
        <v>26</v>
      </c>
      <c r="C4" s="6"/>
      <c r="D4" s="6"/>
      <c r="E4" s="6"/>
      <c r="F4" s="6"/>
      <c r="G4" s="6"/>
      <c r="H4" s="6"/>
      <c r="I4" s="6"/>
      <c r="J4" s="6">
        <v>2890</v>
      </c>
      <c r="K4" s="6">
        <v>2990</v>
      </c>
      <c r="L4" s="6">
        <v>3140</v>
      </c>
      <c r="M4" s="6">
        <v>3210</v>
      </c>
      <c r="N4" s="6">
        <v>3300</v>
      </c>
      <c r="O4" s="6">
        <v>3450</v>
      </c>
      <c r="P4" s="6">
        <v>3510</v>
      </c>
      <c r="Q4" s="6">
        <v>3580</v>
      </c>
      <c r="R4" s="6">
        <v>3590</v>
      </c>
      <c r="S4" s="6">
        <v>3640</v>
      </c>
      <c r="T4" s="6">
        <v>3650</v>
      </c>
      <c r="U4" s="6">
        <v>3710</v>
      </c>
      <c r="V4" s="6">
        <v>3740</v>
      </c>
      <c r="W4" s="6">
        <v>3810</v>
      </c>
      <c r="X4" s="6"/>
      <c r="Y4" s="6"/>
    </row>
    <row r="5" spans="1:45" s="3" customFormat="1" x14ac:dyDescent="0.2">
      <c r="B5" s="3" t="s">
        <v>27</v>
      </c>
      <c r="C5" s="6"/>
      <c r="D5" s="6"/>
      <c r="E5" s="6"/>
      <c r="F5" s="6"/>
      <c r="G5" s="6">
        <v>1560</v>
      </c>
      <c r="H5" s="6">
        <v>1590</v>
      </c>
      <c r="I5" s="6">
        <v>1620</v>
      </c>
      <c r="J5" s="6">
        <v>1660</v>
      </c>
      <c r="K5" s="6">
        <v>1734</v>
      </c>
      <c r="L5" s="6">
        <v>1785</v>
      </c>
      <c r="M5" s="6">
        <v>1820</v>
      </c>
      <c r="N5" s="6">
        <v>1845</v>
      </c>
      <c r="O5" s="6">
        <v>1878</v>
      </c>
      <c r="P5" s="6">
        <v>1908</v>
      </c>
      <c r="Q5" s="6">
        <v>1930</v>
      </c>
      <c r="R5" s="6">
        <v>1929</v>
      </c>
      <c r="S5" s="6">
        <v>1960</v>
      </c>
      <c r="T5" s="6">
        <v>1968</v>
      </c>
      <c r="U5" s="6">
        <v>1984</v>
      </c>
      <c r="V5" s="6">
        <v>2000</v>
      </c>
      <c r="W5" s="6">
        <v>2040</v>
      </c>
      <c r="X5" s="6"/>
      <c r="Y5" s="6"/>
    </row>
    <row r="6" spans="1:45" s="3" customFormat="1" x14ac:dyDescent="0.2">
      <c r="B6" s="3" t="s">
        <v>101</v>
      </c>
      <c r="C6" s="6"/>
      <c r="D6" s="6"/>
      <c r="E6" s="6"/>
      <c r="F6" s="6"/>
      <c r="G6" s="6"/>
      <c r="H6" s="6"/>
      <c r="I6" s="6"/>
      <c r="J6" s="6"/>
      <c r="K6" s="6">
        <v>195</v>
      </c>
      <c r="L6" s="6">
        <v>198</v>
      </c>
      <c r="M6" s="6">
        <v>196</v>
      </c>
      <c r="N6" s="6">
        <v>195</v>
      </c>
      <c r="O6" s="6">
        <v>195</v>
      </c>
      <c r="P6" s="6">
        <v>195</v>
      </c>
      <c r="Q6" s="6">
        <v>196</v>
      </c>
      <c r="R6" s="6">
        <v>195</v>
      </c>
      <c r="S6" s="6">
        <v>196</v>
      </c>
      <c r="T6" s="6">
        <v>197</v>
      </c>
      <c r="U6" s="6">
        <v>197</v>
      </c>
      <c r="V6" s="21"/>
      <c r="W6" s="6"/>
      <c r="X6" s="6"/>
      <c r="Y6" s="6"/>
    </row>
    <row r="7" spans="1:45" s="3" customFormat="1" x14ac:dyDescent="0.2">
      <c r="B7" s="3" t="s">
        <v>205</v>
      </c>
      <c r="C7" s="6"/>
      <c r="D7" s="6"/>
      <c r="E7" s="6"/>
      <c r="F7" s="6"/>
      <c r="G7" s="6"/>
      <c r="H7" s="6"/>
      <c r="I7" s="6"/>
      <c r="J7" s="9"/>
      <c r="K7" s="9">
        <f t="shared" ref="K7" si="1">+K22/K6</f>
        <v>42.969230769230769</v>
      </c>
      <c r="L7" s="9">
        <f t="shared" ref="L7" si="2">+L22/L6</f>
        <v>45.752525252525253</v>
      </c>
      <c r="M7" s="9">
        <f t="shared" ref="M7" si="3">+M22/M6</f>
        <v>50.95918367346939</v>
      </c>
      <c r="N7" s="9">
        <f t="shared" ref="N7" si="4">+N22/N6</f>
        <v>67.435897435897431</v>
      </c>
      <c r="O7" s="9">
        <f t="shared" ref="O7" si="5">+O22/O6</f>
        <v>61.01025641025641</v>
      </c>
      <c r="P7" s="9">
        <f t="shared" ref="P7" si="6">+P22/P6</f>
        <v>68.543589743589749</v>
      </c>
      <c r="Q7" s="9">
        <f t="shared" ref="Q7:T7" si="7">+Q22/Q6</f>
        <v>66.806122448979593</v>
      </c>
      <c r="R7" s="9">
        <f t="shared" si="7"/>
        <v>77.241025641025644</v>
      </c>
      <c r="S7" s="9">
        <f t="shared" si="7"/>
        <v>61.346938775510203</v>
      </c>
      <c r="T7" s="9">
        <f t="shared" si="7"/>
        <v>64.913705583756339</v>
      </c>
      <c r="U7" s="9">
        <f>+U22/U6</f>
        <v>64.802030456852791</v>
      </c>
      <c r="V7" s="6"/>
      <c r="W7" s="6"/>
      <c r="X7" s="6"/>
      <c r="Y7" s="6"/>
    </row>
    <row r="8" spans="1:45" s="3" customFormat="1" x14ac:dyDescent="0.2">
      <c r="B8" s="3" t="s">
        <v>28</v>
      </c>
      <c r="C8" s="6"/>
      <c r="D8" s="6"/>
      <c r="E8" s="6"/>
      <c r="F8" s="6"/>
      <c r="G8" s="6">
        <v>2380</v>
      </c>
      <c r="H8" s="6">
        <v>2410</v>
      </c>
      <c r="I8" s="6">
        <v>2450</v>
      </c>
      <c r="J8" s="6">
        <v>2500</v>
      </c>
      <c r="K8" s="6">
        <v>2603</v>
      </c>
      <c r="L8" s="6">
        <v>2701</v>
      </c>
      <c r="M8" s="6">
        <v>2740</v>
      </c>
      <c r="N8" s="6">
        <v>2797</v>
      </c>
      <c r="O8" s="6">
        <v>2853</v>
      </c>
      <c r="P8" s="6">
        <v>2895</v>
      </c>
      <c r="Q8" s="6">
        <v>2910</v>
      </c>
      <c r="R8" s="6">
        <v>2912</v>
      </c>
      <c r="S8" s="6">
        <v>2936</v>
      </c>
      <c r="T8" s="6">
        <v>2934</v>
      </c>
      <c r="U8" s="6">
        <v>2958</v>
      </c>
      <c r="V8" s="6">
        <v>2960</v>
      </c>
      <c r="W8" s="6">
        <v>2990</v>
      </c>
      <c r="X8" s="6"/>
      <c r="Y8" s="6"/>
    </row>
    <row r="9" spans="1:45" s="3" customFormat="1" x14ac:dyDescent="0.2">
      <c r="B9" s="3" t="s">
        <v>101</v>
      </c>
      <c r="C9" s="6"/>
      <c r="D9" s="6"/>
      <c r="E9" s="6"/>
      <c r="F9" s="6"/>
      <c r="G9" s="6"/>
      <c r="H9" s="6"/>
      <c r="I9" s="6"/>
      <c r="J9" s="6"/>
      <c r="K9" s="6">
        <v>253</v>
      </c>
      <c r="L9" s="6">
        <v>256</v>
      </c>
      <c r="M9" s="6">
        <v>255</v>
      </c>
      <c r="N9" s="6">
        <v>258</v>
      </c>
      <c r="O9" s="6">
        <v>259</v>
      </c>
      <c r="P9" s="6">
        <v>259</v>
      </c>
      <c r="Q9" s="6">
        <v>261</v>
      </c>
      <c r="R9" s="6">
        <v>262</v>
      </c>
      <c r="S9" s="6">
        <v>263</v>
      </c>
      <c r="T9" s="6">
        <v>264</v>
      </c>
      <c r="U9" s="6">
        <v>266</v>
      </c>
      <c r="V9" s="22"/>
      <c r="W9" s="6"/>
      <c r="X9" s="6"/>
      <c r="Y9" s="6"/>
    </row>
    <row r="10" spans="1:45" s="3" customFormat="1" x14ac:dyDescent="0.2"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9"/>
      <c r="V10" s="6"/>
      <c r="W10" s="6"/>
      <c r="X10" s="6"/>
      <c r="Y10" s="6"/>
    </row>
    <row r="11" spans="1:45" s="3" customFormat="1" x14ac:dyDescent="0.2">
      <c r="B11" s="3" t="s">
        <v>98</v>
      </c>
      <c r="C11" s="6"/>
      <c r="D11" s="6"/>
      <c r="E11" s="6"/>
      <c r="F11" s="6"/>
      <c r="G11" s="6"/>
      <c r="H11" s="6"/>
      <c r="I11" s="6"/>
      <c r="J11" s="6"/>
      <c r="K11" s="9">
        <f t="shared" ref="K11:V11" si="8">+K26/K4</f>
        <v>5.9321070234113709</v>
      </c>
      <c r="L11" s="9">
        <f t="shared" si="8"/>
        <v>5.9512738853503189</v>
      </c>
      <c r="M11" s="9">
        <f t="shared" si="8"/>
        <v>6.6884735202492216</v>
      </c>
      <c r="N11" s="9">
        <f t="shared" si="8"/>
        <v>8.5066666666666659</v>
      </c>
      <c r="O11" s="9">
        <f t="shared" si="8"/>
        <v>7.5857971014492751</v>
      </c>
      <c r="P11" s="9">
        <f t="shared" si="8"/>
        <v>8.2840455840455842</v>
      </c>
      <c r="Q11" s="9">
        <f t="shared" si="8"/>
        <v>8.1033519553072626</v>
      </c>
      <c r="R11" s="9">
        <f t="shared" si="8"/>
        <v>9.3791086350974933</v>
      </c>
      <c r="S11" s="9">
        <f t="shared" si="8"/>
        <v>7.6670329670329673</v>
      </c>
      <c r="T11" s="9">
        <f t="shared" si="8"/>
        <v>7.8964383561643832</v>
      </c>
      <c r="U11" s="9">
        <f t="shared" si="8"/>
        <v>7.4700808625336927</v>
      </c>
      <c r="V11" s="9">
        <f t="shared" si="8"/>
        <v>8.6002673796791438</v>
      </c>
      <c r="W11" s="6"/>
      <c r="X11" s="6"/>
      <c r="Y11" s="6"/>
    </row>
    <row r="12" spans="1:45" s="3" customFormat="1" x14ac:dyDescent="0.2">
      <c r="B12" s="3" t="s">
        <v>99</v>
      </c>
      <c r="C12" s="6"/>
      <c r="D12" s="6"/>
      <c r="E12" s="6"/>
      <c r="F12" s="6"/>
      <c r="G12" s="6"/>
      <c r="H12" s="6"/>
      <c r="I12" s="6"/>
      <c r="J12" s="6"/>
      <c r="K12" s="9"/>
      <c r="L12" s="9">
        <f t="shared" ref="L12:R12" si="9">AVERAGE(K11:L11)</f>
        <v>5.9416904543808453</v>
      </c>
      <c r="M12" s="9">
        <f t="shared" si="9"/>
        <v>6.3198737027997698</v>
      </c>
      <c r="N12" s="9">
        <f t="shared" si="9"/>
        <v>7.5975700934579438</v>
      </c>
      <c r="O12" s="9">
        <f t="shared" si="9"/>
        <v>8.0462318840579705</v>
      </c>
      <c r="P12" s="9">
        <f t="shared" si="9"/>
        <v>7.9349213427474297</v>
      </c>
      <c r="Q12" s="9">
        <f t="shared" si="9"/>
        <v>8.1936987696764234</v>
      </c>
      <c r="R12" s="9">
        <f t="shared" si="9"/>
        <v>8.7412302952023779</v>
      </c>
      <c r="S12" s="9">
        <f>AVERAGE(R11:S11)</f>
        <v>8.5230708010652307</v>
      </c>
      <c r="T12" s="9">
        <f>AVERAGE(S11:T11)</f>
        <v>7.7817356615986757</v>
      </c>
      <c r="U12" s="9">
        <f>AVERAGE(T11:U11)</f>
        <v>7.6832596093490384</v>
      </c>
      <c r="V12" s="9">
        <f>AVERAGE(U11:V11)</f>
        <v>8.0351741211064187</v>
      </c>
      <c r="W12" s="6"/>
      <c r="X12" s="6"/>
      <c r="Y12" s="6"/>
    </row>
    <row r="13" spans="1:45" s="13" customFormat="1" x14ac:dyDescent="0.2">
      <c r="B13" s="13" t="s">
        <v>100</v>
      </c>
      <c r="C13" s="14"/>
      <c r="D13" s="14"/>
      <c r="E13" s="14"/>
      <c r="F13" s="14"/>
      <c r="G13" s="14"/>
      <c r="H13" s="14"/>
      <c r="I13" s="14"/>
      <c r="J13" s="14"/>
      <c r="K13" s="15"/>
      <c r="L13" s="15"/>
      <c r="M13" s="15"/>
      <c r="N13" s="15"/>
      <c r="O13" s="16"/>
      <c r="P13" s="16">
        <f t="shared" ref="P13:R13" si="10">P12/L12-1</f>
        <v>0.33546528612862403</v>
      </c>
      <c r="Q13" s="16">
        <f t="shared" si="10"/>
        <v>0.29649723317200616</v>
      </c>
      <c r="R13" s="16">
        <f t="shared" si="10"/>
        <v>0.15052973354325583</v>
      </c>
      <c r="S13" s="16">
        <f>S12/O12-1</f>
        <v>5.9262388143700218E-2</v>
      </c>
      <c r="T13" s="16">
        <f>T12/P12-1</f>
        <v>-1.9305255154011935E-2</v>
      </c>
      <c r="U13" s="16">
        <f>U12/Q12-1</f>
        <v>-6.2296549418736191E-2</v>
      </c>
      <c r="V13" s="16">
        <f>V12/R12-1</f>
        <v>-8.0773089170694701E-2</v>
      </c>
      <c r="W13" s="14"/>
      <c r="X13" s="14"/>
      <c r="Y13" s="14"/>
    </row>
    <row r="14" spans="1:45" s="3" customFormat="1" x14ac:dyDescent="0.2">
      <c r="B14" s="3" t="s">
        <v>84</v>
      </c>
      <c r="C14" s="6"/>
      <c r="D14" s="6"/>
      <c r="E14" s="6"/>
      <c r="F14" s="6"/>
      <c r="G14" s="6"/>
      <c r="H14" s="6"/>
      <c r="I14" s="6"/>
      <c r="J14" s="6"/>
      <c r="K14" s="9">
        <f t="shared" ref="K14:V14" si="11">+K25/K4</f>
        <v>5.8327759197324411</v>
      </c>
      <c r="L14" s="9">
        <f t="shared" si="11"/>
        <v>5.834713375796178</v>
      </c>
      <c r="M14" s="9">
        <f t="shared" si="11"/>
        <v>6.6109034267912774</v>
      </c>
      <c r="N14" s="9">
        <f t="shared" si="11"/>
        <v>8.2384848484848483</v>
      </c>
      <c r="O14" s="9">
        <f t="shared" si="11"/>
        <v>7.373623188405797</v>
      </c>
      <c r="P14" s="9">
        <f t="shared" si="11"/>
        <v>8.1424501424501425</v>
      </c>
      <c r="Q14" s="9">
        <f t="shared" si="11"/>
        <v>7.8983240223463689</v>
      </c>
      <c r="R14" s="9">
        <f t="shared" si="11"/>
        <v>9.0916434540389979</v>
      </c>
      <c r="S14" s="9">
        <f t="shared" si="11"/>
        <v>7.4170329670329673</v>
      </c>
      <c r="T14" s="9">
        <f t="shared" si="11"/>
        <v>7.7128767123287671</v>
      </c>
      <c r="U14" s="9">
        <f t="shared" si="11"/>
        <v>7.3415094339622637</v>
      </c>
      <c r="V14" s="9">
        <f t="shared" si="11"/>
        <v>8.3566844919786103</v>
      </c>
      <c r="W14" s="6"/>
      <c r="X14" s="6"/>
      <c r="Y14" s="6"/>
    </row>
    <row r="15" spans="1:45" s="3" customFormat="1" x14ac:dyDescent="0.2">
      <c r="B15" s="3" t="s">
        <v>85</v>
      </c>
      <c r="C15" s="6"/>
      <c r="D15" s="6"/>
      <c r="E15" s="6"/>
      <c r="F15" s="6"/>
      <c r="G15" s="6"/>
      <c r="H15" s="6"/>
      <c r="I15" s="6"/>
      <c r="J15" s="6"/>
      <c r="K15" s="9">
        <f t="shared" ref="K15:V15" si="12">+K25/K3</f>
        <v>7.3898305084745761</v>
      </c>
      <c r="L15" s="9">
        <f t="shared" si="12"/>
        <v>7.4174089068825912</v>
      </c>
      <c r="M15" s="9">
        <f t="shared" si="12"/>
        <v>8.3547244094488189</v>
      </c>
      <c r="N15" s="9">
        <f t="shared" si="12"/>
        <v>10.456538461538461</v>
      </c>
      <c r="O15" s="9">
        <f t="shared" si="12"/>
        <v>9.3525735294117656</v>
      </c>
      <c r="P15" s="9">
        <f t="shared" si="12"/>
        <v>10.355072463768115</v>
      </c>
      <c r="Q15" s="9">
        <f t="shared" si="12"/>
        <v>10.062633451957295</v>
      </c>
      <c r="R15" s="9">
        <f t="shared" si="12"/>
        <v>11.574113475177304</v>
      </c>
      <c r="S15" s="9">
        <f t="shared" si="12"/>
        <v>9.4069686411149824</v>
      </c>
      <c r="T15" s="9">
        <f t="shared" si="12"/>
        <v>9.7750000000000004</v>
      </c>
      <c r="U15" s="9">
        <f t="shared" si="12"/>
        <v>9.2959044368600683</v>
      </c>
      <c r="V15" s="9">
        <f t="shared" si="12"/>
        <v>10.558783783783785</v>
      </c>
      <c r="W15" s="6"/>
      <c r="X15" s="6"/>
      <c r="Y15" s="6"/>
    </row>
    <row r="16" spans="1:45" s="3" customFormat="1" x14ac:dyDescent="0.2">
      <c r="B16" s="3" t="s">
        <v>99</v>
      </c>
      <c r="C16" s="6"/>
      <c r="D16" s="6"/>
      <c r="E16" s="6"/>
      <c r="F16" s="6"/>
      <c r="G16" s="6"/>
      <c r="H16" s="6"/>
      <c r="I16" s="6"/>
      <c r="J16" s="6"/>
      <c r="K16" s="9"/>
      <c r="L16" s="9">
        <f t="shared" ref="L16:R16" si="13">AVERAGE(K15:L15)</f>
        <v>7.4036197076785832</v>
      </c>
      <c r="M16" s="9">
        <f t="shared" si="13"/>
        <v>7.8860666581657046</v>
      </c>
      <c r="N16" s="9">
        <f t="shared" si="13"/>
        <v>9.405631435493639</v>
      </c>
      <c r="O16" s="9">
        <f t="shared" si="13"/>
        <v>9.9045559954751141</v>
      </c>
      <c r="P16" s="9">
        <f t="shared" si="13"/>
        <v>9.8538229965899404</v>
      </c>
      <c r="Q16" s="9">
        <f t="shared" si="13"/>
        <v>10.208852957862705</v>
      </c>
      <c r="R16" s="9">
        <f t="shared" si="13"/>
        <v>10.818373463567299</v>
      </c>
      <c r="S16" s="9">
        <f>AVERAGE(R15:S15)</f>
        <v>10.490541058146142</v>
      </c>
      <c r="T16" s="9">
        <f t="shared" ref="T16:U16" si="14">AVERAGE(S15:T15)</f>
        <v>9.5909843205574923</v>
      </c>
      <c r="U16" s="9">
        <f t="shared" si="14"/>
        <v>9.5354522184300343</v>
      </c>
      <c r="V16" s="9">
        <f>AVERAGE(U15:V15)</f>
        <v>9.9273441103219255</v>
      </c>
      <c r="W16" s="6"/>
      <c r="X16" s="6"/>
      <c r="Y16" s="6"/>
    </row>
    <row r="17" spans="2:45" s="13" customFormat="1" x14ac:dyDescent="0.2">
      <c r="B17" s="13" t="s">
        <v>100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6">
        <f t="shared" ref="P17:R17" si="15">P16/L16-1</f>
        <v>0.33094667009573109</v>
      </c>
      <c r="Q17" s="16">
        <f t="shared" si="15"/>
        <v>0.29454307202588104</v>
      </c>
      <c r="R17" s="16">
        <f t="shared" si="15"/>
        <v>0.15020172093310546</v>
      </c>
      <c r="S17" s="16">
        <f>S16/O16-1</f>
        <v>5.9163183381338413E-2</v>
      </c>
      <c r="T17" s="16">
        <f>T16/P16-1</f>
        <v>-2.6673776880648981E-2</v>
      </c>
      <c r="U17" s="16">
        <f>U16/Q16-1</f>
        <v>-6.5962429100717701E-2</v>
      </c>
      <c r="V17" s="16">
        <f>V16/R16-1</f>
        <v>-8.2362598799723963E-2</v>
      </c>
      <c r="W17" s="14"/>
      <c r="X17" s="14"/>
      <c r="Y17" s="14"/>
    </row>
    <row r="18" spans="2:45" s="3" customFormat="1" x14ac:dyDescent="0.2"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9"/>
      <c r="T18" s="6"/>
      <c r="U18" s="6"/>
      <c r="V18" s="6"/>
      <c r="W18" s="6"/>
      <c r="X18" s="6"/>
      <c r="Y18" s="6"/>
    </row>
    <row r="19" spans="2:45" s="3" customFormat="1" x14ac:dyDescent="0.2">
      <c r="B19" s="3" t="s">
        <v>121</v>
      </c>
      <c r="C19" s="6"/>
      <c r="D19" s="6"/>
      <c r="E19" s="6"/>
      <c r="F19" s="6"/>
      <c r="G19" s="6"/>
      <c r="H19" s="6"/>
      <c r="I19" s="6"/>
      <c r="J19" s="6"/>
      <c r="K19" s="6">
        <v>1654</v>
      </c>
      <c r="L19" s="6">
        <v>1539</v>
      </c>
      <c r="M19" s="6">
        <v>1980</v>
      </c>
      <c r="N19" s="6">
        <v>2512</v>
      </c>
      <c r="O19" s="6">
        <v>2434</v>
      </c>
      <c r="P19" s="6">
        <v>2857</v>
      </c>
      <c r="Q19" s="6">
        <v>2963</v>
      </c>
      <c r="R19" s="6">
        <v>3220</v>
      </c>
      <c r="S19" s="6">
        <v>2949</v>
      </c>
      <c r="T19" s="6">
        <v>3169</v>
      </c>
      <c r="U19" s="6">
        <v>3047</v>
      </c>
      <c r="V19" s="21"/>
      <c r="W19" s="6"/>
      <c r="X19" s="6"/>
      <c r="Y19" s="6"/>
    </row>
    <row r="20" spans="2:45" s="3" customFormat="1" x14ac:dyDescent="0.2">
      <c r="B20" s="3" t="s">
        <v>107</v>
      </c>
      <c r="C20" s="6"/>
      <c r="D20" s="6"/>
      <c r="E20" s="6"/>
      <c r="F20" s="6"/>
      <c r="G20" s="6"/>
      <c r="H20" s="6"/>
      <c r="I20" s="6"/>
      <c r="J20" s="6"/>
      <c r="K20" s="6">
        <v>3236</v>
      </c>
      <c r="L20" s="6">
        <v>3312</v>
      </c>
      <c r="M20" s="6">
        <v>4202</v>
      </c>
      <c r="N20" s="6">
        <v>4703</v>
      </c>
      <c r="O20" s="6">
        <v>4735</v>
      </c>
      <c r="P20" s="6">
        <v>5152</v>
      </c>
      <c r="Q20" s="6">
        <v>5398</v>
      </c>
      <c r="R20" s="6">
        <v>6183</v>
      </c>
      <c r="S20" s="6">
        <v>5661</v>
      </c>
      <c r="T20" s="6">
        <v>5835</v>
      </c>
      <c r="U20" s="6">
        <v>5717</v>
      </c>
      <c r="V20" s="21"/>
      <c r="W20" s="6"/>
      <c r="X20" s="6"/>
      <c r="Y20" s="6"/>
    </row>
    <row r="21" spans="2:45" s="3" customFormat="1" x14ac:dyDescent="0.2">
      <c r="B21" s="3" t="s">
        <v>104</v>
      </c>
      <c r="C21" s="6"/>
      <c r="D21" s="6"/>
      <c r="E21" s="6"/>
      <c r="F21" s="6"/>
      <c r="G21" s="6"/>
      <c r="H21" s="6"/>
      <c r="I21" s="6"/>
      <c r="J21" s="6"/>
      <c r="K21" s="6">
        <v>4171</v>
      </c>
      <c r="L21" s="6">
        <v>4411</v>
      </c>
      <c r="M21" s="6">
        <v>5051</v>
      </c>
      <c r="N21" s="6">
        <v>6822</v>
      </c>
      <c r="O21" s="6">
        <v>6373</v>
      </c>
      <c r="P21" s="6">
        <v>7205</v>
      </c>
      <c r="Q21" s="6">
        <v>6821</v>
      </c>
      <c r="R21" s="6">
        <v>8174</v>
      </c>
      <c r="S21" s="6">
        <v>6364</v>
      </c>
      <c r="T21" s="6">
        <v>6360</v>
      </c>
      <c r="U21" s="6">
        <v>5707</v>
      </c>
      <c r="V21" s="21"/>
      <c r="W21" s="6"/>
      <c r="X21" s="6"/>
      <c r="Y21" s="6"/>
    </row>
    <row r="22" spans="2:45" s="3" customFormat="1" x14ac:dyDescent="0.2">
      <c r="B22" s="3" t="s">
        <v>103</v>
      </c>
      <c r="C22" s="6"/>
      <c r="D22" s="6"/>
      <c r="E22" s="6"/>
      <c r="F22" s="6"/>
      <c r="G22" s="6"/>
      <c r="H22" s="6"/>
      <c r="I22" s="6"/>
      <c r="J22" s="6"/>
      <c r="K22" s="6">
        <v>8379</v>
      </c>
      <c r="L22" s="6">
        <v>9059</v>
      </c>
      <c r="M22" s="6">
        <v>9988</v>
      </c>
      <c r="N22" s="6">
        <v>13150</v>
      </c>
      <c r="O22" s="6">
        <v>11897</v>
      </c>
      <c r="P22" s="6">
        <v>13366</v>
      </c>
      <c r="Q22" s="6">
        <v>13094</v>
      </c>
      <c r="R22" s="6">
        <v>15062</v>
      </c>
      <c r="S22" s="6">
        <v>12024</v>
      </c>
      <c r="T22" s="6">
        <v>12788</v>
      </c>
      <c r="U22" s="6">
        <v>12766</v>
      </c>
      <c r="V22" s="21"/>
      <c r="W22" s="6"/>
      <c r="X22" s="6"/>
      <c r="Y22" s="6"/>
    </row>
    <row r="23" spans="2:45" s="3" customFormat="1" x14ac:dyDescent="0.2">
      <c r="B23" s="3" t="s">
        <v>55</v>
      </c>
      <c r="C23" s="6">
        <v>171</v>
      </c>
      <c r="D23" s="6">
        <v>193</v>
      </c>
      <c r="E23" s="6">
        <v>188</v>
      </c>
      <c r="F23" s="6">
        <v>274</v>
      </c>
      <c r="G23" s="6">
        <v>165</v>
      </c>
      <c r="H23" s="6">
        <v>262</v>
      </c>
      <c r="I23" s="6">
        <v>269</v>
      </c>
      <c r="J23" s="6">
        <v>346</v>
      </c>
      <c r="K23" s="6">
        <v>297</v>
      </c>
      <c r="L23" s="6"/>
      <c r="M23" s="6"/>
      <c r="N23" s="6">
        <v>168</v>
      </c>
      <c r="O23" s="6">
        <v>198</v>
      </c>
      <c r="P23" s="6">
        <v>192</v>
      </c>
      <c r="Q23" s="6">
        <v>176</v>
      </c>
      <c r="R23" s="6">
        <v>155</v>
      </c>
      <c r="S23" s="6">
        <v>215</v>
      </c>
      <c r="T23" s="6">
        <v>218</v>
      </c>
      <c r="U23" s="6">
        <v>192</v>
      </c>
      <c r="V23" s="6">
        <v>184</v>
      </c>
      <c r="W23" s="6">
        <v>205</v>
      </c>
      <c r="X23" s="6"/>
      <c r="Y23" s="6"/>
      <c r="AG23" s="3">
        <v>825</v>
      </c>
      <c r="AH23" s="3">
        <v>541</v>
      </c>
      <c r="AI23" s="3">
        <v>657</v>
      </c>
      <c r="AJ23" s="3">
        <v>721</v>
      </c>
    </row>
    <row r="24" spans="2:45" s="3" customFormat="1" x14ac:dyDescent="0.2">
      <c r="B24" s="3" t="s">
        <v>83</v>
      </c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>
        <v>717</v>
      </c>
      <c r="O24" s="6">
        <v>534</v>
      </c>
      <c r="P24" s="6">
        <v>305</v>
      </c>
      <c r="Q24" s="6">
        <v>558</v>
      </c>
      <c r="R24" s="6">
        <v>877</v>
      </c>
      <c r="S24" s="6">
        <v>695</v>
      </c>
      <c r="T24" s="6">
        <v>452</v>
      </c>
      <c r="U24" s="6">
        <v>285</v>
      </c>
      <c r="V24" s="6">
        <v>727</v>
      </c>
      <c r="W24" s="6">
        <v>339</v>
      </c>
      <c r="X24" s="6"/>
      <c r="Y24" s="6"/>
      <c r="AH24" s="3">
        <v>501</v>
      </c>
      <c r="AI24" s="3">
        <v>1139</v>
      </c>
      <c r="AJ24" s="3">
        <v>2274</v>
      </c>
    </row>
    <row r="25" spans="2:45" s="3" customFormat="1" x14ac:dyDescent="0.2">
      <c r="B25" s="3" t="s">
        <v>82</v>
      </c>
      <c r="C25" s="6">
        <v>11795</v>
      </c>
      <c r="D25" s="6">
        <v>13038</v>
      </c>
      <c r="E25" s="6">
        <v>13539</v>
      </c>
      <c r="F25" s="6">
        <v>16640</v>
      </c>
      <c r="G25" s="6">
        <v>14912</v>
      </c>
      <c r="H25" s="6">
        <v>16624</v>
      </c>
      <c r="I25" s="6">
        <v>17383</v>
      </c>
      <c r="J25" s="6">
        <v>20736</v>
      </c>
      <c r="K25" s="6">
        <f>SUM(K19:K22)</f>
        <v>17440</v>
      </c>
      <c r="L25" s="6">
        <f t="shared" ref="L25:T25" si="16">SUM(L19:L22)</f>
        <v>18321</v>
      </c>
      <c r="M25" s="6">
        <f t="shared" si="16"/>
        <v>21221</v>
      </c>
      <c r="N25" s="6">
        <f t="shared" si="16"/>
        <v>27187</v>
      </c>
      <c r="O25" s="6">
        <f t="shared" si="16"/>
        <v>25439</v>
      </c>
      <c r="P25" s="6">
        <f t="shared" si="16"/>
        <v>28580</v>
      </c>
      <c r="Q25" s="6">
        <f t="shared" si="16"/>
        <v>28276</v>
      </c>
      <c r="R25" s="6">
        <f t="shared" si="16"/>
        <v>32639</v>
      </c>
      <c r="S25" s="6">
        <f t="shared" si="16"/>
        <v>26998</v>
      </c>
      <c r="T25" s="6">
        <f t="shared" si="16"/>
        <v>28152</v>
      </c>
      <c r="U25" s="6">
        <f>SUM(U19:U22)</f>
        <v>27237</v>
      </c>
      <c r="V25" s="6">
        <v>31254</v>
      </c>
      <c r="W25" s="6">
        <v>28101</v>
      </c>
      <c r="X25" s="6">
        <f>+T25*1.1</f>
        <v>30967.200000000001</v>
      </c>
      <c r="Y25" s="6">
        <f t="shared" ref="Y25:Z25" si="17">+U25*0.98</f>
        <v>26692.26</v>
      </c>
      <c r="Z25" s="6">
        <f t="shared" si="17"/>
        <v>30628.92</v>
      </c>
      <c r="AB25" s="3">
        <v>7872</v>
      </c>
      <c r="AC25" s="3">
        <v>12466</v>
      </c>
      <c r="AD25" s="3">
        <v>17928</v>
      </c>
      <c r="AE25" s="3">
        <v>27638</v>
      </c>
      <c r="AF25" s="3">
        <v>40653</v>
      </c>
      <c r="AG25" s="3">
        <v>55013</v>
      </c>
      <c r="AH25" s="3">
        <v>69655</v>
      </c>
      <c r="AI25" s="3">
        <v>84169</v>
      </c>
      <c r="AJ25" s="3">
        <v>114934</v>
      </c>
    </row>
    <row r="26" spans="2:45" s="7" customFormat="1" x14ac:dyDescent="0.2">
      <c r="B26" s="7" t="s">
        <v>24</v>
      </c>
      <c r="C26" s="8">
        <f t="shared" ref="C26:I26" si="18">SUM(C23:C25)</f>
        <v>11966</v>
      </c>
      <c r="D26" s="8">
        <f t="shared" si="18"/>
        <v>13231</v>
      </c>
      <c r="E26" s="8">
        <f t="shared" si="18"/>
        <v>13727</v>
      </c>
      <c r="F26" s="8">
        <f t="shared" si="18"/>
        <v>16914</v>
      </c>
      <c r="G26" s="8">
        <f t="shared" ref="G26" si="19">SUM(G23:G25)</f>
        <v>15077</v>
      </c>
      <c r="H26" s="8">
        <f t="shared" si="18"/>
        <v>16886</v>
      </c>
      <c r="I26" s="8">
        <f t="shared" si="18"/>
        <v>17652</v>
      </c>
      <c r="J26" s="8">
        <f>SUM(J23:J25)</f>
        <v>21082</v>
      </c>
      <c r="K26" s="8">
        <f>SUM(K23:K25)</f>
        <v>17737</v>
      </c>
      <c r="L26" s="8">
        <v>18687</v>
      </c>
      <c r="M26" s="8">
        <v>21470</v>
      </c>
      <c r="N26" s="8">
        <v>28072</v>
      </c>
      <c r="O26" s="8">
        <f>SUM(O23:O25)</f>
        <v>26171</v>
      </c>
      <c r="P26" s="8">
        <v>29077</v>
      </c>
      <c r="Q26" s="8">
        <v>29010</v>
      </c>
      <c r="R26" s="8">
        <v>33671</v>
      </c>
      <c r="S26" s="8">
        <f>SUM(S23:S25)</f>
        <v>27908</v>
      </c>
      <c r="T26" s="8">
        <f>SUM(T23:T25)</f>
        <v>28822</v>
      </c>
      <c r="U26" s="8">
        <f>SUM(U23:U25)</f>
        <v>27714</v>
      </c>
      <c r="V26" s="8">
        <v>32165</v>
      </c>
      <c r="W26" s="8">
        <f>SUM(W23:W25)</f>
        <v>28645</v>
      </c>
      <c r="X26" s="8">
        <f>SUM(X23:X25)</f>
        <v>30967.200000000001</v>
      </c>
      <c r="Y26" s="8">
        <f t="shared" ref="Y26:Z26" si="20">SUM(Y23:Y25)</f>
        <v>26692.26</v>
      </c>
      <c r="Z26" s="8">
        <f t="shared" si="20"/>
        <v>30628.92</v>
      </c>
      <c r="AB26" s="7">
        <f t="shared" ref="AB26:AG26" si="21">SUM(AB23:AB25)</f>
        <v>7872</v>
      </c>
      <c r="AC26" s="7">
        <f t="shared" si="21"/>
        <v>12466</v>
      </c>
      <c r="AD26" s="7">
        <f t="shared" si="21"/>
        <v>17928</v>
      </c>
      <c r="AE26" s="7">
        <f t="shared" si="21"/>
        <v>27638</v>
      </c>
      <c r="AF26" s="7">
        <f t="shared" si="21"/>
        <v>40653</v>
      </c>
      <c r="AG26" s="7">
        <f t="shared" si="21"/>
        <v>55838</v>
      </c>
      <c r="AH26" s="7">
        <f>SUM(AH23:AH25)</f>
        <v>70697</v>
      </c>
      <c r="AI26" s="7">
        <f t="shared" ref="AI26:AJ26" si="22">SUM(AI23:AI25)</f>
        <v>85965</v>
      </c>
      <c r="AJ26" s="7">
        <f t="shared" si="22"/>
        <v>117929</v>
      </c>
      <c r="AK26" s="7">
        <f>SUM(S26:V26)</f>
        <v>116609</v>
      </c>
      <c r="AL26" s="7">
        <f>+AK26*0.95</f>
        <v>110778.54999999999</v>
      </c>
      <c r="AM26" s="7">
        <f>+AL26*0.95</f>
        <v>105239.62249999998</v>
      </c>
      <c r="AN26" s="7">
        <f>+AM26*1.1</f>
        <v>115763.58474999999</v>
      </c>
      <c r="AO26" s="7">
        <f>+AN26*1.05</f>
        <v>121551.7639875</v>
      </c>
      <c r="AP26" s="7">
        <f t="shared" ref="AP26:AS26" si="23">+AO26*1.03</f>
        <v>125198.316907125</v>
      </c>
      <c r="AQ26" s="7">
        <f t="shared" si="23"/>
        <v>128954.26641433875</v>
      </c>
      <c r="AR26" s="7">
        <f t="shared" si="23"/>
        <v>132822.89440676893</v>
      </c>
      <c r="AS26" s="7">
        <f t="shared" si="23"/>
        <v>136807.58123897199</v>
      </c>
    </row>
    <row r="27" spans="2:45" s="3" customFormat="1" x14ac:dyDescent="0.2">
      <c r="B27" s="3" t="s">
        <v>36</v>
      </c>
      <c r="C27" s="6">
        <v>1927</v>
      </c>
      <c r="D27" s="6">
        <v>2214</v>
      </c>
      <c r="E27" s="6">
        <v>2418</v>
      </c>
      <c r="F27" s="6">
        <v>2796</v>
      </c>
      <c r="G27" s="6">
        <v>2816</v>
      </c>
      <c r="H27" s="6">
        <v>3307</v>
      </c>
      <c r="I27" s="6">
        <v>3155</v>
      </c>
      <c r="J27" s="6">
        <v>3492</v>
      </c>
      <c r="K27" s="6">
        <v>3459</v>
      </c>
      <c r="L27" s="6">
        <v>3829</v>
      </c>
      <c r="M27" s="6">
        <v>4194</v>
      </c>
      <c r="N27" s="6">
        <v>5210</v>
      </c>
      <c r="O27" s="6">
        <v>5131</v>
      </c>
      <c r="P27" s="6">
        <v>5399</v>
      </c>
      <c r="Q27" s="6">
        <v>5771</v>
      </c>
      <c r="R27" s="6">
        <v>6348</v>
      </c>
      <c r="S27" s="6">
        <v>6005</v>
      </c>
      <c r="T27" s="6">
        <v>5192</v>
      </c>
      <c r="U27" s="6">
        <v>5716</v>
      </c>
      <c r="V27" s="6">
        <v>8336</v>
      </c>
      <c r="W27" s="6">
        <f>+W26-W28</f>
        <v>6015.4500000000007</v>
      </c>
      <c r="X27" s="6">
        <f t="shared" ref="X27:Z27" si="24">+X26-X28</f>
        <v>6503.1119999999974</v>
      </c>
      <c r="Y27" s="6">
        <f t="shared" si="24"/>
        <v>5605.3745999999992</v>
      </c>
      <c r="Z27" s="6">
        <f t="shared" si="24"/>
        <v>6432.0731999999989</v>
      </c>
      <c r="AG27" s="3">
        <v>9355</v>
      </c>
      <c r="AH27" s="3">
        <v>12770</v>
      </c>
      <c r="AI27" s="3">
        <v>16692</v>
      </c>
      <c r="AJ27" s="3">
        <v>22649</v>
      </c>
      <c r="AK27" s="3">
        <f>+AK26-AK28</f>
        <v>22155.709999999992</v>
      </c>
      <c r="AL27" s="3">
        <f t="shared" ref="AL27:AS27" si="25">+AL26-AL28</f>
        <v>21047.924499999994</v>
      </c>
      <c r="AM27" s="3">
        <f t="shared" si="25"/>
        <v>19995.52827499999</v>
      </c>
      <c r="AN27" s="3">
        <f t="shared" si="25"/>
        <v>21995.081102499986</v>
      </c>
      <c r="AO27" s="3">
        <f t="shared" si="25"/>
        <v>23094.835157624999</v>
      </c>
      <c r="AP27" s="3">
        <f t="shared" si="25"/>
        <v>23787.680212353749</v>
      </c>
      <c r="AQ27" s="3">
        <f t="shared" si="25"/>
        <v>24501.310618724354</v>
      </c>
      <c r="AR27" s="3">
        <f t="shared" si="25"/>
        <v>25236.349937286082</v>
      </c>
      <c r="AS27" s="3">
        <f t="shared" si="25"/>
        <v>25993.440435404671</v>
      </c>
    </row>
    <row r="28" spans="2:45" s="3" customFormat="1" x14ac:dyDescent="0.2">
      <c r="B28" s="3" t="s">
        <v>37</v>
      </c>
      <c r="C28" s="6">
        <f t="shared" ref="C28:D28" si="26">+C26-C27</f>
        <v>10039</v>
      </c>
      <c r="D28" s="6">
        <f t="shared" si="26"/>
        <v>11017</v>
      </c>
      <c r="E28" s="6">
        <f t="shared" ref="E28:G28" si="27">+E26-E27</f>
        <v>11309</v>
      </c>
      <c r="F28" s="6">
        <f t="shared" si="27"/>
        <v>14118</v>
      </c>
      <c r="G28" s="6">
        <f t="shared" si="27"/>
        <v>12261</v>
      </c>
      <c r="H28" s="6">
        <f t="shared" ref="H28" si="28">+H26-H27</f>
        <v>13579</v>
      </c>
      <c r="I28" s="6">
        <f t="shared" ref="I28:J28" si="29">+I26-I27</f>
        <v>14497</v>
      </c>
      <c r="J28" s="6">
        <f t="shared" si="29"/>
        <v>17590</v>
      </c>
      <c r="K28" s="6">
        <f t="shared" ref="K28:N28" si="30">+K26-K27</f>
        <v>14278</v>
      </c>
      <c r="L28" s="6">
        <f t="shared" si="30"/>
        <v>14858</v>
      </c>
      <c r="M28" s="6">
        <f t="shared" si="30"/>
        <v>17276</v>
      </c>
      <c r="N28" s="6">
        <f t="shared" si="30"/>
        <v>22862</v>
      </c>
      <c r="O28" s="6">
        <f>+O26-O27</f>
        <v>21040</v>
      </c>
      <c r="P28" s="6">
        <f t="shared" ref="P28:R28" si="31">+P26-P27</f>
        <v>23678</v>
      </c>
      <c r="Q28" s="6">
        <f t="shared" si="31"/>
        <v>23239</v>
      </c>
      <c r="R28" s="6">
        <f t="shared" si="31"/>
        <v>27323</v>
      </c>
      <c r="S28" s="6">
        <f>+S26-S27</f>
        <v>21903</v>
      </c>
      <c r="T28" s="6">
        <f>+T26-T27</f>
        <v>23630</v>
      </c>
      <c r="U28" s="6">
        <f>+U26-U27</f>
        <v>21998</v>
      </c>
      <c r="V28" s="6">
        <f>+V26-V27</f>
        <v>23829</v>
      </c>
      <c r="W28" s="6">
        <f>+W26*0.79</f>
        <v>22629.55</v>
      </c>
      <c r="X28" s="6">
        <f t="shared" ref="X28:Z28" si="32">+X26*0.79</f>
        <v>24464.088000000003</v>
      </c>
      <c r="Y28" s="6">
        <f t="shared" si="32"/>
        <v>21086.885399999999</v>
      </c>
      <c r="Z28" s="6">
        <f t="shared" si="32"/>
        <v>24196.846799999999</v>
      </c>
      <c r="AG28" s="3">
        <f>+AG26-AG27</f>
        <v>46483</v>
      </c>
      <c r="AH28" s="3">
        <f>+AH26-AH27</f>
        <v>57927</v>
      </c>
      <c r="AI28" s="3">
        <f>+AI26-AI27</f>
        <v>69273</v>
      </c>
      <c r="AJ28" s="3">
        <f t="shared" ref="AJ28" si="33">+AJ26-AJ27</f>
        <v>95280</v>
      </c>
      <c r="AK28" s="3">
        <f>+AK26*0.81</f>
        <v>94453.290000000008</v>
      </c>
      <c r="AL28" s="3">
        <f t="shared" ref="AL28:AS28" si="34">+AL26*0.81</f>
        <v>89730.625499999995</v>
      </c>
      <c r="AM28" s="3">
        <f t="shared" si="34"/>
        <v>85244.094224999993</v>
      </c>
      <c r="AN28" s="3">
        <f t="shared" si="34"/>
        <v>93768.503647500009</v>
      </c>
      <c r="AO28" s="3">
        <f t="shared" si="34"/>
        <v>98456.928829875003</v>
      </c>
      <c r="AP28" s="3">
        <f t="shared" si="34"/>
        <v>101410.63669477125</v>
      </c>
      <c r="AQ28" s="3">
        <f t="shared" si="34"/>
        <v>104452.9557956144</v>
      </c>
      <c r="AR28" s="3">
        <f t="shared" si="34"/>
        <v>107586.54446948285</v>
      </c>
      <c r="AS28" s="3">
        <f t="shared" si="34"/>
        <v>110814.14080356732</v>
      </c>
    </row>
    <row r="29" spans="2:45" s="3" customFormat="1" x14ac:dyDescent="0.2">
      <c r="B29" s="3" t="s">
        <v>38</v>
      </c>
      <c r="C29" s="6">
        <v>2238</v>
      </c>
      <c r="D29" s="6">
        <v>2523</v>
      </c>
      <c r="E29" s="6">
        <v>2657</v>
      </c>
      <c r="F29" s="6">
        <v>2855</v>
      </c>
      <c r="G29" s="6">
        <v>2860</v>
      </c>
      <c r="H29" s="6">
        <v>3315</v>
      </c>
      <c r="I29" s="6">
        <v>3548</v>
      </c>
      <c r="J29" s="6">
        <v>3877</v>
      </c>
      <c r="K29" s="6">
        <v>4015</v>
      </c>
      <c r="L29" s="6">
        <v>4462</v>
      </c>
      <c r="M29" s="6">
        <v>4763</v>
      </c>
      <c r="N29" s="6">
        <v>5208</v>
      </c>
      <c r="O29" s="6">
        <v>5197</v>
      </c>
      <c r="P29" s="6">
        <v>6096</v>
      </c>
      <c r="Q29" s="6">
        <v>6316</v>
      </c>
      <c r="R29" s="6">
        <v>7046</v>
      </c>
      <c r="S29" s="6">
        <v>7707</v>
      </c>
      <c r="T29" s="6">
        <v>8690</v>
      </c>
      <c r="U29" s="6">
        <v>9170</v>
      </c>
      <c r="V29" s="6">
        <v>9771</v>
      </c>
      <c r="W29" s="6">
        <f>+S29*0.9</f>
        <v>6936.3</v>
      </c>
      <c r="X29" s="6">
        <f t="shared" ref="X29:X31" si="35">+T29*0.9</f>
        <v>7821</v>
      </c>
      <c r="Y29" s="6">
        <f t="shared" ref="Y29:Y31" si="36">+U29*0.9</f>
        <v>8253</v>
      </c>
      <c r="Z29" s="6">
        <f t="shared" ref="Z29:Z31" si="37">+V29*0.9</f>
        <v>8793.9</v>
      </c>
      <c r="AG29" s="3">
        <v>10273</v>
      </c>
      <c r="AH29" s="3">
        <v>13600</v>
      </c>
      <c r="AI29" s="3">
        <v>18447</v>
      </c>
      <c r="AJ29" s="3">
        <v>24655</v>
      </c>
      <c r="AK29" s="3">
        <f t="shared" ref="AK29:AP29" si="38">+AJ29*0.9</f>
        <v>22189.5</v>
      </c>
      <c r="AL29" s="3">
        <f t="shared" si="38"/>
        <v>19970.55</v>
      </c>
      <c r="AM29" s="3">
        <f t="shared" si="38"/>
        <v>17973.494999999999</v>
      </c>
      <c r="AN29" s="3">
        <f t="shared" si="38"/>
        <v>16176.145499999999</v>
      </c>
      <c r="AO29" s="3">
        <f t="shared" si="38"/>
        <v>14558.530949999998</v>
      </c>
      <c r="AP29" s="3">
        <f t="shared" si="38"/>
        <v>13102.677854999998</v>
      </c>
      <c r="AQ29" s="3">
        <f t="shared" ref="AQ29:AS29" si="39">+AP29*0.9</f>
        <v>11792.410069499998</v>
      </c>
      <c r="AR29" s="3">
        <f t="shared" si="39"/>
        <v>10613.169062549998</v>
      </c>
      <c r="AS29" s="3">
        <f t="shared" si="39"/>
        <v>9551.8521562949991</v>
      </c>
    </row>
    <row r="30" spans="2:45" s="3" customFormat="1" x14ac:dyDescent="0.2">
      <c r="B30" s="3" t="s">
        <v>40</v>
      </c>
      <c r="C30" s="6">
        <v>1595</v>
      </c>
      <c r="D30" s="6">
        <v>1855</v>
      </c>
      <c r="E30" s="6">
        <v>1928</v>
      </c>
      <c r="F30" s="6">
        <v>2467</v>
      </c>
      <c r="G30" s="6">
        <v>2020</v>
      </c>
      <c r="H30" s="6">
        <v>2414</v>
      </c>
      <c r="I30" s="6">
        <v>2416</v>
      </c>
      <c r="J30" s="6">
        <v>3026</v>
      </c>
      <c r="K30" s="6">
        <v>2787</v>
      </c>
      <c r="L30" s="6">
        <v>2840</v>
      </c>
      <c r="M30" s="6">
        <v>2683</v>
      </c>
      <c r="N30" s="6">
        <v>3280</v>
      </c>
      <c r="O30" s="6">
        <v>2843</v>
      </c>
      <c r="P30" s="6">
        <v>3259</v>
      </c>
      <c r="Q30" s="6">
        <v>3554</v>
      </c>
      <c r="R30" s="6">
        <v>4387</v>
      </c>
      <c r="S30" s="6">
        <v>3312</v>
      </c>
      <c r="T30" s="6">
        <v>3595</v>
      </c>
      <c r="U30" s="6">
        <v>3780</v>
      </c>
      <c r="V30" s="6">
        <v>4574</v>
      </c>
      <c r="W30" s="6">
        <f t="shared" ref="W30:W31" si="40">+S30*0.9</f>
        <v>2980.8</v>
      </c>
      <c r="X30" s="6">
        <f t="shared" si="35"/>
        <v>3235.5</v>
      </c>
      <c r="Y30" s="6">
        <f t="shared" si="36"/>
        <v>3402</v>
      </c>
      <c r="Z30" s="6">
        <f t="shared" si="37"/>
        <v>4116.6000000000004</v>
      </c>
      <c r="AG30" s="3">
        <v>7846</v>
      </c>
      <c r="AH30" s="3">
        <v>9876</v>
      </c>
      <c r="AI30" s="3">
        <v>11591</v>
      </c>
      <c r="AJ30" s="3">
        <v>14043</v>
      </c>
      <c r="AK30" s="3">
        <f>+AJ30</f>
        <v>14043</v>
      </c>
      <c r="AL30" s="3">
        <f t="shared" ref="AL30:AS30" si="41">+AK30</f>
        <v>14043</v>
      </c>
      <c r="AM30" s="3">
        <f t="shared" si="41"/>
        <v>14043</v>
      </c>
      <c r="AN30" s="3">
        <f t="shared" si="41"/>
        <v>14043</v>
      </c>
      <c r="AO30" s="3">
        <f t="shared" si="41"/>
        <v>14043</v>
      </c>
      <c r="AP30" s="3">
        <f t="shared" si="41"/>
        <v>14043</v>
      </c>
      <c r="AQ30" s="3">
        <f t="shared" si="41"/>
        <v>14043</v>
      </c>
      <c r="AR30" s="3">
        <f t="shared" si="41"/>
        <v>14043</v>
      </c>
      <c r="AS30" s="3">
        <f t="shared" si="41"/>
        <v>14043</v>
      </c>
    </row>
    <row r="31" spans="2:45" s="3" customFormat="1" x14ac:dyDescent="0.2">
      <c r="B31" s="3" t="s">
        <v>39</v>
      </c>
      <c r="C31" s="6">
        <v>757</v>
      </c>
      <c r="D31" s="6">
        <v>776</v>
      </c>
      <c r="E31" s="6">
        <v>943</v>
      </c>
      <c r="F31" s="6">
        <v>976</v>
      </c>
      <c r="G31" s="6">
        <f>4064-3000</f>
        <v>1064</v>
      </c>
      <c r="H31" s="6">
        <f>3224-2000</f>
        <v>1224</v>
      </c>
      <c r="I31" s="6">
        <v>1348</v>
      </c>
      <c r="J31" s="6">
        <v>1829</v>
      </c>
      <c r="K31" s="6">
        <v>1583</v>
      </c>
      <c r="L31" s="6">
        <v>1593</v>
      </c>
      <c r="M31" s="6">
        <v>1790</v>
      </c>
      <c r="N31" s="6">
        <v>1599</v>
      </c>
      <c r="O31" s="6">
        <v>1622</v>
      </c>
      <c r="P31" s="6">
        <v>1956</v>
      </c>
      <c r="Q31" s="6">
        <v>2946</v>
      </c>
      <c r="R31" s="6">
        <v>3305</v>
      </c>
      <c r="S31" s="6">
        <v>2360</v>
      </c>
      <c r="T31" s="6">
        <v>2987</v>
      </c>
      <c r="U31" s="6">
        <v>3384</v>
      </c>
      <c r="V31" s="6">
        <v>3085</v>
      </c>
      <c r="W31" s="6">
        <f t="shared" si="40"/>
        <v>2124</v>
      </c>
      <c r="X31" s="6">
        <f t="shared" si="35"/>
        <v>2688.3</v>
      </c>
      <c r="Y31" s="6">
        <f t="shared" si="36"/>
        <v>3045.6</v>
      </c>
      <c r="Z31" s="6">
        <f t="shared" si="37"/>
        <v>2776.5</v>
      </c>
      <c r="AG31" s="3">
        <v>3451</v>
      </c>
      <c r="AH31" s="3">
        <f>10465-5000</f>
        <v>5465</v>
      </c>
      <c r="AI31" s="3">
        <v>6564</v>
      </c>
      <c r="AJ31" s="3">
        <v>9829</v>
      </c>
      <c r="AK31" s="3">
        <f t="shared" ref="AK31:AS31" si="42">+AJ31</f>
        <v>9829</v>
      </c>
      <c r="AL31" s="3">
        <f t="shared" si="42"/>
        <v>9829</v>
      </c>
      <c r="AM31" s="3">
        <f t="shared" si="42"/>
        <v>9829</v>
      </c>
      <c r="AN31" s="3">
        <f t="shared" si="42"/>
        <v>9829</v>
      </c>
      <c r="AO31" s="3">
        <f t="shared" si="42"/>
        <v>9829</v>
      </c>
      <c r="AP31" s="3">
        <f t="shared" si="42"/>
        <v>9829</v>
      </c>
      <c r="AQ31" s="3">
        <f t="shared" si="42"/>
        <v>9829</v>
      </c>
      <c r="AR31" s="3">
        <f t="shared" si="42"/>
        <v>9829</v>
      </c>
      <c r="AS31" s="3">
        <f t="shared" si="42"/>
        <v>9829</v>
      </c>
    </row>
    <row r="32" spans="2:45" s="3" customFormat="1" x14ac:dyDescent="0.2">
      <c r="B32" s="3" t="s">
        <v>41</v>
      </c>
      <c r="C32" s="6">
        <f t="shared" ref="C32:D32" si="43">+C31+C30+C29</f>
        <v>4590</v>
      </c>
      <c r="D32" s="6">
        <f t="shared" si="43"/>
        <v>5154</v>
      </c>
      <c r="E32" s="6">
        <f t="shared" ref="E32:G32" si="44">+E31+E30+E29</f>
        <v>5528</v>
      </c>
      <c r="F32" s="6">
        <f t="shared" si="44"/>
        <v>6298</v>
      </c>
      <c r="G32" s="6">
        <f t="shared" si="44"/>
        <v>5944</v>
      </c>
      <c r="H32" s="6">
        <f t="shared" ref="H32:I32" si="45">+H31+H30+H29</f>
        <v>6953</v>
      </c>
      <c r="I32" s="6">
        <f t="shared" si="45"/>
        <v>7312</v>
      </c>
      <c r="J32" s="6">
        <f t="shared" ref="J32:K32" si="46">+J31+J30+J29</f>
        <v>8732</v>
      </c>
      <c r="K32" s="6">
        <f t="shared" si="46"/>
        <v>8385</v>
      </c>
      <c r="L32" s="6">
        <f t="shared" ref="L32" si="47">+L31+L30+L29</f>
        <v>8895</v>
      </c>
      <c r="M32" s="6">
        <f t="shared" ref="M32" si="48">+M31+M30+M29</f>
        <v>9236</v>
      </c>
      <c r="N32" s="6">
        <f t="shared" ref="N32" si="49">+N31+N30+N29</f>
        <v>10087</v>
      </c>
      <c r="O32" s="6">
        <f t="shared" ref="O32:R32" si="50">+O31+O30+O29</f>
        <v>9662</v>
      </c>
      <c r="P32" s="6">
        <f t="shared" si="50"/>
        <v>11311</v>
      </c>
      <c r="Q32" s="6">
        <f t="shared" si="50"/>
        <v>12816</v>
      </c>
      <c r="R32" s="6">
        <f t="shared" si="50"/>
        <v>14738</v>
      </c>
      <c r="S32" s="6">
        <f>+S31+S30+S29</f>
        <v>13379</v>
      </c>
      <c r="T32" s="6">
        <f t="shared" ref="T32:V32" si="51">+T31+T30+T29</f>
        <v>15272</v>
      </c>
      <c r="U32" s="6">
        <f t="shared" si="51"/>
        <v>16334</v>
      </c>
      <c r="V32" s="6">
        <f t="shared" si="51"/>
        <v>17430</v>
      </c>
      <c r="W32" s="6">
        <f t="shared" ref="W32:Z32" si="52">+W31+W30+W29</f>
        <v>12041.1</v>
      </c>
      <c r="X32" s="6">
        <f t="shared" si="52"/>
        <v>13744.8</v>
      </c>
      <c r="Y32" s="6">
        <f t="shared" si="52"/>
        <v>14700.6</v>
      </c>
      <c r="Z32" s="6">
        <f t="shared" si="52"/>
        <v>15687</v>
      </c>
      <c r="AG32" s="3">
        <f>SUM(AG29:AG31)</f>
        <v>21570</v>
      </c>
      <c r="AH32" s="3">
        <f>SUM(AH29:AH31)</f>
        <v>28941</v>
      </c>
      <c r="AI32" s="3">
        <f>SUM(AI29:AI31)</f>
        <v>36602</v>
      </c>
      <c r="AJ32" s="3">
        <f t="shared" ref="AJ32" si="53">SUM(AJ29:AJ31)</f>
        <v>48527</v>
      </c>
      <c r="AK32" s="3">
        <f t="shared" ref="AK32" si="54">SUM(AK29:AK31)</f>
        <v>46061.5</v>
      </c>
      <c r="AL32" s="3">
        <f t="shared" ref="AL32" si="55">SUM(AL29:AL31)</f>
        <v>43842.55</v>
      </c>
      <c r="AM32" s="3">
        <f t="shared" ref="AM32" si="56">SUM(AM29:AM31)</f>
        <v>41845.494999999995</v>
      </c>
      <c r="AN32" s="3">
        <f t="shared" ref="AN32" si="57">SUM(AN29:AN31)</f>
        <v>40048.145499999999</v>
      </c>
      <c r="AO32" s="3">
        <f t="shared" ref="AO32" si="58">SUM(AO29:AO31)</f>
        <v>38430.53095</v>
      </c>
      <c r="AP32" s="3">
        <f t="shared" ref="AP32" si="59">SUM(AP29:AP31)</f>
        <v>36974.677855000002</v>
      </c>
      <c r="AQ32" s="3">
        <f t="shared" ref="AQ32" si="60">SUM(AQ29:AQ31)</f>
        <v>35664.410069499994</v>
      </c>
      <c r="AR32" s="3">
        <f t="shared" ref="AR32" si="61">SUM(AR29:AR31)</f>
        <v>34485.169062549998</v>
      </c>
      <c r="AS32" s="3">
        <f t="shared" ref="AS32" si="62">SUM(AS29:AS31)</f>
        <v>33423.852156294997</v>
      </c>
    </row>
    <row r="33" spans="2:101" s="3" customFormat="1" x14ac:dyDescent="0.2">
      <c r="B33" s="3" t="s">
        <v>42</v>
      </c>
      <c r="C33" s="6">
        <f t="shared" ref="C33:D33" si="63">+C28-C32</f>
        <v>5449</v>
      </c>
      <c r="D33" s="6">
        <f t="shared" si="63"/>
        <v>5863</v>
      </c>
      <c r="E33" s="6">
        <f t="shared" ref="E33:G33" si="64">+E28-E32</f>
        <v>5781</v>
      </c>
      <c r="F33" s="6">
        <f t="shared" si="64"/>
        <v>7820</v>
      </c>
      <c r="G33" s="6">
        <f t="shared" si="64"/>
        <v>6317</v>
      </c>
      <c r="H33" s="6">
        <f t="shared" ref="H33:I33" si="65">+H28-H32</f>
        <v>6626</v>
      </c>
      <c r="I33" s="6">
        <f t="shared" si="65"/>
        <v>7185</v>
      </c>
      <c r="J33" s="6">
        <f t="shared" ref="J33:K33" si="66">+J28-J32</f>
        <v>8858</v>
      </c>
      <c r="K33" s="6">
        <f t="shared" si="66"/>
        <v>5893</v>
      </c>
      <c r="L33" s="6">
        <f t="shared" ref="L33" si="67">+L28-L32</f>
        <v>5963</v>
      </c>
      <c r="M33" s="6">
        <f t="shared" ref="M33" si="68">+M28-M32</f>
        <v>8040</v>
      </c>
      <c r="N33" s="6">
        <f t="shared" ref="N33" si="69">+N28-N32</f>
        <v>12775</v>
      </c>
      <c r="O33" s="6">
        <f t="shared" ref="O33:R33" si="70">+O28-O32</f>
        <v>11378</v>
      </c>
      <c r="P33" s="6">
        <f t="shared" si="70"/>
        <v>12367</v>
      </c>
      <c r="Q33" s="6">
        <f t="shared" si="70"/>
        <v>10423</v>
      </c>
      <c r="R33" s="6">
        <f t="shared" si="70"/>
        <v>12585</v>
      </c>
      <c r="S33" s="6">
        <f>+S28-S32</f>
        <v>8524</v>
      </c>
      <c r="T33" s="6">
        <f t="shared" ref="T33:V33" si="71">+T28-T32</f>
        <v>8358</v>
      </c>
      <c r="U33" s="6">
        <f t="shared" si="71"/>
        <v>5664</v>
      </c>
      <c r="V33" s="6">
        <f t="shared" si="71"/>
        <v>6399</v>
      </c>
      <c r="W33" s="6">
        <f t="shared" ref="W33:Z33" si="72">+W28-W32</f>
        <v>10588.449999999999</v>
      </c>
      <c r="X33" s="6">
        <f t="shared" si="72"/>
        <v>10719.288000000004</v>
      </c>
      <c r="Y33" s="6">
        <f t="shared" si="72"/>
        <v>6386.2853999999988</v>
      </c>
      <c r="Z33" s="6">
        <f t="shared" si="72"/>
        <v>8509.8467999999993</v>
      </c>
      <c r="AG33" s="3">
        <f>AG28-AG32</f>
        <v>24913</v>
      </c>
      <c r="AH33" s="3">
        <f>AH28-AH32</f>
        <v>28986</v>
      </c>
      <c r="AI33" s="3">
        <f>AI28-AI32</f>
        <v>32671</v>
      </c>
      <c r="AJ33" s="3">
        <f t="shared" ref="AJ33" si="73">AJ28-AJ32</f>
        <v>46753</v>
      </c>
      <c r="AK33" s="3">
        <f t="shared" ref="AK33" si="74">AK28-AK32</f>
        <v>48391.790000000008</v>
      </c>
      <c r="AL33" s="3">
        <f t="shared" ref="AL33" si="75">AL28-AL32</f>
        <v>45888.075499999992</v>
      </c>
      <c r="AM33" s="3">
        <f t="shared" ref="AM33" si="76">AM28-AM32</f>
        <v>43398.599224999998</v>
      </c>
      <c r="AN33" s="3">
        <f t="shared" ref="AN33" si="77">AN28-AN32</f>
        <v>53720.35814750001</v>
      </c>
      <c r="AO33" s="3">
        <f t="shared" ref="AO33" si="78">AO28-AO32</f>
        <v>60026.397879875003</v>
      </c>
      <c r="AP33" s="3">
        <f t="shared" ref="AP33" si="79">AP28-AP32</f>
        <v>64435.95883977125</v>
      </c>
      <c r="AQ33" s="3">
        <f t="shared" ref="AQ33" si="80">AQ28-AQ32</f>
        <v>68788.545726114404</v>
      </c>
      <c r="AR33" s="3">
        <f t="shared" ref="AR33" si="81">AR28-AR32</f>
        <v>73101.375406932842</v>
      </c>
      <c r="AS33" s="3">
        <f t="shared" ref="AS33" si="82">AS28-AS32</f>
        <v>77390.288647272333</v>
      </c>
    </row>
    <row r="34" spans="2:101" s="3" customFormat="1" x14ac:dyDescent="0.2">
      <c r="B34" s="3" t="s">
        <v>43</v>
      </c>
      <c r="C34" s="6">
        <v>161</v>
      </c>
      <c r="D34" s="6">
        <v>5</v>
      </c>
      <c r="E34" s="6">
        <v>131</v>
      </c>
      <c r="F34" s="6">
        <v>151</v>
      </c>
      <c r="G34" s="6">
        <v>206</v>
      </c>
      <c r="H34" s="6">
        <v>206</v>
      </c>
      <c r="I34" s="6">
        <v>144</v>
      </c>
      <c r="J34" s="6">
        <v>311</v>
      </c>
      <c r="K34" s="6">
        <v>-32</v>
      </c>
      <c r="L34" s="6">
        <v>168</v>
      </c>
      <c r="M34" s="6">
        <v>93</v>
      </c>
      <c r="N34" s="6">
        <v>280</v>
      </c>
      <c r="O34" s="6">
        <v>125</v>
      </c>
      <c r="P34" s="6">
        <v>146</v>
      </c>
      <c r="Q34" s="6">
        <v>142</v>
      </c>
      <c r="R34" s="6">
        <v>117</v>
      </c>
      <c r="S34" s="6">
        <v>384</v>
      </c>
      <c r="T34" s="6">
        <v>-172</v>
      </c>
      <c r="U34" s="6">
        <v>-88</v>
      </c>
      <c r="V34" s="6">
        <v>-250</v>
      </c>
      <c r="W34" s="6">
        <f>+V34</f>
        <v>-250</v>
      </c>
      <c r="X34" s="6">
        <f t="shared" ref="X34:Z34" si="83">+W34</f>
        <v>-250</v>
      </c>
      <c r="Y34" s="6">
        <f t="shared" si="83"/>
        <v>-250</v>
      </c>
      <c r="Z34" s="6">
        <f t="shared" si="83"/>
        <v>-250</v>
      </c>
      <c r="AG34" s="3">
        <v>448</v>
      </c>
      <c r="AH34" s="3">
        <v>826</v>
      </c>
      <c r="AI34" s="3">
        <v>509</v>
      </c>
      <c r="AJ34" s="3">
        <v>531</v>
      </c>
      <c r="AL34" s="3">
        <f t="shared" ref="AL34:AS34" si="84">+AK53*$AX$52</f>
        <v>1059.1200000000001</v>
      </c>
      <c r="AM34" s="3">
        <f t="shared" si="84"/>
        <v>1829.0540062</v>
      </c>
      <c r="AN34" s="3">
        <f t="shared" si="84"/>
        <v>2570.7875191916801</v>
      </c>
      <c r="AO34" s="3">
        <f t="shared" si="84"/>
        <v>3493.962308125424</v>
      </c>
      <c r="AP34" s="3">
        <f t="shared" si="84"/>
        <v>4535.6962152086307</v>
      </c>
      <c r="AQ34" s="3">
        <f t="shared" si="84"/>
        <v>5666.8313581103021</v>
      </c>
      <c r="AR34" s="3">
        <f t="shared" si="84"/>
        <v>6887.8995422915868</v>
      </c>
      <c r="AS34" s="3">
        <f t="shared" si="84"/>
        <v>8199.7236514588676</v>
      </c>
    </row>
    <row r="35" spans="2:101" s="3" customFormat="1" x14ac:dyDescent="0.2">
      <c r="B35" s="3" t="s">
        <v>44</v>
      </c>
      <c r="C35" s="6">
        <f t="shared" ref="C35:D35" si="85">+C33+C34</f>
        <v>5610</v>
      </c>
      <c r="D35" s="6">
        <f t="shared" si="85"/>
        <v>5868</v>
      </c>
      <c r="E35" s="6">
        <f t="shared" ref="E35:G35" si="86">+E33+E34</f>
        <v>5912</v>
      </c>
      <c r="F35" s="6">
        <f t="shared" si="86"/>
        <v>7971</v>
      </c>
      <c r="G35" s="6">
        <f t="shared" si="86"/>
        <v>6523</v>
      </c>
      <c r="H35" s="6">
        <f t="shared" ref="H35" si="87">+H33+H34</f>
        <v>6832</v>
      </c>
      <c r="I35" s="6">
        <f t="shared" ref="I35:J35" si="88">+I33+I34</f>
        <v>7329</v>
      </c>
      <c r="J35" s="6">
        <f t="shared" si="88"/>
        <v>9169</v>
      </c>
      <c r="K35" s="6">
        <f t="shared" ref="K35:R35" si="89">+K33+K34</f>
        <v>5861</v>
      </c>
      <c r="L35" s="6">
        <f t="shared" si="89"/>
        <v>6131</v>
      </c>
      <c r="M35" s="6">
        <f t="shared" si="89"/>
        <v>8133</v>
      </c>
      <c r="N35" s="6">
        <f t="shared" si="89"/>
        <v>13055</v>
      </c>
      <c r="O35" s="6">
        <f t="shared" si="89"/>
        <v>11503</v>
      </c>
      <c r="P35" s="6">
        <f t="shared" si="89"/>
        <v>12513</v>
      </c>
      <c r="Q35" s="6">
        <f t="shared" si="89"/>
        <v>10565</v>
      </c>
      <c r="R35" s="6">
        <f t="shared" si="89"/>
        <v>12702</v>
      </c>
      <c r="S35" s="6">
        <f>+S33+S34</f>
        <v>8908</v>
      </c>
      <c r="T35" s="6">
        <f t="shared" ref="T35:Z35" si="90">+T33+T34</f>
        <v>8186</v>
      </c>
      <c r="U35" s="6">
        <f t="shared" si="90"/>
        <v>5576</v>
      </c>
      <c r="V35" s="6">
        <f t="shared" si="90"/>
        <v>6149</v>
      </c>
      <c r="W35" s="6">
        <f t="shared" si="90"/>
        <v>10338.449999999999</v>
      </c>
      <c r="X35" s="6">
        <f t="shared" si="90"/>
        <v>10469.288000000004</v>
      </c>
      <c r="Y35" s="6">
        <f t="shared" si="90"/>
        <v>6136.2853999999988</v>
      </c>
      <c r="Z35" s="6">
        <f t="shared" si="90"/>
        <v>8259.8467999999993</v>
      </c>
      <c r="AG35" s="3">
        <f>+AG33+AG34</f>
        <v>25361</v>
      </c>
      <c r="AH35" s="3">
        <f>+AH33+AH34</f>
        <v>29812</v>
      </c>
      <c r="AI35" s="3">
        <f>+AI33+AI34</f>
        <v>33180</v>
      </c>
      <c r="AJ35" s="3">
        <f t="shared" ref="AJ35" si="91">+AJ33+AJ34</f>
        <v>47284</v>
      </c>
      <c r="AK35" s="3">
        <f t="shared" ref="AK35" si="92">+AK33+AK34</f>
        <v>48391.790000000008</v>
      </c>
      <c r="AL35" s="3">
        <f t="shared" ref="AL35" si="93">+AL33+AL34</f>
        <v>46947.195499999994</v>
      </c>
      <c r="AM35" s="3">
        <f t="shared" ref="AM35" si="94">+AM33+AM34</f>
        <v>45227.653231199998</v>
      </c>
      <c r="AN35" s="3">
        <f t="shared" ref="AN35" si="95">+AN33+AN34</f>
        <v>56291.145666691693</v>
      </c>
      <c r="AO35" s="3">
        <f t="shared" ref="AO35" si="96">+AO33+AO34</f>
        <v>63520.360188000428</v>
      </c>
      <c r="AP35" s="3">
        <f t="shared" ref="AP35" si="97">+AP33+AP34</f>
        <v>68971.655054979885</v>
      </c>
      <c r="AQ35" s="3">
        <f t="shared" ref="AQ35" si="98">+AQ33+AQ34</f>
        <v>74455.377084224703</v>
      </c>
      <c r="AR35" s="3">
        <f t="shared" ref="AR35" si="99">+AR33+AR34</f>
        <v>79989.274949224433</v>
      </c>
      <c r="AS35" s="3">
        <f t="shared" ref="AS35" si="100">+AS33+AS34</f>
        <v>85590.012298731206</v>
      </c>
    </row>
    <row r="36" spans="2:101" s="3" customFormat="1" x14ac:dyDescent="0.2">
      <c r="B36" s="3" t="s">
        <v>45</v>
      </c>
      <c r="C36" s="6">
        <f>622+1</f>
        <v>623</v>
      </c>
      <c r="D36" s="6">
        <v>762</v>
      </c>
      <c r="E36" s="6">
        <v>775</v>
      </c>
      <c r="F36" s="6">
        <v>1089</v>
      </c>
      <c r="G36" s="6">
        <v>2216</v>
      </c>
      <c r="H36" s="6">
        <v>2216</v>
      </c>
      <c r="I36" s="6">
        <v>1238</v>
      </c>
      <c r="J36" s="6">
        <v>1820</v>
      </c>
      <c r="K36" s="6">
        <v>959</v>
      </c>
      <c r="L36" s="6">
        <v>953</v>
      </c>
      <c r="M36" s="6">
        <v>287</v>
      </c>
      <c r="N36" s="6">
        <v>1836</v>
      </c>
      <c r="O36" s="6">
        <v>2006</v>
      </c>
      <c r="P36" s="6">
        <v>2119</v>
      </c>
      <c r="Q36" s="6">
        <v>1371</v>
      </c>
      <c r="R36" s="6">
        <v>2417</v>
      </c>
      <c r="S36" s="6">
        <v>1443</v>
      </c>
      <c r="T36" s="6">
        <v>1499</v>
      </c>
      <c r="U36" s="6">
        <v>1181</v>
      </c>
      <c r="V36" s="6">
        <v>1497</v>
      </c>
      <c r="W36" s="6">
        <f t="shared" ref="W36:Z36" si="101">+W35*0.19</f>
        <v>1964.3054999999997</v>
      </c>
      <c r="X36" s="6">
        <f t="shared" si="101"/>
        <v>1989.1647200000009</v>
      </c>
      <c r="Y36" s="6">
        <f t="shared" si="101"/>
        <v>1165.8942259999999</v>
      </c>
      <c r="Z36" s="6">
        <f t="shared" si="101"/>
        <v>1569.3708919999999</v>
      </c>
      <c r="AG36" s="3">
        <f>3249+1</f>
        <v>3250</v>
      </c>
      <c r="AH36" s="3">
        <v>6327</v>
      </c>
      <c r="AI36" s="3">
        <v>4034</v>
      </c>
      <c r="AJ36" s="3">
        <v>7914</v>
      </c>
      <c r="AK36" s="3">
        <f>+AK35*0.18</f>
        <v>8710.5222000000012</v>
      </c>
      <c r="AL36" s="3">
        <f t="shared" ref="AL36:AS36" si="102">+AL35*0.18</f>
        <v>8450.4951899999978</v>
      </c>
      <c r="AM36" s="3">
        <f t="shared" si="102"/>
        <v>8140.977581615999</v>
      </c>
      <c r="AN36" s="3">
        <f t="shared" si="102"/>
        <v>10132.406220004505</v>
      </c>
      <c r="AO36" s="3">
        <f t="shared" si="102"/>
        <v>11433.664833840077</v>
      </c>
      <c r="AP36" s="3">
        <f t="shared" si="102"/>
        <v>12414.897909896379</v>
      </c>
      <c r="AQ36" s="3">
        <f t="shared" si="102"/>
        <v>13401.967875160446</v>
      </c>
      <c r="AR36" s="3">
        <f t="shared" si="102"/>
        <v>14398.069490860398</v>
      </c>
      <c r="AS36" s="3">
        <f t="shared" si="102"/>
        <v>15406.202213771616</v>
      </c>
    </row>
    <row r="37" spans="2:101" s="3" customFormat="1" x14ac:dyDescent="0.2">
      <c r="B37" s="3" t="s">
        <v>46</v>
      </c>
      <c r="C37" s="6">
        <f t="shared" ref="C37:D37" si="103">+C35-C36</f>
        <v>4987</v>
      </c>
      <c r="D37" s="6">
        <f t="shared" si="103"/>
        <v>5106</v>
      </c>
      <c r="E37" s="6">
        <f t="shared" ref="E37:G37" si="104">+E35-E36</f>
        <v>5137</v>
      </c>
      <c r="F37" s="6">
        <f t="shared" si="104"/>
        <v>6882</v>
      </c>
      <c r="G37" s="6">
        <f t="shared" si="104"/>
        <v>4307</v>
      </c>
      <c r="H37" s="6">
        <f t="shared" ref="H37" si="105">+H35-H36</f>
        <v>4616</v>
      </c>
      <c r="I37" s="6">
        <f t="shared" ref="I37:J37" si="106">+I35-I36</f>
        <v>6091</v>
      </c>
      <c r="J37" s="6">
        <f t="shared" si="106"/>
        <v>7349</v>
      </c>
      <c r="K37" s="6">
        <f t="shared" ref="K37:L37" si="107">+K35-K36</f>
        <v>4902</v>
      </c>
      <c r="L37" s="6">
        <f t="shared" si="107"/>
        <v>5178</v>
      </c>
      <c r="M37" s="6">
        <f t="shared" ref="M37:R37" si="108">+M35-M36</f>
        <v>7846</v>
      </c>
      <c r="N37" s="6">
        <f t="shared" si="108"/>
        <v>11219</v>
      </c>
      <c r="O37" s="6">
        <f t="shared" si="108"/>
        <v>9497</v>
      </c>
      <c r="P37" s="6">
        <f t="shared" si="108"/>
        <v>10394</v>
      </c>
      <c r="Q37" s="6">
        <f t="shared" si="108"/>
        <v>9194</v>
      </c>
      <c r="R37" s="6">
        <f t="shared" si="108"/>
        <v>10285</v>
      </c>
      <c r="S37" s="6">
        <f>+S35-S36</f>
        <v>7465</v>
      </c>
      <c r="T37" s="6">
        <f t="shared" ref="T37:V37" si="109">+T35-T36</f>
        <v>6687</v>
      </c>
      <c r="U37" s="6">
        <f t="shared" si="109"/>
        <v>4395</v>
      </c>
      <c r="V37" s="6">
        <f t="shared" si="109"/>
        <v>4652</v>
      </c>
      <c r="W37" s="6">
        <f t="shared" ref="W37:Z37" si="110">+W35-W36</f>
        <v>8374.1444999999985</v>
      </c>
      <c r="X37" s="6">
        <f t="shared" si="110"/>
        <v>8480.1232800000034</v>
      </c>
      <c r="Y37" s="6">
        <f t="shared" si="110"/>
        <v>4970.3911739999985</v>
      </c>
      <c r="Z37" s="6">
        <f t="shared" si="110"/>
        <v>6690.4759079999994</v>
      </c>
      <c r="AG37" s="3">
        <f>+AG35-AG36</f>
        <v>22111</v>
      </c>
      <c r="AH37" s="3">
        <f>+AH35-AH36</f>
        <v>23485</v>
      </c>
      <c r="AI37" s="3">
        <f>+AI35-AI36</f>
        <v>29146</v>
      </c>
      <c r="AJ37" s="3">
        <f t="shared" ref="AJ37" si="111">+AJ35-AJ36</f>
        <v>39370</v>
      </c>
      <c r="AK37" s="3">
        <f t="shared" ref="AK37" si="112">+AK35-AK36</f>
        <v>39681.267800000009</v>
      </c>
      <c r="AL37" s="3">
        <f t="shared" ref="AL37" si="113">+AL35-AL36</f>
        <v>38496.70031</v>
      </c>
      <c r="AM37" s="3">
        <f t="shared" ref="AM37" si="114">+AM35-AM36</f>
        <v>37086.675649584002</v>
      </c>
      <c r="AN37" s="3">
        <f t="shared" ref="AN37" si="115">+AN35-AN36</f>
        <v>46158.739446687192</v>
      </c>
      <c r="AO37" s="3">
        <f t="shared" ref="AO37" si="116">+AO35-AO36</f>
        <v>52086.695354160351</v>
      </c>
      <c r="AP37" s="3">
        <f t="shared" ref="AP37" si="117">+AP35-AP36</f>
        <v>56556.757145083509</v>
      </c>
      <c r="AQ37" s="3">
        <f t="shared" ref="AQ37" si="118">+AQ35-AQ36</f>
        <v>61053.409209064259</v>
      </c>
      <c r="AR37" s="3">
        <f t="shared" ref="AR37" si="119">+AR35-AR36</f>
        <v>65591.205458364042</v>
      </c>
      <c r="AS37" s="3">
        <f t="shared" ref="AS37" si="120">+AS35-AS36</f>
        <v>70183.810084959594</v>
      </c>
      <c r="AT37" s="3">
        <f t="shared" ref="AT37:BY37" si="121">+AS37*(1+$AX$51)</f>
        <v>66674.619580711616</v>
      </c>
      <c r="AU37" s="3">
        <f t="shared" si="121"/>
        <v>63340.88860167603</v>
      </c>
      <c r="AV37" s="3">
        <f t="shared" si="121"/>
        <v>60173.844171592224</v>
      </c>
      <c r="AW37" s="3">
        <f t="shared" si="121"/>
        <v>57165.151963012613</v>
      </c>
      <c r="AX37" s="3">
        <f t="shared" si="121"/>
        <v>54306.894364861982</v>
      </c>
      <c r="AY37" s="3">
        <f t="shared" si="121"/>
        <v>51591.549646618878</v>
      </c>
      <c r="AZ37" s="3">
        <f t="shared" si="121"/>
        <v>49011.97216428793</v>
      </c>
      <c r="BA37" s="3">
        <f t="shared" si="121"/>
        <v>46561.373556073529</v>
      </c>
      <c r="BB37" s="3">
        <f t="shared" si="121"/>
        <v>44233.304878269853</v>
      </c>
      <c r="BC37" s="3">
        <f t="shared" si="121"/>
        <v>42021.639634356361</v>
      </c>
      <c r="BD37" s="3">
        <f t="shared" si="121"/>
        <v>39920.557652638541</v>
      </c>
      <c r="BE37" s="3">
        <f t="shared" si="121"/>
        <v>37924.529770006615</v>
      </c>
      <c r="BF37" s="3">
        <f t="shared" si="121"/>
        <v>36028.303281506283</v>
      </c>
      <c r="BG37" s="3">
        <f t="shared" si="121"/>
        <v>34226.888117430964</v>
      </c>
      <c r="BH37" s="3">
        <f t="shared" si="121"/>
        <v>32515.543711559414</v>
      </c>
      <c r="BI37" s="3">
        <f t="shared" si="121"/>
        <v>30889.766525981442</v>
      </c>
      <c r="BJ37" s="3">
        <f t="shared" si="121"/>
        <v>29345.278199682369</v>
      </c>
      <c r="BK37" s="3">
        <f t="shared" si="121"/>
        <v>27878.014289698251</v>
      </c>
      <c r="BL37" s="3">
        <f t="shared" si="121"/>
        <v>26484.113575213338</v>
      </c>
      <c r="BM37" s="3">
        <f t="shared" si="121"/>
        <v>25159.907896452671</v>
      </c>
      <c r="BN37" s="3">
        <f t="shared" si="121"/>
        <v>23901.912501630035</v>
      </c>
      <c r="BO37" s="3">
        <f t="shared" si="121"/>
        <v>22706.816876548532</v>
      </c>
      <c r="BP37" s="3">
        <f t="shared" si="121"/>
        <v>21571.476032721104</v>
      </c>
      <c r="BQ37" s="3">
        <f t="shared" si="121"/>
        <v>20492.902231085049</v>
      </c>
      <c r="BR37" s="3">
        <f t="shared" si="121"/>
        <v>19468.257119530794</v>
      </c>
      <c r="BS37" s="3">
        <f t="shared" si="121"/>
        <v>18494.844263554252</v>
      </c>
      <c r="BT37" s="3">
        <f t="shared" si="121"/>
        <v>17570.102050376539</v>
      </c>
      <c r="BU37" s="3">
        <f t="shared" si="121"/>
        <v>16691.59694785771</v>
      </c>
      <c r="BV37" s="3">
        <f t="shared" si="121"/>
        <v>15857.017100464824</v>
      </c>
      <c r="BW37" s="3">
        <f t="shared" si="121"/>
        <v>15064.166245441582</v>
      </c>
      <c r="BX37" s="3">
        <f t="shared" si="121"/>
        <v>14310.957933169502</v>
      </c>
      <c r="BY37" s="3">
        <f t="shared" si="121"/>
        <v>13595.410036511026</v>
      </c>
      <c r="BZ37" s="3">
        <f t="shared" ref="BZ37:CW37" si="122">+BY37*(1+$AX$51)</f>
        <v>12915.639534685475</v>
      </c>
      <c r="CA37" s="3">
        <f t="shared" si="122"/>
        <v>12269.857557951202</v>
      </c>
      <c r="CB37" s="3">
        <f t="shared" si="122"/>
        <v>11656.364680053641</v>
      </c>
      <c r="CC37" s="3">
        <f t="shared" si="122"/>
        <v>11073.546446050957</v>
      </c>
      <c r="CD37" s="3">
        <f t="shared" si="122"/>
        <v>10519.869123748409</v>
      </c>
      <c r="CE37" s="3">
        <f t="shared" si="122"/>
        <v>9993.8756675609875</v>
      </c>
      <c r="CF37" s="3">
        <f t="shared" si="122"/>
        <v>9494.1818841829372</v>
      </c>
      <c r="CG37" s="3">
        <f t="shared" si="122"/>
        <v>9019.47278997379</v>
      </c>
      <c r="CH37" s="3">
        <f t="shared" si="122"/>
        <v>8568.4991504750997</v>
      </c>
      <c r="CI37" s="3">
        <f t="shared" si="122"/>
        <v>8140.0741929513442</v>
      </c>
      <c r="CJ37" s="3">
        <f t="shared" si="122"/>
        <v>7733.0704833037771</v>
      </c>
      <c r="CK37" s="3">
        <f t="shared" si="122"/>
        <v>7346.416959138588</v>
      </c>
      <c r="CL37" s="3">
        <f t="shared" si="122"/>
        <v>6979.0961111816587</v>
      </c>
      <c r="CM37" s="3">
        <f t="shared" si="122"/>
        <v>6630.1413056225756</v>
      </c>
      <c r="CN37" s="3">
        <f t="shared" si="122"/>
        <v>6298.6342403414465</v>
      </c>
      <c r="CO37" s="3">
        <f t="shared" si="122"/>
        <v>5983.7025283243738</v>
      </c>
      <c r="CP37" s="3">
        <f t="shared" si="122"/>
        <v>5684.5174019081551</v>
      </c>
      <c r="CQ37" s="3">
        <f t="shared" si="122"/>
        <v>5400.2915318127471</v>
      </c>
      <c r="CR37" s="3">
        <f t="shared" si="122"/>
        <v>5130.2769552221098</v>
      </c>
      <c r="CS37" s="3">
        <f t="shared" si="122"/>
        <v>4873.7631074610044</v>
      </c>
      <c r="CT37" s="3">
        <f t="shared" si="122"/>
        <v>4630.0749520879544</v>
      </c>
      <c r="CU37" s="3">
        <f t="shared" si="122"/>
        <v>4398.5712044835564</v>
      </c>
      <c r="CV37" s="3">
        <f t="shared" si="122"/>
        <v>4178.6426442593784</v>
      </c>
      <c r="CW37" s="3">
        <f t="shared" si="122"/>
        <v>3969.7105120464093</v>
      </c>
    </row>
    <row r="38" spans="2:101" x14ac:dyDescent="0.2">
      <c r="B38" s="3" t="s">
        <v>47</v>
      </c>
      <c r="C38" s="9">
        <f t="shared" ref="C38:D38" si="123">+C37/C39</f>
        <v>1.6933786078098472</v>
      </c>
      <c r="D38" s="9">
        <f t="shared" si="123"/>
        <v>1.7426621160409557</v>
      </c>
      <c r="E38" s="9">
        <f t="shared" ref="E38:G38" si="124">+E37/E39</f>
        <v>1.7634740817027119</v>
      </c>
      <c r="F38" s="9">
        <f t="shared" si="124"/>
        <v>2.3846153846153846</v>
      </c>
      <c r="G38" s="9">
        <f t="shared" si="124"/>
        <v>1.4980869565217392</v>
      </c>
      <c r="H38" s="9">
        <f t="shared" ref="H38" si="125">+H37/H39</f>
        <v>1.6055652173913044</v>
      </c>
      <c r="I38" s="9">
        <f t="shared" ref="I38:J38" si="126">+I37/I39</f>
        <v>2.1193458594293668</v>
      </c>
      <c r="J38" s="9">
        <f t="shared" si="126"/>
        <v>2.559735283873215</v>
      </c>
      <c r="K38" s="9">
        <f t="shared" ref="K38:L38" si="127">+K37/K39</f>
        <v>1.7092050209205021</v>
      </c>
      <c r="L38" s="9">
        <f t="shared" si="127"/>
        <v>1.7985411601250434</v>
      </c>
      <c r="M38" s="9">
        <f t="shared" ref="M38:R38" si="128">+M37/M39</f>
        <v>2.7139398132134209</v>
      </c>
      <c r="N38" s="9">
        <f t="shared" si="128"/>
        <v>3.882006920415225</v>
      </c>
      <c r="O38" s="9">
        <f t="shared" si="128"/>
        <v>3.2952810548230396</v>
      </c>
      <c r="P38" s="9">
        <f t="shared" si="128"/>
        <v>3.6127911018421965</v>
      </c>
      <c r="Q38" s="9">
        <f t="shared" si="128"/>
        <v>3.2158097236796084</v>
      </c>
      <c r="R38" s="9">
        <f t="shared" si="128"/>
        <v>3.6745266166488033</v>
      </c>
      <c r="S38" s="9">
        <f>+S37/S39</f>
        <v>2.7224653537563821</v>
      </c>
      <c r="T38" s="9">
        <f t="shared" ref="T38:V38" si="129">+T37/T39</f>
        <v>2.4647991153704387</v>
      </c>
      <c r="U38" s="9">
        <f t="shared" si="129"/>
        <v>1.6356531447711202</v>
      </c>
      <c r="V38" s="9">
        <f t="shared" si="129"/>
        <v>1.7621212121212122</v>
      </c>
      <c r="W38" s="9">
        <f t="shared" ref="W38:Z38" si="130">+W37/W39</f>
        <v>3.1720244318181812</v>
      </c>
      <c r="X38" s="9">
        <f t="shared" si="130"/>
        <v>3.2121679090909105</v>
      </c>
      <c r="Y38" s="9">
        <f t="shared" si="130"/>
        <v>1.8827239295454539</v>
      </c>
      <c r="Z38" s="9">
        <f t="shared" si="130"/>
        <v>2.5342711772727271</v>
      </c>
      <c r="AG38" s="17">
        <f>+AG37/AG39</f>
        <v>7.5696679219445393</v>
      </c>
      <c r="AH38" s="17">
        <f>+AH37/AH39</f>
        <v>8.1658553546592483</v>
      </c>
      <c r="AI38" s="17">
        <f>+AI37/AI39</f>
        <v>10.092105263157896</v>
      </c>
      <c r="AJ38" s="17">
        <f t="shared" ref="AJ38" si="131">+AJ37/AJ39</f>
        <v>13.770549143057012</v>
      </c>
      <c r="AK38" s="17">
        <f t="shared" ref="AK38" si="132">+AK37/AK39</f>
        <v>14.721301354108704</v>
      </c>
      <c r="AL38" s="17">
        <f t="shared" ref="AL38" si="133">+AL37/AL39</f>
        <v>14.281840218883325</v>
      </c>
      <c r="AM38" s="17">
        <f t="shared" ref="AM38" si="134">+AM37/AM39</f>
        <v>13.758737024516417</v>
      </c>
      <c r="AN38" s="17">
        <f t="shared" ref="AN38" si="135">+AN37/AN39</f>
        <v>17.124370041434684</v>
      </c>
      <c r="AO38" s="17">
        <f t="shared" ref="AO38" si="136">+AO37/AO39</f>
        <v>19.323574607367966</v>
      </c>
      <c r="AP38" s="17">
        <f t="shared" ref="AP38" si="137">+AP37/AP39</f>
        <v>20.981916952358937</v>
      </c>
      <c r="AQ38" s="17">
        <f t="shared" ref="AQ38" si="138">+AQ37/AQ39</f>
        <v>22.650123987781214</v>
      </c>
      <c r="AR38" s="17">
        <f t="shared" ref="AR38" si="139">+AR37/AR39</f>
        <v>24.333595050404021</v>
      </c>
      <c r="AS38" s="17">
        <f t="shared" ref="AS38" si="140">+AS37/AS39</f>
        <v>26.037399400838282</v>
      </c>
    </row>
    <row r="39" spans="2:101" s="3" customFormat="1" x14ac:dyDescent="0.2">
      <c r="B39" s="3" t="s">
        <v>2</v>
      </c>
      <c r="C39" s="6">
        <v>2945</v>
      </c>
      <c r="D39" s="6">
        <v>2930</v>
      </c>
      <c r="E39" s="6">
        <v>2913</v>
      </c>
      <c r="F39" s="6">
        <v>2886</v>
      </c>
      <c r="G39" s="6">
        <v>2875</v>
      </c>
      <c r="H39" s="6">
        <v>2875</v>
      </c>
      <c r="I39" s="6">
        <v>2874</v>
      </c>
      <c r="J39" s="6">
        <v>2871</v>
      </c>
      <c r="K39" s="6">
        <v>2868</v>
      </c>
      <c r="L39" s="6">
        <v>2879</v>
      </c>
      <c r="M39" s="6">
        <v>2891</v>
      </c>
      <c r="N39" s="6">
        <v>2890</v>
      </c>
      <c r="O39" s="6">
        <v>2882</v>
      </c>
      <c r="P39" s="6">
        <v>2877</v>
      </c>
      <c r="Q39" s="6">
        <v>2859</v>
      </c>
      <c r="R39" s="6">
        <v>2799</v>
      </c>
      <c r="S39" s="6">
        <v>2742</v>
      </c>
      <c r="T39" s="6">
        <v>2713</v>
      </c>
      <c r="U39" s="6">
        <v>2687</v>
      </c>
      <c r="V39" s="6">
        <v>2640</v>
      </c>
      <c r="W39" s="6">
        <f>+V39</f>
        <v>2640</v>
      </c>
      <c r="X39" s="6">
        <f t="shared" ref="X39:Z39" si="141">+W39</f>
        <v>2640</v>
      </c>
      <c r="Y39" s="6">
        <f t="shared" si="141"/>
        <v>2640</v>
      </c>
      <c r="Z39" s="6">
        <f t="shared" si="141"/>
        <v>2640</v>
      </c>
      <c r="AF39" s="3">
        <f>2395.921635+509.079123</f>
        <v>2905.0007580000001</v>
      </c>
      <c r="AG39" s="3">
        <v>2921</v>
      </c>
      <c r="AH39" s="3">
        <v>2876</v>
      </c>
      <c r="AI39" s="3">
        <v>2888</v>
      </c>
      <c r="AJ39" s="3">
        <v>2859</v>
      </c>
      <c r="AK39" s="3">
        <f>AVERAGE(S39:V39)</f>
        <v>2695.5</v>
      </c>
      <c r="AL39" s="3">
        <f t="shared" ref="AL39:AS39" si="142">+AK39</f>
        <v>2695.5</v>
      </c>
      <c r="AM39" s="3">
        <f t="shared" si="142"/>
        <v>2695.5</v>
      </c>
      <c r="AN39" s="3">
        <f t="shared" si="142"/>
        <v>2695.5</v>
      </c>
      <c r="AO39" s="3">
        <f t="shared" si="142"/>
        <v>2695.5</v>
      </c>
      <c r="AP39" s="3">
        <f t="shared" si="142"/>
        <v>2695.5</v>
      </c>
      <c r="AQ39" s="3">
        <f t="shared" si="142"/>
        <v>2695.5</v>
      </c>
      <c r="AR39" s="3">
        <f t="shared" si="142"/>
        <v>2695.5</v>
      </c>
      <c r="AS39" s="3">
        <f t="shared" si="142"/>
        <v>2695.5</v>
      </c>
    </row>
    <row r="40" spans="2:101" x14ac:dyDescent="0.2">
      <c r="S40" s="6"/>
    </row>
    <row r="41" spans="2:101" s="4" customFormat="1" x14ac:dyDescent="0.2">
      <c r="B41" s="7" t="s">
        <v>48</v>
      </c>
      <c r="C41" s="12"/>
      <c r="D41" s="12"/>
      <c r="E41" s="12"/>
      <c r="F41" s="12"/>
      <c r="G41" s="11">
        <f t="shared" ref="G41:K41" si="143">+G26/C26-1</f>
        <v>0.25998662878154777</v>
      </c>
      <c r="H41" s="11">
        <f t="shared" si="143"/>
        <v>0.2762451817700855</v>
      </c>
      <c r="I41" s="11">
        <f t="shared" si="143"/>
        <v>0.2859328331026445</v>
      </c>
      <c r="J41" s="11">
        <f t="shared" si="143"/>
        <v>0.2464230814709707</v>
      </c>
      <c r="K41" s="11">
        <f t="shared" si="143"/>
        <v>0.17642767128739134</v>
      </c>
      <c r="L41" s="11">
        <f>+L26/H26-1</f>
        <v>0.10665640175293145</v>
      </c>
      <c r="M41" s="11">
        <f>+M26/I26-1</f>
        <v>0.21629277135735325</v>
      </c>
      <c r="N41" s="11">
        <f>+N26/J26-1</f>
        <v>0.33156247035385644</v>
      </c>
      <c r="O41" s="11">
        <f>+O26/K26-1</f>
        <v>0.47550318543158365</v>
      </c>
      <c r="P41" s="11">
        <f>+P26/L26-1</f>
        <v>0.5560014983678494</v>
      </c>
      <c r="Q41" s="11">
        <f t="shared" ref="Q41:R41" si="144">+Q26/M26-1</f>
        <v>0.35118770377270603</v>
      </c>
      <c r="R41" s="11">
        <f t="shared" si="144"/>
        <v>0.19945141065830718</v>
      </c>
      <c r="S41" s="11">
        <f>+S26/O26-1</f>
        <v>6.6371174200450911E-2</v>
      </c>
      <c r="T41" s="11">
        <f>+T26/P26-1</f>
        <v>-8.7698180692643568E-3</v>
      </c>
      <c r="U41" s="11">
        <f>+U26/Q26-1</f>
        <v>-4.4674250258531556E-2</v>
      </c>
      <c r="V41" s="11">
        <f t="shared" ref="V41" si="145">+V26/R26-1</f>
        <v>-4.4726916337501144E-2</v>
      </c>
      <c r="W41" s="11">
        <f>+W26/S26-1</f>
        <v>2.6408198366060009E-2</v>
      </c>
      <c r="X41" s="11">
        <f t="shared" ref="X41" si="146">+X26/T26-1</f>
        <v>7.4429255429879992E-2</v>
      </c>
      <c r="Y41" s="11">
        <f t="shared" ref="Y41" si="147">+Y26/U26-1</f>
        <v>-3.6867287291621587E-2</v>
      </c>
      <c r="Z41" s="11">
        <f t="shared" ref="Z41" si="148">+Z26/V26-1</f>
        <v>-4.7756256800870589E-2</v>
      </c>
      <c r="AC41" s="18">
        <f t="shared" ref="AC41:AG41" si="149">+AC26/AB26-1</f>
        <v>0.58358739837398366</v>
      </c>
      <c r="AD41" s="18">
        <f t="shared" si="149"/>
        <v>0.43815177282207607</v>
      </c>
      <c r="AE41" s="18">
        <f t="shared" si="149"/>
        <v>0.54161088799643009</v>
      </c>
      <c r="AF41" s="18">
        <f t="shared" si="149"/>
        <v>0.47090961719371882</v>
      </c>
      <c r="AG41" s="18">
        <f t="shared" si="149"/>
        <v>0.37352716896661997</v>
      </c>
      <c r="AH41" s="18">
        <f>+AH26/AG26-1</f>
        <v>0.26610910132884413</v>
      </c>
      <c r="AI41" s="18">
        <f>+AI26/AH26-1</f>
        <v>0.21596390228722573</v>
      </c>
      <c r="AJ41" s="18">
        <f>+AJ26/AI26-1</f>
        <v>0.37182574303495608</v>
      </c>
      <c r="AK41" s="18">
        <f>+AK26/AJ26-1</f>
        <v>-1.1193175554782941E-2</v>
      </c>
      <c r="AL41" s="18">
        <f t="shared" ref="AL41:AS41" si="150">+AL26/AK26-1</f>
        <v>-5.0000000000000044E-2</v>
      </c>
      <c r="AM41" s="18">
        <f t="shared" si="150"/>
        <v>-5.0000000000000044E-2</v>
      </c>
      <c r="AN41" s="18">
        <f t="shared" si="150"/>
        <v>0.10000000000000009</v>
      </c>
      <c r="AO41" s="18">
        <f t="shared" si="150"/>
        <v>5.0000000000000044E-2</v>
      </c>
      <c r="AP41" s="18">
        <f t="shared" si="150"/>
        <v>3.0000000000000027E-2</v>
      </c>
      <c r="AQ41" s="18">
        <f t="shared" si="150"/>
        <v>3.0000000000000027E-2</v>
      </c>
      <c r="AR41" s="18">
        <f t="shared" si="150"/>
        <v>3.0000000000000027E-2</v>
      </c>
      <c r="AS41" s="18">
        <f t="shared" si="150"/>
        <v>3.0000000000000027E-2</v>
      </c>
    </row>
    <row r="42" spans="2:101" s="4" customFormat="1" x14ac:dyDescent="0.2">
      <c r="B42" s="7" t="s">
        <v>95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1">
        <f>+O22/K22-1</f>
        <v>0.41985917173887088</v>
      </c>
      <c r="P42" s="11">
        <f t="shared" ref="P42:R42" si="151">+P22/L22-1</f>
        <v>0.47543879015343848</v>
      </c>
      <c r="Q42" s="11">
        <f t="shared" si="151"/>
        <v>0.31097316780136164</v>
      </c>
      <c r="R42" s="11">
        <f t="shared" si="151"/>
        <v>0.14539923954372624</v>
      </c>
      <c r="S42" s="11">
        <f>+S22/O22-1</f>
        <v>1.0674960073968176E-2</v>
      </c>
      <c r="T42" s="11">
        <f>+T22/P22-1</f>
        <v>-4.3244052072422545E-2</v>
      </c>
      <c r="U42" s="11">
        <f t="shared" ref="U42" si="152">+U22/Q22-1</f>
        <v>-2.5049641056972605E-2</v>
      </c>
      <c r="V42" s="11"/>
      <c r="W42" s="12"/>
      <c r="X42" s="12"/>
      <c r="Y42" s="12"/>
    </row>
    <row r="43" spans="2:101" s="3" customFormat="1" x14ac:dyDescent="0.2">
      <c r="B43" s="3" t="s">
        <v>97</v>
      </c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10">
        <v>0.15</v>
      </c>
      <c r="T43" s="10">
        <v>0.15</v>
      </c>
      <c r="U43" s="10">
        <v>0.17</v>
      </c>
      <c r="V43" s="10"/>
      <c r="W43" s="6"/>
      <c r="X43" s="6"/>
      <c r="Y43" s="6"/>
    </row>
    <row r="44" spans="2:101" s="3" customFormat="1" x14ac:dyDescent="0.2">
      <c r="B44" s="3" t="s">
        <v>96</v>
      </c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10">
        <v>-0.08</v>
      </c>
      <c r="T44" s="10">
        <v>-0.14000000000000001</v>
      </c>
      <c r="U44" s="10">
        <v>-0.18</v>
      </c>
      <c r="V44" s="10">
        <v>-0.22</v>
      </c>
      <c r="W44" s="6"/>
      <c r="X44" s="6"/>
      <c r="Y44" s="6"/>
    </row>
    <row r="45" spans="2:101" s="3" customFormat="1" x14ac:dyDescent="0.2">
      <c r="B45" s="3" t="s">
        <v>108</v>
      </c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10"/>
      <c r="P45" s="10"/>
      <c r="Q45" s="10"/>
      <c r="R45" s="10">
        <f t="shared" ref="R45" si="153">+R24/N24-1</f>
        <v>0.22315202231520215</v>
      </c>
      <c r="S45" s="10">
        <f>+S24/O24-1</f>
        <v>0.30149812734082393</v>
      </c>
      <c r="T45" s="10">
        <f>+T24/P24-1</f>
        <v>0.4819672131147541</v>
      </c>
      <c r="U45" s="10">
        <f>+U24/Q24-1</f>
        <v>-0.489247311827957</v>
      </c>
      <c r="V45" s="10">
        <f>+V24/R24-1</f>
        <v>-0.17103762827822122</v>
      </c>
      <c r="W45" s="10"/>
      <c r="X45" s="10"/>
      <c r="Y45" s="10"/>
      <c r="Z45" s="10"/>
      <c r="AI45" s="19">
        <f t="shared" ref="AI45" si="154">AI24/AH24-1</f>
        <v>1.2734530938123751</v>
      </c>
      <c r="AJ45" s="19">
        <f>AJ24/AI24-1</f>
        <v>0.99648814749780512</v>
      </c>
      <c r="AK45" s="19">
        <f>AK24/AJ24-1</f>
        <v>-1</v>
      </c>
    </row>
    <row r="46" spans="2:101" s="3" customFormat="1" x14ac:dyDescent="0.2">
      <c r="B46" s="3" t="s">
        <v>201</v>
      </c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10">
        <f t="shared" ref="Q46:T46" si="155">+Q32/M32-1</f>
        <v>0.38761368557817244</v>
      </c>
      <c r="R46" s="10">
        <f t="shared" si="155"/>
        <v>0.46108852979081982</v>
      </c>
      <c r="S46" s="10">
        <f t="shared" si="155"/>
        <v>0.38470296004967919</v>
      </c>
      <c r="T46" s="10">
        <f t="shared" si="155"/>
        <v>0.35019008045265676</v>
      </c>
      <c r="U46" s="10">
        <f>+U32/Q32-1</f>
        <v>0.27450062421972543</v>
      </c>
      <c r="V46" s="10">
        <f t="shared" ref="V46:Z46" si="156">+V32/R32-1</f>
        <v>0.18265707694395439</v>
      </c>
      <c r="W46" s="10">
        <f t="shared" si="156"/>
        <v>-9.9999999999999978E-2</v>
      </c>
      <c r="X46" s="10">
        <f t="shared" si="156"/>
        <v>-0.10000000000000009</v>
      </c>
      <c r="Y46" s="10">
        <f t="shared" si="156"/>
        <v>-9.9999999999999978E-2</v>
      </c>
      <c r="Z46" s="10">
        <f t="shared" si="156"/>
        <v>-9.9999999999999978E-2</v>
      </c>
    </row>
    <row r="47" spans="2:101" s="3" customFormat="1" x14ac:dyDescent="0.2"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spans="2:101" s="3" customFormat="1" x14ac:dyDescent="0.2">
      <c r="B48" s="3" t="s">
        <v>37</v>
      </c>
      <c r="C48" s="10">
        <f t="shared" ref="C48:Z48" si="157">+C28/C26</f>
        <v>0.8389603877653351</v>
      </c>
      <c r="D48" s="10">
        <f t="shared" si="157"/>
        <v>0.83266570931902351</v>
      </c>
      <c r="E48" s="10">
        <f t="shared" si="157"/>
        <v>0.82385080498288044</v>
      </c>
      <c r="F48" s="10">
        <f t="shared" si="157"/>
        <v>0.83469315360056762</v>
      </c>
      <c r="G48" s="10">
        <f t="shared" si="157"/>
        <v>0.81322544272733299</v>
      </c>
      <c r="H48" s="10">
        <f t="shared" si="157"/>
        <v>0.80415729006277392</v>
      </c>
      <c r="I48" s="10">
        <f t="shared" si="157"/>
        <v>0.82126671198731027</v>
      </c>
      <c r="J48" s="10">
        <f t="shared" si="157"/>
        <v>0.83436106631249407</v>
      </c>
      <c r="K48" s="10">
        <f t="shared" si="157"/>
        <v>0.80498393189378137</v>
      </c>
      <c r="L48" s="10">
        <f t="shared" si="157"/>
        <v>0.7950981966072671</v>
      </c>
      <c r="M48" s="10">
        <f t="shared" si="157"/>
        <v>0.80465766185374943</v>
      </c>
      <c r="N48" s="10">
        <f t="shared" si="157"/>
        <v>0.81440581362211462</v>
      </c>
      <c r="O48" s="10">
        <f t="shared" si="157"/>
        <v>0.80394329601467274</v>
      </c>
      <c r="P48" s="10">
        <f t="shared" si="157"/>
        <v>0.81432059703545756</v>
      </c>
      <c r="Q48" s="10">
        <f t="shared" si="157"/>
        <v>0.80106859703550504</v>
      </c>
      <c r="R48" s="10">
        <f t="shared" si="157"/>
        <v>0.81146981081642955</v>
      </c>
      <c r="S48" s="10">
        <f t="shared" si="157"/>
        <v>0.78482872294682526</v>
      </c>
      <c r="T48" s="10">
        <f t="shared" si="157"/>
        <v>0.81985982929706469</v>
      </c>
      <c r="U48" s="10">
        <f t="shared" si="157"/>
        <v>0.79375045103557773</v>
      </c>
      <c r="V48" s="10">
        <f t="shared" si="157"/>
        <v>0.74083631276231932</v>
      </c>
      <c r="W48" s="10">
        <f t="shared" si="157"/>
        <v>0.78999999999999992</v>
      </c>
      <c r="X48" s="10">
        <f t="shared" si="157"/>
        <v>0.79</v>
      </c>
      <c r="Y48" s="10">
        <f t="shared" si="157"/>
        <v>0.79</v>
      </c>
      <c r="Z48" s="10">
        <f t="shared" si="157"/>
        <v>0.79</v>
      </c>
      <c r="AG48" s="19">
        <f t="shared" ref="AG48:AS48" si="158">+AG28/AG26</f>
        <v>0.8324617643898421</v>
      </c>
      <c r="AH48" s="19">
        <f t="shared" si="158"/>
        <v>0.81936998741106415</v>
      </c>
      <c r="AI48" s="19">
        <f t="shared" si="158"/>
        <v>0.80582795323678236</v>
      </c>
      <c r="AJ48" s="19">
        <f t="shared" si="158"/>
        <v>0.80794376277251567</v>
      </c>
      <c r="AK48" s="19">
        <f t="shared" si="158"/>
        <v>0.81</v>
      </c>
      <c r="AL48" s="19">
        <f t="shared" si="158"/>
        <v>0.81</v>
      </c>
      <c r="AM48" s="19">
        <f t="shared" si="158"/>
        <v>0.81</v>
      </c>
      <c r="AN48" s="19">
        <f t="shared" si="158"/>
        <v>0.81000000000000016</v>
      </c>
      <c r="AO48" s="19">
        <f t="shared" si="158"/>
        <v>0.81</v>
      </c>
      <c r="AP48" s="19">
        <f t="shared" si="158"/>
        <v>0.81</v>
      </c>
      <c r="AQ48" s="19">
        <f t="shared" si="158"/>
        <v>0.81</v>
      </c>
      <c r="AR48" s="19">
        <f t="shared" si="158"/>
        <v>0.81</v>
      </c>
      <c r="AS48" s="19">
        <f t="shared" si="158"/>
        <v>0.81</v>
      </c>
    </row>
    <row r="49" spans="2:50" s="3" customFormat="1" x14ac:dyDescent="0.2">
      <c r="B49" s="3" t="s">
        <v>202</v>
      </c>
      <c r="C49" s="10">
        <f t="shared" ref="C49:E49" si="159">+C33/C26</f>
        <v>0.45537355841551064</v>
      </c>
      <c r="D49" s="10">
        <f t="shared" si="159"/>
        <v>0.44312599198851182</v>
      </c>
      <c r="E49" s="10">
        <f t="shared" si="159"/>
        <v>0.42114081736723247</v>
      </c>
      <c r="F49" s="10">
        <f t="shared" ref="F49:I49" si="160">+F33/F26</f>
        <v>0.46233889085964291</v>
      </c>
      <c r="G49" s="10">
        <f t="shared" si="160"/>
        <v>0.41898255621144792</v>
      </c>
      <c r="H49" s="10">
        <f t="shared" si="160"/>
        <v>0.39239606774843067</v>
      </c>
      <c r="I49" s="10">
        <f t="shared" si="160"/>
        <v>0.40703602991162474</v>
      </c>
      <c r="J49" s="10">
        <f t="shared" ref="J49:L49" si="161">+J33/J26</f>
        <v>0.42016886443411439</v>
      </c>
      <c r="K49" s="10">
        <f t="shared" si="161"/>
        <v>0.33224333314540228</v>
      </c>
      <c r="L49" s="10">
        <f t="shared" si="161"/>
        <v>0.31909883876491679</v>
      </c>
      <c r="M49" s="10">
        <f t="shared" ref="M49:P49" si="162">+M33/M26</f>
        <v>0.37447601304145317</v>
      </c>
      <c r="N49" s="10">
        <f t="shared" si="162"/>
        <v>0.45507979481333716</v>
      </c>
      <c r="O49" s="10">
        <f t="shared" si="162"/>
        <v>0.43475602766420846</v>
      </c>
      <c r="P49" s="10">
        <f t="shared" si="162"/>
        <v>0.42531898063761736</v>
      </c>
      <c r="Q49" s="10">
        <f t="shared" ref="Q49:T49" si="163">+Q33/Q26</f>
        <v>0.35928990003447087</v>
      </c>
      <c r="R49" s="10">
        <f t="shared" si="163"/>
        <v>0.37376377297971547</v>
      </c>
      <c r="S49" s="10">
        <f t="shared" si="163"/>
        <v>0.30543213415508097</v>
      </c>
      <c r="T49" s="10">
        <f t="shared" si="163"/>
        <v>0.28998681562695161</v>
      </c>
      <c r="U49" s="10">
        <f>+U33/U26</f>
        <v>0.20437324096124701</v>
      </c>
      <c r="V49" s="10">
        <f t="shared" ref="V49:Z49" si="164">+V33/V26</f>
        <v>0.19894295041193844</v>
      </c>
      <c r="W49" s="10">
        <f t="shared" si="164"/>
        <v>0.36964391691394655</v>
      </c>
      <c r="X49" s="10">
        <f t="shared" si="164"/>
        <v>0.346149732620321</v>
      </c>
      <c r="Y49" s="10">
        <f t="shared" si="164"/>
        <v>0.23925607648059771</v>
      </c>
      <c r="Z49" s="10">
        <f t="shared" si="164"/>
        <v>0.27783698543729257</v>
      </c>
      <c r="AG49" s="10">
        <f t="shared" ref="AG49:AS49" si="165">+AG33/AG26</f>
        <v>0.44616569361366809</v>
      </c>
      <c r="AH49" s="10">
        <f t="shared" si="165"/>
        <v>0.41000325332050863</v>
      </c>
      <c r="AI49" s="10">
        <f t="shared" si="165"/>
        <v>0.3800500203571221</v>
      </c>
      <c r="AJ49" s="10">
        <f t="shared" si="165"/>
        <v>0.39645040660058173</v>
      </c>
      <c r="AK49" s="10">
        <f t="shared" si="165"/>
        <v>0.4149918959943058</v>
      </c>
      <c r="AL49" s="10">
        <f t="shared" si="165"/>
        <v>0.41423249807837342</v>
      </c>
      <c r="AM49" s="10">
        <f t="shared" si="165"/>
        <v>0.41237889488818724</v>
      </c>
      <c r="AN49" s="10">
        <f t="shared" si="165"/>
        <v>0.46405230335181041</v>
      </c>
      <c r="AO49" s="10">
        <f t="shared" si="165"/>
        <v>0.49383403342503468</v>
      </c>
      <c r="AP49" s="10">
        <f t="shared" si="165"/>
        <v>0.51467112682969474</v>
      </c>
      <c r="AQ49" s="10">
        <f t="shared" si="165"/>
        <v>0.53343365550304611</v>
      </c>
      <c r="AR49" s="10">
        <f t="shared" si="165"/>
        <v>0.55036728218751607</v>
      </c>
      <c r="AS49" s="10">
        <f t="shared" si="165"/>
        <v>0.56568713478011834</v>
      </c>
      <c r="AW49" t="s">
        <v>112</v>
      </c>
      <c r="AX49" s="3">
        <f>NPV(AX50,AL37:CW37)</f>
        <v>572407.49836020486</v>
      </c>
    </row>
    <row r="50" spans="2:50" s="3" customFormat="1" x14ac:dyDescent="0.2">
      <c r="B50" s="3" t="s">
        <v>110</v>
      </c>
      <c r="C50" s="10">
        <f t="shared" ref="C50:V50" si="166">+C36/C35</f>
        <v>0.11105169340463458</v>
      </c>
      <c r="D50" s="10">
        <f t="shared" si="166"/>
        <v>0.12985685071574643</v>
      </c>
      <c r="E50" s="10">
        <f t="shared" si="166"/>
        <v>0.13108930987821379</v>
      </c>
      <c r="F50" s="10">
        <f t="shared" si="166"/>
        <v>0.13662024840045164</v>
      </c>
      <c r="G50" s="10">
        <f t="shared" si="166"/>
        <v>0.33972098727579336</v>
      </c>
      <c r="H50" s="10">
        <f t="shared" si="166"/>
        <v>0.32435597189695553</v>
      </c>
      <c r="I50" s="10">
        <f t="shared" si="166"/>
        <v>0.16891799699822621</v>
      </c>
      <c r="J50" s="10">
        <f t="shared" si="166"/>
        <v>0.19849492856363835</v>
      </c>
      <c r="K50" s="10">
        <f t="shared" si="166"/>
        <v>0.16362395495649207</v>
      </c>
      <c r="L50" s="10">
        <f t="shared" si="166"/>
        <v>0.15543956940140272</v>
      </c>
      <c r="M50" s="10">
        <f t="shared" si="166"/>
        <v>3.5288331488995447E-2</v>
      </c>
      <c r="N50" s="10">
        <f t="shared" si="166"/>
        <v>0.14063577173496744</v>
      </c>
      <c r="O50" s="10">
        <f t="shared" si="166"/>
        <v>0.17438928975049986</v>
      </c>
      <c r="P50" s="10">
        <f t="shared" si="166"/>
        <v>0.16934388236234316</v>
      </c>
      <c r="Q50" s="10">
        <f t="shared" si="166"/>
        <v>0.12976810222432561</v>
      </c>
      <c r="R50" s="10">
        <f t="shared" si="166"/>
        <v>0.19028499448905684</v>
      </c>
      <c r="S50" s="10">
        <f t="shared" si="166"/>
        <v>0.1619892231701841</v>
      </c>
      <c r="T50" s="10">
        <f t="shared" si="166"/>
        <v>0.18311751771316884</v>
      </c>
      <c r="U50" s="10">
        <f t="shared" si="166"/>
        <v>0.21180057388809181</v>
      </c>
      <c r="V50" s="10">
        <f t="shared" si="166"/>
        <v>0.24345422019840623</v>
      </c>
      <c r="W50" s="10">
        <f t="shared" ref="W50:Z50" si="167">+W36/W35</f>
        <v>0.19</v>
      </c>
      <c r="X50" s="10">
        <f t="shared" si="167"/>
        <v>0.19</v>
      </c>
      <c r="Y50" s="10">
        <f t="shared" si="167"/>
        <v>0.19000000000000003</v>
      </c>
      <c r="Z50" s="10">
        <f t="shared" si="167"/>
        <v>0.19</v>
      </c>
      <c r="AG50" s="19">
        <f t="shared" ref="AG50:AS50" si="168">+AG36/AG35</f>
        <v>0.12814952091794488</v>
      </c>
      <c r="AH50" s="19">
        <f t="shared" si="168"/>
        <v>0.21222997450690997</v>
      </c>
      <c r="AI50" s="19">
        <f t="shared" si="168"/>
        <v>0.12157926461723931</v>
      </c>
      <c r="AJ50" s="19">
        <f t="shared" si="168"/>
        <v>0.16737162676592504</v>
      </c>
      <c r="AK50" s="19">
        <f t="shared" si="168"/>
        <v>0.18</v>
      </c>
      <c r="AL50" s="19">
        <f t="shared" si="168"/>
        <v>0.17999999999999997</v>
      </c>
      <c r="AM50" s="19">
        <f t="shared" si="168"/>
        <v>0.18</v>
      </c>
      <c r="AN50" s="19">
        <f t="shared" si="168"/>
        <v>0.18</v>
      </c>
      <c r="AO50" s="19">
        <f t="shared" si="168"/>
        <v>0.18</v>
      </c>
      <c r="AP50" s="19">
        <f t="shared" si="168"/>
        <v>0.18</v>
      </c>
      <c r="AQ50" s="19">
        <f t="shared" si="168"/>
        <v>0.18</v>
      </c>
      <c r="AR50" s="19">
        <f t="shared" si="168"/>
        <v>0.18</v>
      </c>
      <c r="AS50" s="19">
        <f t="shared" si="168"/>
        <v>0.18</v>
      </c>
      <c r="AW50" s="3" t="s">
        <v>113</v>
      </c>
      <c r="AX50" s="19">
        <v>0.08</v>
      </c>
    </row>
    <row r="51" spans="2:50" x14ac:dyDescent="0.2">
      <c r="S51" s="6"/>
      <c r="AW51" t="s">
        <v>114</v>
      </c>
      <c r="AX51" s="19">
        <v>-0.05</v>
      </c>
    </row>
    <row r="52" spans="2:50" x14ac:dyDescent="0.2">
      <c r="B52" t="s">
        <v>196</v>
      </c>
      <c r="Q52" s="6">
        <f t="shared" ref="Q52:S52" si="169">+Q53-Q67</f>
        <v>64833</v>
      </c>
      <c r="R52" s="6">
        <f t="shared" si="169"/>
        <v>54773</v>
      </c>
      <c r="S52" s="6">
        <f t="shared" si="169"/>
        <v>50665</v>
      </c>
      <c r="T52" s="6">
        <f t="shared" ref="T52:Z52" si="170">+T53-T67</f>
        <v>47025</v>
      </c>
      <c r="U52" s="6">
        <f t="shared" si="170"/>
        <v>38382</v>
      </c>
      <c r="V52" s="6">
        <f t="shared" si="170"/>
        <v>43034</v>
      </c>
      <c r="W52" s="6">
        <f t="shared" si="170"/>
        <v>51408.144499999995</v>
      </c>
      <c r="X52" s="6">
        <f t="shared" si="170"/>
        <v>59888.267779999995</v>
      </c>
      <c r="Y52" s="6">
        <f t="shared" si="170"/>
        <v>64858.658953999999</v>
      </c>
      <c r="Z52" s="6">
        <f t="shared" si="170"/>
        <v>71549.134861999992</v>
      </c>
      <c r="AW52" s="3" t="s">
        <v>111</v>
      </c>
      <c r="AX52" s="19">
        <v>0.02</v>
      </c>
    </row>
    <row r="53" spans="2:50" s="3" customFormat="1" x14ac:dyDescent="0.2">
      <c r="B53" s="3" t="s">
        <v>4</v>
      </c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>
        <f>17576+44378+6234</f>
        <v>68188</v>
      </c>
      <c r="O53" s="6">
        <f>19513+44706+6342</f>
        <v>70561</v>
      </c>
      <c r="P53" s="6">
        <f>16186+47894+6393</f>
        <v>70473</v>
      </c>
      <c r="Q53" s="6">
        <f>14496+43579+6758</f>
        <v>64833</v>
      </c>
      <c r="R53" s="6">
        <f>16601+31397+6775</f>
        <v>54773</v>
      </c>
      <c r="S53" s="6">
        <f>14886+29004+6775</f>
        <v>50665</v>
      </c>
      <c r="T53" s="6">
        <f>12681+27808+6536</f>
        <v>47025</v>
      </c>
      <c r="U53" s="6">
        <f>14308+27468+6528</f>
        <v>48304</v>
      </c>
      <c r="V53" s="6">
        <f>+U53+V37</f>
        <v>52956</v>
      </c>
      <c r="W53" s="6">
        <f>+V53+W37</f>
        <v>61330.144499999995</v>
      </c>
      <c r="X53" s="6">
        <f>+W53+X37</f>
        <v>69810.267779999995</v>
      </c>
      <c r="Y53" s="6">
        <f>+X53+Y37</f>
        <v>74780.658953999999</v>
      </c>
      <c r="Z53" s="6">
        <f>+Y53+Z37</f>
        <v>81471.134861999992</v>
      </c>
      <c r="AJ53" s="3">
        <f>+R53</f>
        <v>54773</v>
      </c>
      <c r="AK53" s="3">
        <f>+V53</f>
        <v>52956</v>
      </c>
      <c r="AL53" s="3">
        <f t="shared" ref="AL53:AS53" si="171">+AK53+AL37</f>
        <v>91452.70031</v>
      </c>
      <c r="AM53" s="3">
        <f t="shared" si="171"/>
        <v>128539.37595958399</v>
      </c>
      <c r="AN53" s="3">
        <f t="shared" si="171"/>
        <v>174698.11540627119</v>
      </c>
      <c r="AO53" s="3">
        <f t="shared" si="171"/>
        <v>226784.81076043154</v>
      </c>
      <c r="AP53" s="3">
        <f t="shared" si="171"/>
        <v>283341.56790551508</v>
      </c>
      <c r="AQ53" s="3">
        <f t="shared" si="171"/>
        <v>344394.97711457935</v>
      </c>
      <c r="AR53" s="3">
        <f t="shared" si="171"/>
        <v>409986.18257294339</v>
      </c>
      <c r="AS53" s="3">
        <f t="shared" si="171"/>
        <v>480169.992657903</v>
      </c>
      <c r="AW53" s="3" t="s">
        <v>115</v>
      </c>
      <c r="AX53" s="17">
        <f>AX49/Main!M3</f>
        <v>215.87667010339968</v>
      </c>
    </row>
    <row r="54" spans="2:50" s="3" customFormat="1" x14ac:dyDescent="0.2">
      <c r="B54" s="3" t="s">
        <v>49</v>
      </c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>
        <v>11335</v>
      </c>
      <c r="O54" s="6">
        <v>10276</v>
      </c>
      <c r="P54" s="6">
        <v>11698</v>
      </c>
      <c r="Q54" s="6">
        <v>12088</v>
      </c>
      <c r="R54" s="6">
        <v>14039</v>
      </c>
      <c r="S54" s="6">
        <v>11390</v>
      </c>
      <c r="T54" s="6">
        <v>11525</v>
      </c>
      <c r="U54" s="6">
        <v>11227</v>
      </c>
      <c r="V54" s="6"/>
      <c r="W54" s="6"/>
      <c r="X54" s="6"/>
      <c r="Y54" s="6"/>
      <c r="AW54" s="3" t="s">
        <v>116</v>
      </c>
      <c r="AX54" s="19">
        <f>AX53/Main!M2-1</f>
        <v>2.7984143349522261E-2</v>
      </c>
    </row>
    <row r="55" spans="2:50" s="3" customFormat="1" x14ac:dyDescent="0.2">
      <c r="B55" s="3" t="s">
        <v>50</v>
      </c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>
        <v>2381</v>
      </c>
      <c r="O55" s="6">
        <v>2827</v>
      </c>
      <c r="P55" s="6">
        <v>4919</v>
      </c>
      <c r="Q55" s="6">
        <v>5258</v>
      </c>
      <c r="R55" s="6">
        <v>4629</v>
      </c>
      <c r="S55" s="6">
        <v>3985</v>
      </c>
      <c r="T55" s="6">
        <v>3973</v>
      </c>
      <c r="U55" s="6">
        <v>5312</v>
      </c>
      <c r="V55" s="6"/>
      <c r="W55" s="6"/>
      <c r="X55" s="6"/>
      <c r="Y55" s="6"/>
    </row>
    <row r="56" spans="2:50" s="3" customFormat="1" x14ac:dyDescent="0.2">
      <c r="B56" s="3" t="s">
        <v>51</v>
      </c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>
        <v>45633</v>
      </c>
      <c r="O56" s="6">
        <v>47720</v>
      </c>
      <c r="P56" s="6">
        <v>50909</v>
      </c>
      <c r="Q56" s="6">
        <v>53726</v>
      </c>
      <c r="R56" s="6">
        <v>57809</v>
      </c>
      <c r="S56" s="6">
        <v>61582</v>
      </c>
      <c r="T56" s="6">
        <v>67588</v>
      </c>
      <c r="U56" s="6">
        <v>73738</v>
      </c>
      <c r="V56" s="6"/>
      <c r="W56" s="6"/>
      <c r="X56" s="6"/>
      <c r="Y56" s="6"/>
    </row>
    <row r="57" spans="2:50" s="3" customFormat="1" x14ac:dyDescent="0.2">
      <c r="B57" s="3" t="s">
        <v>52</v>
      </c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>
        <v>9348</v>
      </c>
      <c r="O57" s="6">
        <v>10202</v>
      </c>
      <c r="P57" s="6">
        <v>10525</v>
      </c>
      <c r="Q57" s="6">
        <v>11063</v>
      </c>
      <c r="R57" s="6">
        <v>12155</v>
      </c>
      <c r="S57" s="6">
        <v>12241</v>
      </c>
      <c r="T57" s="6">
        <v>14130</v>
      </c>
      <c r="U57" s="6">
        <v>13641</v>
      </c>
      <c r="V57" s="6"/>
      <c r="W57" s="6"/>
      <c r="X57" s="6"/>
      <c r="Y57" s="6"/>
    </row>
    <row r="58" spans="2:50" s="3" customFormat="1" x14ac:dyDescent="0.2">
      <c r="B58" s="3" t="s">
        <v>54</v>
      </c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>
        <f>623+19050</f>
        <v>19673</v>
      </c>
      <c r="O58" s="6">
        <f>505+19056</f>
        <v>19561</v>
      </c>
      <c r="P58" s="6">
        <f>19219+514</f>
        <v>19733</v>
      </c>
      <c r="Q58" s="6">
        <f>365+19065</f>
        <v>19430</v>
      </c>
      <c r="R58" s="6">
        <f>19197+634</f>
        <v>19831</v>
      </c>
      <c r="S58" s="6">
        <f>910+19923</f>
        <v>20833</v>
      </c>
      <c r="T58" s="6">
        <f>965+20229</f>
        <v>21194</v>
      </c>
      <c r="U58" s="6">
        <f>875+20268</f>
        <v>21143</v>
      </c>
      <c r="V58" s="6"/>
      <c r="W58" s="6"/>
      <c r="X58" s="6"/>
      <c r="Y58" s="6"/>
    </row>
    <row r="59" spans="2:50" s="3" customFormat="1" x14ac:dyDescent="0.2">
      <c r="B59" s="3" t="s">
        <v>55</v>
      </c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>
        <v>2758</v>
      </c>
      <c r="O59" s="6">
        <v>2376</v>
      </c>
      <c r="P59" s="6">
        <v>2352</v>
      </c>
      <c r="Q59" s="6">
        <v>3187</v>
      </c>
      <c r="R59" s="6">
        <v>2751</v>
      </c>
      <c r="S59" s="6">
        <v>3522</v>
      </c>
      <c r="T59" s="6">
        <v>4344</v>
      </c>
      <c r="U59" s="6">
        <v>5529</v>
      </c>
      <c r="V59" s="6"/>
      <c r="W59" s="6"/>
      <c r="X59" s="6"/>
      <c r="Y59" s="6"/>
    </row>
    <row r="60" spans="2:50" s="3" customFormat="1" x14ac:dyDescent="0.2">
      <c r="B60" s="3" t="s">
        <v>53</v>
      </c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>
        <f t="shared" ref="N60:O60" si="172">SUM(N53:N59)</f>
        <v>159316</v>
      </c>
      <c r="O60" s="6">
        <f t="shared" si="172"/>
        <v>163523</v>
      </c>
      <c r="P60" s="6">
        <f t="shared" ref="P60:Q60" si="173">SUM(P53:P59)</f>
        <v>170609</v>
      </c>
      <c r="Q60" s="6">
        <f t="shared" si="173"/>
        <v>169585</v>
      </c>
      <c r="R60" s="6">
        <f t="shared" ref="R60" si="174">SUM(R53:R59)</f>
        <v>165987</v>
      </c>
      <c r="S60" s="6">
        <f>SUM(S53:S59)</f>
        <v>164218</v>
      </c>
      <c r="T60" s="6">
        <f>SUM(T53:T59)</f>
        <v>169779</v>
      </c>
      <c r="U60" s="6">
        <f>SUM(U53:U59)</f>
        <v>178894</v>
      </c>
      <c r="V60" s="6"/>
      <c r="W60" s="6"/>
      <c r="X60" s="6"/>
      <c r="Y60" s="6"/>
    </row>
    <row r="61" spans="2:50" x14ac:dyDescent="0.2">
      <c r="S61" s="6"/>
    </row>
    <row r="62" spans="2:50" x14ac:dyDescent="0.2">
      <c r="B62" t="s">
        <v>56</v>
      </c>
      <c r="N62" s="6">
        <v>1331</v>
      </c>
      <c r="O62" s="6">
        <v>878</v>
      </c>
      <c r="P62" s="6">
        <v>973</v>
      </c>
      <c r="Q62" s="6">
        <v>2195</v>
      </c>
      <c r="R62" s="6">
        <v>4083</v>
      </c>
      <c r="S62" s="6">
        <v>3246</v>
      </c>
      <c r="T62" s="6">
        <v>4008</v>
      </c>
      <c r="U62" s="6">
        <v>3871</v>
      </c>
    </row>
    <row r="63" spans="2:50" x14ac:dyDescent="0.2">
      <c r="B63" t="s">
        <v>57</v>
      </c>
      <c r="N63" s="6">
        <v>1093</v>
      </c>
      <c r="O63" s="6">
        <v>1006</v>
      </c>
      <c r="P63" s="6">
        <v>949</v>
      </c>
      <c r="Q63" s="6">
        <v>909</v>
      </c>
      <c r="R63" s="6">
        <v>1052</v>
      </c>
      <c r="S63" s="6">
        <v>935</v>
      </c>
      <c r="T63" s="6">
        <v>982</v>
      </c>
      <c r="U63" s="6">
        <v>975</v>
      </c>
    </row>
    <row r="64" spans="2:50" x14ac:dyDescent="0.2">
      <c r="B64" t="s">
        <v>58</v>
      </c>
      <c r="N64" s="6">
        <f>1023+9631</f>
        <v>10654</v>
      </c>
      <c r="O64" s="6">
        <f>1040+10574</f>
        <v>11614</v>
      </c>
      <c r="P64" s="6">
        <f>1051+10956</f>
        <v>12007</v>
      </c>
      <c r="Q64" s="6">
        <f>1086+11554</f>
        <v>12640</v>
      </c>
      <c r="R64" s="6">
        <f>1127+12746</f>
        <v>13873</v>
      </c>
      <c r="S64" s="6">
        <f>1159+12894</f>
        <v>14053</v>
      </c>
      <c r="T64" s="6">
        <f>1275+14792</f>
        <v>16067</v>
      </c>
      <c r="U64" s="6">
        <f>1291+14687</f>
        <v>15978</v>
      </c>
    </row>
    <row r="65" spans="2:26" x14ac:dyDescent="0.2">
      <c r="B65" t="s">
        <v>59</v>
      </c>
      <c r="N65" s="6">
        <v>11152</v>
      </c>
      <c r="O65" s="6">
        <v>9411</v>
      </c>
      <c r="P65" s="6">
        <v>11510</v>
      </c>
      <c r="Q65" s="6">
        <v>13158</v>
      </c>
      <c r="R65" s="6">
        <v>14312</v>
      </c>
      <c r="S65" s="6">
        <v>15226</v>
      </c>
      <c r="T65" s="6">
        <v>15420</v>
      </c>
      <c r="U65" s="6">
        <v>16036</v>
      </c>
    </row>
    <row r="66" spans="2:26" x14ac:dyDescent="0.2">
      <c r="B66" t="s">
        <v>60</v>
      </c>
      <c r="N66" s="6">
        <v>382</v>
      </c>
      <c r="O66" s="6">
        <v>382</v>
      </c>
      <c r="P66" s="6">
        <v>391</v>
      </c>
      <c r="Q66" s="6">
        <v>464</v>
      </c>
      <c r="R66" s="6">
        <v>561</v>
      </c>
      <c r="S66" s="6">
        <v>520</v>
      </c>
      <c r="T66" s="6">
        <v>532</v>
      </c>
      <c r="U66" s="6">
        <v>514</v>
      </c>
    </row>
    <row r="67" spans="2:26" x14ac:dyDescent="0.2">
      <c r="B67" t="s">
        <v>5</v>
      </c>
      <c r="N67" s="6"/>
      <c r="O67" s="6"/>
      <c r="P67" s="6"/>
      <c r="Q67" s="6"/>
      <c r="R67" s="6"/>
      <c r="S67" s="6"/>
      <c r="T67" s="6"/>
      <c r="U67" s="6">
        <v>9922</v>
      </c>
      <c r="V67" s="6">
        <f>+U67</f>
        <v>9922</v>
      </c>
      <c r="W67" s="6">
        <f>+V67</f>
        <v>9922</v>
      </c>
      <c r="X67" s="6">
        <f>+W67</f>
        <v>9922</v>
      </c>
      <c r="Y67" s="6">
        <f>+X67</f>
        <v>9922</v>
      </c>
      <c r="Z67" s="6">
        <f>+Y67</f>
        <v>9922</v>
      </c>
    </row>
    <row r="68" spans="2:26" x14ac:dyDescent="0.2">
      <c r="B68" t="s">
        <v>65</v>
      </c>
      <c r="N68" s="6">
        <v>6414</v>
      </c>
      <c r="O68" s="6">
        <v>6575</v>
      </c>
      <c r="P68" s="6">
        <v>6552</v>
      </c>
      <c r="Q68" s="6">
        <v>6859</v>
      </c>
      <c r="R68" s="6">
        <v>7227</v>
      </c>
      <c r="S68" s="6">
        <v>7010</v>
      </c>
      <c r="T68" s="6">
        <v>7003</v>
      </c>
      <c r="U68" s="6">
        <v>7504</v>
      </c>
    </row>
    <row r="69" spans="2:26" x14ac:dyDescent="0.2">
      <c r="B69" t="s">
        <v>64</v>
      </c>
      <c r="N69" s="6">
        <v>50018</v>
      </c>
      <c r="O69" s="6">
        <v>51160</v>
      </c>
      <c r="P69" s="6">
        <v>52845</v>
      </c>
      <c r="Q69" s="6">
        <v>54334</v>
      </c>
      <c r="R69" s="6">
        <v>55811</v>
      </c>
      <c r="S69" s="6">
        <v>57512</v>
      </c>
      <c r="T69" s="6">
        <v>59929</v>
      </c>
      <c r="U69" s="6">
        <v>62092</v>
      </c>
    </row>
    <row r="70" spans="2:26" x14ac:dyDescent="0.2">
      <c r="B70" t="s">
        <v>63</v>
      </c>
      <c r="N70" s="6">
        <v>927</v>
      </c>
      <c r="O70" s="6">
        <v>154</v>
      </c>
      <c r="P70" s="6">
        <v>285</v>
      </c>
      <c r="Q70" s="6">
        <v>-207</v>
      </c>
      <c r="R70" s="6">
        <v>-693</v>
      </c>
      <c r="S70" s="6">
        <v>-1996</v>
      </c>
      <c r="T70" s="6">
        <v>-3411</v>
      </c>
      <c r="U70" s="6">
        <v>-5054</v>
      </c>
    </row>
    <row r="71" spans="2:26" x14ac:dyDescent="0.2">
      <c r="B71" t="s">
        <v>62</v>
      </c>
      <c r="N71" s="6">
        <v>77345</v>
      </c>
      <c r="O71" s="6">
        <v>82343</v>
      </c>
      <c r="P71" s="6">
        <v>85097</v>
      </c>
      <c r="Q71" s="6">
        <v>79233</v>
      </c>
      <c r="R71" s="6">
        <v>69761</v>
      </c>
      <c r="S71" s="6">
        <v>67712</v>
      </c>
      <c r="T71" s="6">
        <v>69249</v>
      </c>
      <c r="U71" s="6">
        <v>67056</v>
      </c>
    </row>
    <row r="72" spans="2:26" x14ac:dyDescent="0.2">
      <c r="B72" t="s">
        <v>61</v>
      </c>
      <c r="N72" s="6">
        <f t="shared" ref="N72:O72" si="175">SUM(N62:N71)</f>
        <v>159316</v>
      </c>
      <c r="O72" s="6">
        <f t="shared" si="175"/>
        <v>163523</v>
      </c>
      <c r="P72" s="6">
        <f t="shared" ref="P72:Q72" si="176">SUM(P62:P71)</f>
        <v>170609</v>
      </c>
      <c r="Q72" s="6">
        <f t="shared" si="176"/>
        <v>169585</v>
      </c>
      <c r="R72" s="6">
        <f t="shared" ref="R72:U72" si="177">SUM(R62:R71)</f>
        <v>165987</v>
      </c>
      <c r="S72" s="6">
        <f t="shared" si="177"/>
        <v>164218</v>
      </c>
      <c r="T72" s="6">
        <f t="shared" si="177"/>
        <v>169779</v>
      </c>
      <c r="U72" s="6">
        <f t="shared" si="177"/>
        <v>178894</v>
      </c>
    </row>
    <row r="73" spans="2:26" x14ac:dyDescent="0.2">
      <c r="S73" s="6"/>
    </row>
    <row r="74" spans="2:26" x14ac:dyDescent="0.2">
      <c r="B74" t="s">
        <v>66</v>
      </c>
      <c r="O74" s="6">
        <f t="shared" ref="O74:U74" si="178">O37</f>
        <v>9497</v>
      </c>
      <c r="P74" s="6">
        <f t="shared" si="178"/>
        <v>10394</v>
      </c>
      <c r="Q74" s="6">
        <f t="shared" si="178"/>
        <v>9194</v>
      </c>
      <c r="R74" s="6">
        <f t="shared" si="178"/>
        <v>10285</v>
      </c>
      <c r="S74" s="6">
        <f t="shared" si="178"/>
        <v>7465</v>
      </c>
      <c r="T74" s="6">
        <f t="shared" si="178"/>
        <v>6687</v>
      </c>
      <c r="U74" s="6">
        <f t="shared" si="178"/>
        <v>4395</v>
      </c>
    </row>
    <row r="75" spans="2:26" x14ac:dyDescent="0.2">
      <c r="B75" t="s">
        <v>67</v>
      </c>
      <c r="O75" s="6">
        <v>9497</v>
      </c>
      <c r="P75" s="6">
        <f>19892-O75</f>
        <v>10395</v>
      </c>
      <c r="Q75" s="6">
        <f>29085-P75-O75</f>
        <v>9193</v>
      </c>
      <c r="R75" s="6">
        <v>10285</v>
      </c>
      <c r="S75" s="6">
        <v>7465</v>
      </c>
      <c r="T75" s="6">
        <v>6687</v>
      </c>
      <c r="U75" s="6">
        <f>18547-T75-S75</f>
        <v>4395</v>
      </c>
    </row>
    <row r="76" spans="2:26" x14ac:dyDescent="0.2">
      <c r="B76" t="s">
        <v>69</v>
      </c>
      <c r="O76" s="6">
        <v>1972</v>
      </c>
      <c r="P76" s="6">
        <f>3958-O76</f>
        <v>1986</v>
      </c>
      <c r="Q76" s="6">
        <f>5953-P76-O76</f>
        <v>1995</v>
      </c>
      <c r="R76" s="6">
        <v>2014</v>
      </c>
      <c r="S76" s="6">
        <v>2156</v>
      </c>
      <c r="T76" s="6">
        <v>1979</v>
      </c>
      <c r="U76" s="6">
        <f>6310-T76-S76</f>
        <v>2175</v>
      </c>
    </row>
    <row r="77" spans="2:26" x14ac:dyDescent="0.2">
      <c r="B77" t="s">
        <v>70</v>
      </c>
      <c r="O77" s="6">
        <v>1830</v>
      </c>
      <c r="P77" s="6">
        <f>4379-O77</f>
        <v>2549</v>
      </c>
      <c r="Q77" s="6">
        <f>6757-P77-O77</f>
        <v>2378</v>
      </c>
      <c r="R77" s="6">
        <v>2406</v>
      </c>
      <c r="S77" s="6">
        <v>2498</v>
      </c>
      <c r="T77" s="6">
        <v>3351</v>
      </c>
      <c r="U77" s="6">
        <f>8984-T77-S77</f>
        <v>3135</v>
      </c>
    </row>
    <row r="78" spans="2:26" x14ac:dyDescent="0.2">
      <c r="B78" t="s">
        <v>71</v>
      </c>
      <c r="O78" s="6">
        <v>418</v>
      </c>
      <c r="P78" s="6">
        <f>647-O78</f>
        <v>229</v>
      </c>
      <c r="Q78" s="6">
        <f>-139-P78-O78</f>
        <v>-786</v>
      </c>
      <c r="R78" s="6">
        <v>748</v>
      </c>
      <c r="S78" s="6">
        <v>-563</v>
      </c>
      <c r="T78" s="6">
        <v>-453</v>
      </c>
      <c r="U78" s="6">
        <f>-2113-T78-S78</f>
        <v>-1097</v>
      </c>
    </row>
    <row r="79" spans="2:26" x14ac:dyDescent="0.2">
      <c r="B79" t="s">
        <v>55</v>
      </c>
      <c r="O79" s="6">
        <v>-66</v>
      </c>
      <c r="P79" s="6">
        <f>-88-O79</f>
        <v>-22</v>
      </c>
      <c r="Q79" s="6">
        <f>-161-P79-O79</f>
        <v>-73</v>
      </c>
      <c r="R79" s="6">
        <v>34</v>
      </c>
      <c r="S79" s="6">
        <v>-221</v>
      </c>
      <c r="T79" s="6">
        <v>189</v>
      </c>
      <c r="U79" s="6">
        <f>413-T79-S79+71</f>
        <v>516</v>
      </c>
    </row>
    <row r="80" spans="2:26" x14ac:dyDescent="0.2">
      <c r="B80" t="s">
        <v>72</v>
      </c>
      <c r="O80" s="6">
        <f>849-461-10-250-72-1681+6+210</f>
        <v>-1409</v>
      </c>
      <c r="P80" s="6">
        <f>-517-2313-195-134-133-200+9+184-O80</f>
        <v>-1890</v>
      </c>
      <c r="Q80" s="6">
        <f>-1072-2566-184+560-163+895+87+527-P80-O80</f>
        <v>1383</v>
      </c>
      <c r="R80" s="6">
        <f>-2038+817-165+876+151+2462+100+414</f>
        <v>2617</v>
      </c>
      <c r="S80" s="6">
        <f>2557+573-108-882-105+763-52-5</f>
        <v>2741</v>
      </c>
      <c r="T80" s="6">
        <f>-522-435-25+237+73+1180+24-88</f>
        <v>444</v>
      </c>
      <c r="U80" s="6">
        <f>1930-693-160-666-12+2942-35+446-T80-S80</f>
        <v>567</v>
      </c>
    </row>
    <row r="81" spans="2:25" x14ac:dyDescent="0.2">
      <c r="B81" t="s">
        <v>68</v>
      </c>
      <c r="O81" s="6">
        <f t="shared" ref="O81:U81" si="179">SUM(O75:O80)</f>
        <v>12242</v>
      </c>
      <c r="P81" s="6">
        <f t="shared" si="179"/>
        <v>13247</v>
      </c>
      <c r="Q81" s="6">
        <f t="shared" si="179"/>
        <v>14090</v>
      </c>
      <c r="R81" s="6">
        <f t="shared" si="179"/>
        <v>18104</v>
      </c>
      <c r="S81" s="6">
        <f t="shared" si="179"/>
        <v>14076</v>
      </c>
      <c r="T81" s="6">
        <f t="shared" si="179"/>
        <v>12197</v>
      </c>
      <c r="U81" s="6">
        <f t="shared" si="179"/>
        <v>9691</v>
      </c>
    </row>
    <row r="82" spans="2:25" x14ac:dyDescent="0.2">
      <c r="S82" s="6"/>
      <c r="T82" s="6"/>
    </row>
    <row r="83" spans="2:25" s="3" customFormat="1" x14ac:dyDescent="0.2">
      <c r="B83" s="3" t="s">
        <v>73</v>
      </c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>
        <v>-4272</v>
      </c>
      <c r="P83" s="6">
        <f>-8884-O83</f>
        <v>-4612</v>
      </c>
      <c r="Q83" s="6">
        <f>-13198-P83-O83</f>
        <v>-4314</v>
      </c>
      <c r="R83" s="6">
        <v>-5370</v>
      </c>
      <c r="S83" s="6">
        <f>-5441+126</f>
        <v>-5315</v>
      </c>
      <c r="T83" s="6">
        <f>-7572+44</f>
        <v>-7528</v>
      </c>
      <c r="U83" s="6">
        <f>-22388-T83-S83+190</f>
        <v>-9355</v>
      </c>
      <c r="V83" s="6"/>
      <c r="W83" s="6"/>
      <c r="X83" s="6"/>
      <c r="Y83" s="6"/>
    </row>
    <row r="84" spans="2:25" s="3" customFormat="1" x14ac:dyDescent="0.2">
      <c r="B84" s="3" t="s">
        <v>74</v>
      </c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>
        <f>-6231+1650+3981-2</f>
        <v>-602</v>
      </c>
      <c r="P84" s="6">
        <f>-16528+6337+6327-O84-62</f>
        <v>-3324</v>
      </c>
      <c r="Q84" s="6">
        <f>-24314+15331+9318-46-160-P84-O84</f>
        <v>4055</v>
      </c>
      <c r="R84" s="6">
        <f>-6093+16340+1598-2-123</f>
        <v>11720</v>
      </c>
      <c r="S84" s="6">
        <f>-4068+5065+402-10</f>
        <v>1389</v>
      </c>
      <c r="T84" s="6">
        <f>-2220+2648+511-7</f>
        <v>932</v>
      </c>
      <c r="U84" s="6">
        <f>-8885+9333+1562-T84-S84</f>
        <v>-311</v>
      </c>
      <c r="V84" s="6"/>
      <c r="W84" s="6"/>
      <c r="X84" s="6"/>
      <c r="Y84" s="6"/>
    </row>
    <row r="85" spans="2:25" s="3" customFormat="1" x14ac:dyDescent="0.2">
      <c r="B85" s="3" t="s">
        <v>75</v>
      </c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>
        <v>0</v>
      </c>
      <c r="P85" s="6">
        <f>-259-O85</f>
        <v>-259</v>
      </c>
      <c r="Q85" s="6">
        <f>-330-P85-O85</f>
        <v>-71</v>
      </c>
      <c r="R85" s="6">
        <v>-521</v>
      </c>
      <c r="S85" s="6">
        <v>-853</v>
      </c>
      <c r="T85" s="6">
        <v>-363</v>
      </c>
      <c r="U85" s="6">
        <f>-1250-1-T85-S85</f>
        <v>-35</v>
      </c>
      <c r="V85" s="6"/>
      <c r="W85" s="6"/>
      <c r="X85" s="6"/>
      <c r="Y85" s="6"/>
    </row>
    <row r="86" spans="2:25" s="3" customFormat="1" x14ac:dyDescent="0.2">
      <c r="B86" s="3" t="s">
        <v>76</v>
      </c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>
        <f t="shared" ref="O86:U86" si="180">SUM(O83:O85)</f>
        <v>-4874</v>
      </c>
      <c r="P86" s="6">
        <f t="shared" si="180"/>
        <v>-8195</v>
      </c>
      <c r="Q86" s="6">
        <f t="shared" si="180"/>
        <v>-330</v>
      </c>
      <c r="R86" s="6">
        <f t="shared" si="180"/>
        <v>5829</v>
      </c>
      <c r="S86" s="6">
        <f t="shared" si="180"/>
        <v>-4779</v>
      </c>
      <c r="T86" s="6">
        <f t="shared" si="180"/>
        <v>-6959</v>
      </c>
      <c r="U86" s="6">
        <f t="shared" si="180"/>
        <v>-9701</v>
      </c>
      <c r="V86" s="6"/>
      <c r="W86" s="6"/>
      <c r="X86" s="6"/>
      <c r="Y86" s="6"/>
    </row>
    <row r="87" spans="2:25" s="3" customFormat="1" x14ac:dyDescent="0.2"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2:25" s="3" customFormat="1" x14ac:dyDescent="0.2">
      <c r="B88" s="3" t="s">
        <v>77</v>
      </c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>
        <v>-1077</v>
      </c>
      <c r="P88" s="6">
        <f>-2432-O88</f>
        <v>-1355</v>
      </c>
      <c r="Q88" s="6">
        <f>-4007-P88-O88</f>
        <v>-1575</v>
      </c>
      <c r="R88" s="6">
        <v>-1507</v>
      </c>
      <c r="S88" s="6">
        <v>-925</v>
      </c>
      <c r="T88" s="6">
        <v>-1002</v>
      </c>
      <c r="U88" s="6">
        <f>-2938-T88-S88</f>
        <v>-1011</v>
      </c>
      <c r="V88" s="6"/>
      <c r="W88" s="6"/>
      <c r="X88" s="6"/>
      <c r="Y88" s="6"/>
    </row>
    <row r="89" spans="2:25" s="7" customFormat="1" x14ac:dyDescent="0.2">
      <c r="B89" s="7" t="s">
        <v>78</v>
      </c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>
        <v>-3939</v>
      </c>
      <c r="P89" s="8">
        <f>-11018-O89</f>
        <v>-7079</v>
      </c>
      <c r="Q89" s="8">
        <f>-24476-P89-O89</f>
        <v>-13458</v>
      </c>
      <c r="R89" s="8">
        <v>-20063</v>
      </c>
      <c r="S89" s="8">
        <v>-9506</v>
      </c>
      <c r="T89" s="8">
        <v>-5233</v>
      </c>
      <c r="U89" s="8">
        <f>-21093-T89-S89</f>
        <v>-6354</v>
      </c>
      <c r="V89" s="8"/>
      <c r="W89" s="8"/>
      <c r="X89" s="8"/>
      <c r="Y89" s="8"/>
    </row>
    <row r="90" spans="2:25" s="3" customFormat="1" x14ac:dyDescent="0.2">
      <c r="B90" s="3" t="s">
        <v>5</v>
      </c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>
        <v>0</v>
      </c>
      <c r="T90" s="6">
        <v>0</v>
      </c>
      <c r="U90" s="6">
        <f>9921-T90-S90</f>
        <v>9921</v>
      </c>
      <c r="V90" s="6"/>
      <c r="W90" s="6"/>
      <c r="X90" s="6"/>
      <c r="Y90" s="6"/>
    </row>
    <row r="91" spans="2:25" s="3" customFormat="1" x14ac:dyDescent="0.2">
      <c r="B91" s="3" t="s">
        <v>55</v>
      </c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>
        <f>-151+32-50</f>
        <v>-169</v>
      </c>
      <c r="P91" s="6">
        <f>-274-O91+3-13</f>
        <v>-115</v>
      </c>
      <c r="Q91" s="6">
        <f>-505+15-13-P91-O91</f>
        <v>-219</v>
      </c>
      <c r="R91" s="6">
        <v>-172</v>
      </c>
      <c r="S91" s="6">
        <f>-233+20-16</f>
        <v>-229</v>
      </c>
      <c r="T91" s="6">
        <f>-219-79-30</f>
        <v>-328</v>
      </c>
      <c r="U91" s="6">
        <f>-615-250-101-T91-S91</f>
        <v>-409</v>
      </c>
      <c r="V91" s="6"/>
      <c r="W91" s="6"/>
      <c r="X91" s="6"/>
      <c r="Y91" s="6"/>
    </row>
    <row r="92" spans="2:25" s="3" customFormat="1" x14ac:dyDescent="0.2">
      <c r="B92" s="3" t="s">
        <v>79</v>
      </c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>
        <f t="shared" ref="O92:Q92" si="181">SUM(O88:O91)</f>
        <v>-5185</v>
      </c>
      <c r="P92" s="6">
        <f t="shared" si="181"/>
        <v>-8549</v>
      </c>
      <c r="Q92" s="6">
        <f t="shared" si="181"/>
        <v>-15252</v>
      </c>
      <c r="R92" s="6">
        <f t="shared" ref="R92" si="182">SUM(R88:R91)</f>
        <v>-21742</v>
      </c>
      <c r="S92" s="6">
        <f>SUM(S88:S91)</f>
        <v>-10660</v>
      </c>
      <c r="T92" s="6">
        <f>SUM(T88:T91)</f>
        <v>-6563</v>
      </c>
      <c r="U92" s="6">
        <f>SUM(U88:U91)</f>
        <v>2147</v>
      </c>
      <c r="V92" s="6"/>
      <c r="W92" s="6"/>
      <c r="X92" s="6"/>
      <c r="Y92" s="6"/>
    </row>
    <row r="93" spans="2:25" x14ac:dyDescent="0.2">
      <c r="B93" t="s">
        <v>80</v>
      </c>
      <c r="O93" s="1">
        <v>-246</v>
      </c>
      <c r="P93" s="1">
        <f>-129-O93</f>
        <v>117</v>
      </c>
      <c r="Q93" s="1">
        <f>-344-P93-O93</f>
        <v>-215</v>
      </c>
      <c r="R93" s="1">
        <v>-130</v>
      </c>
      <c r="S93" s="6">
        <v>-149</v>
      </c>
      <c r="T93" s="1">
        <v>-550</v>
      </c>
      <c r="U93" s="6">
        <f>-1063-T93-S93</f>
        <v>-364</v>
      </c>
    </row>
    <row r="94" spans="2:25" x14ac:dyDescent="0.2">
      <c r="B94" t="s">
        <v>81</v>
      </c>
      <c r="O94" s="6">
        <f t="shared" ref="O94:U94" si="183">+O93+O92+O86+O81</f>
        <v>1937</v>
      </c>
      <c r="P94" s="6">
        <f t="shared" si="183"/>
        <v>-3380</v>
      </c>
      <c r="Q94" s="6">
        <f t="shared" si="183"/>
        <v>-1707</v>
      </c>
      <c r="R94" s="6">
        <f t="shared" si="183"/>
        <v>2061</v>
      </c>
      <c r="S94" s="6">
        <f t="shared" si="183"/>
        <v>-1512</v>
      </c>
      <c r="T94" s="6">
        <f t="shared" si="183"/>
        <v>-1875</v>
      </c>
      <c r="U94" s="6">
        <f t="shared" si="183"/>
        <v>1773</v>
      </c>
    </row>
    <row r="95" spans="2:25" x14ac:dyDescent="0.2">
      <c r="S95" s="6"/>
    </row>
    <row r="96" spans="2:25" s="3" customFormat="1" x14ac:dyDescent="0.2">
      <c r="B96" s="3" t="s">
        <v>35</v>
      </c>
      <c r="C96" s="6"/>
      <c r="D96" s="6"/>
      <c r="E96" s="6"/>
      <c r="F96" s="6"/>
      <c r="G96" s="6"/>
      <c r="H96" s="6"/>
      <c r="I96" s="6">
        <v>43030</v>
      </c>
      <c r="J96" s="6">
        <v>44942</v>
      </c>
      <c r="K96" s="6"/>
      <c r="L96" s="6"/>
      <c r="M96" s="6"/>
      <c r="N96" s="6"/>
      <c r="O96" s="6"/>
      <c r="P96" s="6"/>
      <c r="Q96" s="6"/>
      <c r="R96" s="6">
        <v>71970</v>
      </c>
      <c r="S96" s="6">
        <v>77805</v>
      </c>
      <c r="T96" s="6">
        <v>83553</v>
      </c>
      <c r="U96" s="6">
        <v>87314</v>
      </c>
      <c r="V96" s="6">
        <v>86000</v>
      </c>
      <c r="W96" s="6"/>
      <c r="X96" s="6"/>
      <c r="Y96" s="6"/>
    </row>
    <row r="97" spans="2:25" x14ac:dyDescent="0.2">
      <c r="B97" t="s">
        <v>200</v>
      </c>
      <c r="S97" s="6">
        <f>+S96-R96</f>
        <v>5835</v>
      </c>
      <c r="T97" s="6">
        <f>+T96-S96</f>
        <v>5748</v>
      </c>
      <c r="U97" s="6">
        <f>+U96-T96</f>
        <v>3761</v>
      </c>
    </row>
    <row r="98" spans="2:25" x14ac:dyDescent="0.2">
      <c r="S98" s="6"/>
      <c r="T98" s="6"/>
    </row>
    <row r="99" spans="2:25" x14ac:dyDescent="0.2">
      <c r="B99" t="s">
        <v>127</v>
      </c>
      <c r="O99" s="6">
        <f>+O81+O83</f>
        <v>7970</v>
      </c>
      <c r="P99" s="6">
        <f t="shared" ref="P99:S99" si="184">+P81+P83</f>
        <v>8635</v>
      </c>
      <c r="Q99" s="6">
        <f t="shared" si="184"/>
        <v>9776</v>
      </c>
      <c r="R99" s="6">
        <f t="shared" si="184"/>
        <v>12734</v>
      </c>
      <c r="S99" s="6">
        <f t="shared" si="184"/>
        <v>8761</v>
      </c>
      <c r="T99" s="6">
        <f>+T81+T83</f>
        <v>4669</v>
      </c>
      <c r="U99" s="6">
        <f>+U81+U83</f>
        <v>336</v>
      </c>
    </row>
    <row r="100" spans="2:25" x14ac:dyDescent="0.2">
      <c r="B100" t="s">
        <v>128</v>
      </c>
      <c r="R100" s="6">
        <f t="shared" ref="R100:S100" si="185">SUM(O99:R99)</f>
        <v>39115</v>
      </c>
      <c r="S100" s="6">
        <f t="shared" si="185"/>
        <v>39906</v>
      </c>
      <c r="T100" s="6">
        <f>SUM(Q99:T99)</f>
        <v>35940</v>
      </c>
      <c r="U100" s="6">
        <f>SUM(R99:U99)</f>
        <v>26500</v>
      </c>
    </row>
    <row r="102" spans="2:25" s="3" customFormat="1" x14ac:dyDescent="0.2">
      <c r="B102" s="3" t="s">
        <v>195</v>
      </c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>
        <v>-2631</v>
      </c>
      <c r="R102" s="6"/>
      <c r="S102" s="6"/>
      <c r="T102" s="6"/>
      <c r="U102" s="6">
        <v>-3672</v>
      </c>
      <c r="V102" s="6"/>
      <c r="W102" s="6"/>
      <c r="X102" s="6"/>
      <c r="Y102" s="6"/>
    </row>
    <row r="103" spans="2:25" x14ac:dyDescent="0.2">
      <c r="B103" t="s">
        <v>198</v>
      </c>
      <c r="Q103" s="10"/>
      <c r="R103" s="10">
        <f>SUM(Q24:R24)/SUM(M24:N24)-1</f>
        <v>1.0013947001394699</v>
      </c>
      <c r="S103" s="10">
        <f>SUM(R24:S24)/SUM(N24:O24)-1</f>
        <v>0.25659472422062346</v>
      </c>
      <c r="T103" s="10">
        <f>SUM(S24:T24)/SUM(O24:P24)-1</f>
        <v>0.36710369487485095</v>
      </c>
      <c r="U103" s="10">
        <f>SUM(T24:U24)/SUM(P24:Q24)-1</f>
        <v>-0.14600231749710313</v>
      </c>
    </row>
    <row r="105" spans="2:25" x14ac:dyDescent="0.2">
      <c r="B105" t="s">
        <v>199</v>
      </c>
      <c r="Q105" s="6">
        <v>13054</v>
      </c>
      <c r="R105" s="6"/>
      <c r="S105" s="6"/>
      <c r="T105" s="6"/>
      <c r="U105" s="6">
        <v>9336</v>
      </c>
    </row>
    <row r="106" spans="2:25" x14ac:dyDescent="0.2">
      <c r="B106" t="s">
        <v>203</v>
      </c>
      <c r="U106" s="10">
        <f>+U105/U26</f>
        <v>0.33686945226239445</v>
      </c>
    </row>
    <row r="108" spans="2:25" x14ac:dyDescent="0.2">
      <c r="B108" t="s">
        <v>204</v>
      </c>
    </row>
  </sheetData>
  <hyperlinks>
    <hyperlink ref="A1" location="Main!A1" display="Main" xr:uid="{2BEFFC4D-3A75-4DC4-9B53-54835175238C}"/>
  </hyperlink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23622-E2D2-4236-A05B-563099E7C6CE}">
  <dimension ref="A1:H29"/>
  <sheetViews>
    <sheetView zoomScale="190" zoomScaleNormal="19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30" sqref="B30"/>
    </sheetView>
  </sheetViews>
  <sheetFormatPr defaultRowHeight="12.75" x14ac:dyDescent="0.2"/>
  <cols>
    <col min="1" max="1" width="5" bestFit="1" customWidth="1"/>
    <col min="2" max="2" width="9.28515625" bestFit="1" customWidth="1"/>
    <col min="3" max="3" width="10.42578125" bestFit="1" customWidth="1"/>
  </cols>
  <sheetData>
    <row r="1" spans="1:8" x14ac:dyDescent="0.2">
      <c r="A1" t="s">
        <v>7</v>
      </c>
    </row>
    <row r="2" spans="1:8" x14ac:dyDescent="0.2">
      <c r="B2" t="s">
        <v>129</v>
      </c>
      <c r="C2" t="s">
        <v>131</v>
      </c>
      <c r="D2" t="s">
        <v>132</v>
      </c>
      <c r="E2" t="s">
        <v>134</v>
      </c>
      <c r="F2" t="s">
        <v>136</v>
      </c>
      <c r="G2" t="s">
        <v>138</v>
      </c>
      <c r="H2" t="s">
        <v>130</v>
      </c>
    </row>
    <row r="3" spans="1:8" x14ac:dyDescent="0.2">
      <c r="B3">
        <v>11449606</v>
      </c>
      <c r="C3" s="20">
        <v>44215</v>
      </c>
      <c r="D3" s="20">
        <v>44824</v>
      </c>
      <c r="E3" s="20" t="s">
        <v>135</v>
      </c>
      <c r="F3" s="20" t="s">
        <v>137</v>
      </c>
      <c r="G3">
        <v>3</v>
      </c>
      <c r="H3" t="s">
        <v>133</v>
      </c>
    </row>
    <row r="4" spans="1:8" x14ac:dyDescent="0.2">
      <c r="B4">
        <v>11449189</v>
      </c>
      <c r="C4" s="20">
        <v>43740</v>
      </c>
      <c r="D4" s="20">
        <v>44824</v>
      </c>
      <c r="E4" t="s">
        <v>135</v>
      </c>
      <c r="F4" t="s">
        <v>140</v>
      </c>
      <c r="G4">
        <v>4</v>
      </c>
      <c r="H4" t="s">
        <v>139</v>
      </c>
    </row>
    <row r="5" spans="1:8" x14ac:dyDescent="0.2">
      <c r="B5">
        <v>11448803</v>
      </c>
      <c r="C5" s="20">
        <v>43836</v>
      </c>
      <c r="D5" s="20">
        <v>44824</v>
      </c>
      <c r="E5" t="s">
        <v>141</v>
      </c>
      <c r="F5" t="s">
        <v>142</v>
      </c>
      <c r="G5">
        <v>3</v>
      </c>
      <c r="H5" t="s">
        <v>143</v>
      </c>
    </row>
    <row r="6" spans="1:8" x14ac:dyDescent="0.2">
      <c r="B6">
        <v>11442272</v>
      </c>
      <c r="C6" s="20">
        <v>43902</v>
      </c>
      <c r="D6" s="20">
        <v>44817</v>
      </c>
      <c r="E6" t="s">
        <v>135</v>
      </c>
      <c r="F6" t="s">
        <v>144</v>
      </c>
      <c r="G6">
        <v>3</v>
      </c>
      <c r="H6" t="s">
        <v>145</v>
      </c>
    </row>
    <row r="7" spans="1:8" x14ac:dyDescent="0.2">
      <c r="B7">
        <v>11441702</v>
      </c>
      <c r="C7" s="20">
        <v>43594</v>
      </c>
      <c r="D7" s="20">
        <v>44817</v>
      </c>
      <c r="E7" t="s">
        <v>146</v>
      </c>
      <c r="G7">
        <v>3</v>
      </c>
      <c r="H7" t="s">
        <v>147</v>
      </c>
    </row>
    <row r="8" spans="1:8" x14ac:dyDescent="0.2">
      <c r="B8">
        <v>11436793</v>
      </c>
      <c r="C8" s="20">
        <v>44239</v>
      </c>
      <c r="D8" s="20">
        <v>44810</v>
      </c>
      <c r="E8" t="s">
        <v>148</v>
      </c>
      <c r="F8" t="s">
        <v>149</v>
      </c>
      <c r="G8">
        <v>3</v>
      </c>
      <c r="H8" t="s">
        <v>150</v>
      </c>
    </row>
    <row r="9" spans="1:8" x14ac:dyDescent="0.2">
      <c r="B9">
        <v>11435820</v>
      </c>
      <c r="C9" s="20">
        <v>43601</v>
      </c>
      <c r="D9" s="20">
        <v>44810</v>
      </c>
      <c r="E9" t="s">
        <v>135</v>
      </c>
      <c r="F9" t="s">
        <v>151</v>
      </c>
      <c r="G9">
        <v>3</v>
      </c>
      <c r="H9" t="s">
        <v>152</v>
      </c>
    </row>
    <row r="10" spans="1:8" x14ac:dyDescent="0.2">
      <c r="B10">
        <v>11435448</v>
      </c>
      <c r="C10" s="20">
        <v>44071</v>
      </c>
      <c r="D10" s="20">
        <v>44810</v>
      </c>
      <c r="E10" t="s">
        <v>148</v>
      </c>
      <c r="F10" t="s">
        <v>153</v>
      </c>
      <c r="G10">
        <v>3</v>
      </c>
      <c r="H10" t="s">
        <v>154</v>
      </c>
    </row>
    <row r="11" spans="1:8" x14ac:dyDescent="0.2">
      <c r="B11">
        <v>11431955</v>
      </c>
      <c r="C11" s="20">
        <v>43802</v>
      </c>
      <c r="D11" s="20">
        <v>44803</v>
      </c>
      <c r="E11" t="s">
        <v>146</v>
      </c>
      <c r="F11" t="s">
        <v>156</v>
      </c>
      <c r="G11">
        <v>3</v>
      </c>
      <c r="H11" t="s">
        <v>155</v>
      </c>
    </row>
    <row r="12" spans="1:8" x14ac:dyDescent="0.2">
      <c r="B12">
        <v>11430398</v>
      </c>
      <c r="C12" s="20">
        <v>44455</v>
      </c>
      <c r="D12" s="20">
        <v>44803</v>
      </c>
      <c r="E12" t="s">
        <v>157</v>
      </c>
      <c r="F12" t="s">
        <v>158</v>
      </c>
      <c r="G12">
        <v>3</v>
      </c>
      <c r="H12" t="s">
        <v>159</v>
      </c>
    </row>
    <row r="13" spans="1:8" x14ac:dyDescent="0.2">
      <c r="B13">
        <v>11430141</v>
      </c>
      <c r="C13" s="20">
        <v>43844</v>
      </c>
      <c r="D13" s="20">
        <v>44803</v>
      </c>
      <c r="E13" t="s">
        <v>135</v>
      </c>
      <c r="F13" t="s">
        <v>161</v>
      </c>
      <c r="G13">
        <v>4</v>
      </c>
      <c r="H13" t="s">
        <v>160</v>
      </c>
    </row>
    <row r="14" spans="1:8" x14ac:dyDescent="0.2">
      <c r="B14">
        <v>11430085</v>
      </c>
      <c r="C14" s="20">
        <v>44096</v>
      </c>
      <c r="D14" s="20">
        <v>44803</v>
      </c>
      <c r="E14" t="s">
        <v>146</v>
      </c>
      <c r="F14" t="s">
        <v>162</v>
      </c>
      <c r="G14">
        <v>3</v>
      </c>
      <c r="H14" t="s">
        <v>163</v>
      </c>
    </row>
    <row r="15" spans="1:8" x14ac:dyDescent="0.2">
      <c r="B15">
        <v>11425523</v>
      </c>
      <c r="C15" s="20">
        <v>43931</v>
      </c>
      <c r="D15" s="20">
        <v>44796</v>
      </c>
      <c r="E15" t="s">
        <v>141</v>
      </c>
      <c r="F15" t="s">
        <v>164</v>
      </c>
      <c r="G15">
        <v>3</v>
      </c>
      <c r="H15" t="s">
        <v>165</v>
      </c>
    </row>
    <row r="16" spans="1:8" x14ac:dyDescent="0.2">
      <c r="B16">
        <v>11423621</v>
      </c>
      <c r="C16" s="20">
        <v>43972</v>
      </c>
      <c r="D16" s="20">
        <v>44796</v>
      </c>
      <c r="E16" t="s">
        <v>166</v>
      </c>
      <c r="F16" t="s">
        <v>167</v>
      </c>
      <c r="G16">
        <v>3</v>
      </c>
      <c r="H16" t="s">
        <v>168</v>
      </c>
    </row>
    <row r="17" spans="2:8" x14ac:dyDescent="0.2">
      <c r="B17">
        <v>11423616</v>
      </c>
      <c r="C17" s="20">
        <v>43917</v>
      </c>
      <c r="D17" s="20">
        <v>44796</v>
      </c>
      <c r="E17" t="s">
        <v>157</v>
      </c>
      <c r="F17" t="s">
        <v>169</v>
      </c>
      <c r="G17">
        <v>4</v>
      </c>
      <c r="H17" t="s">
        <v>170</v>
      </c>
    </row>
    <row r="18" spans="2:8" x14ac:dyDescent="0.2">
      <c r="B18">
        <v>11423520</v>
      </c>
      <c r="C18" s="20">
        <v>44134</v>
      </c>
      <c r="D18" s="20">
        <v>44796</v>
      </c>
      <c r="E18" t="s">
        <v>166</v>
      </c>
      <c r="F18" t="s">
        <v>171</v>
      </c>
      <c r="G18">
        <v>3</v>
      </c>
      <c r="H18" t="s">
        <v>172</v>
      </c>
    </row>
    <row r="19" spans="2:8" x14ac:dyDescent="0.2">
      <c r="B19">
        <v>11423152</v>
      </c>
      <c r="C19" s="20">
        <v>43690</v>
      </c>
      <c r="D19" s="20">
        <v>44796</v>
      </c>
      <c r="E19" t="s">
        <v>148</v>
      </c>
      <c r="G19">
        <v>3</v>
      </c>
      <c r="H19" t="s">
        <v>173</v>
      </c>
    </row>
    <row r="20" spans="2:8" x14ac:dyDescent="0.2">
      <c r="B20">
        <v>11422669</v>
      </c>
      <c r="C20" s="20">
        <v>43623</v>
      </c>
      <c r="D20" s="20">
        <v>44796</v>
      </c>
      <c r="E20" t="s">
        <v>135</v>
      </c>
      <c r="F20" t="s">
        <v>174</v>
      </c>
      <c r="G20">
        <v>4</v>
      </c>
      <c r="H20" t="s">
        <v>175</v>
      </c>
    </row>
    <row r="21" spans="2:8" x14ac:dyDescent="0.2">
      <c r="B21">
        <v>11422373</v>
      </c>
      <c r="C21" s="20">
        <v>43868</v>
      </c>
      <c r="D21" s="20">
        <v>44796</v>
      </c>
      <c r="E21" t="s">
        <v>148</v>
      </c>
      <c r="F21" t="s">
        <v>177</v>
      </c>
      <c r="G21">
        <v>3</v>
      </c>
      <c r="H21" t="s">
        <v>176</v>
      </c>
    </row>
    <row r="22" spans="2:8" x14ac:dyDescent="0.2">
      <c r="B22">
        <v>11417054</v>
      </c>
      <c r="C22" s="20">
        <v>44272</v>
      </c>
      <c r="D22" s="20">
        <v>44789</v>
      </c>
      <c r="E22" t="s">
        <v>157</v>
      </c>
      <c r="F22" t="s">
        <v>178</v>
      </c>
      <c r="G22">
        <v>3</v>
      </c>
      <c r="H22" t="s">
        <v>179</v>
      </c>
    </row>
    <row r="23" spans="2:8" x14ac:dyDescent="0.2">
      <c r="B23">
        <v>11416239</v>
      </c>
      <c r="C23" s="20">
        <v>44195</v>
      </c>
      <c r="D23" s="20">
        <v>44789</v>
      </c>
      <c r="E23" t="s">
        <v>166</v>
      </c>
      <c r="F23" t="s">
        <v>180</v>
      </c>
      <c r="G23">
        <v>3</v>
      </c>
      <c r="H23" t="s">
        <v>181</v>
      </c>
    </row>
    <row r="24" spans="2:8" x14ac:dyDescent="0.2">
      <c r="B24">
        <v>11416075</v>
      </c>
      <c r="C24" s="20">
        <v>43915</v>
      </c>
      <c r="D24" s="20">
        <v>44789</v>
      </c>
      <c r="E24" t="s">
        <v>148</v>
      </c>
      <c r="F24" t="s">
        <v>182</v>
      </c>
      <c r="G24">
        <v>5</v>
      </c>
      <c r="H24" t="s">
        <v>183</v>
      </c>
    </row>
    <row r="25" spans="2:8" x14ac:dyDescent="0.2">
      <c r="B25">
        <v>11416067</v>
      </c>
      <c r="C25" s="20">
        <v>44452</v>
      </c>
      <c r="D25" s="20">
        <v>44789</v>
      </c>
      <c r="E25" t="s">
        <v>141</v>
      </c>
      <c r="F25" t="s">
        <v>184</v>
      </c>
      <c r="G25">
        <v>3</v>
      </c>
      <c r="H25" t="s">
        <v>185</v>
      </c>
    </row>
    <row r="26" spans="2:8" x14ac:dyDescent="0.2">
      <c r="B26">
        <v>11415880</v>
      </c>
      <c r="C26" s="20">
        <v>43483</v>
      </c>
      <c r="D26" s="20">
        <v>44789</v>
      </c>
      <c r="E26" t="s">
        <v>146</v>
      </c>
      <c r="F26" t="s">
        <v>186</v>
      </c>
      <c r="G26">
        <v>3</v>
      </c>
      <c r="H26" t="s">
        <v>187</v>
      </c>
    </row>
    <row r="27" spans="2:8" x14ac:dyDescent="0.2">
      <c r="B27">
        <v>11415808</v>
      </c>
      <c r="C27" s="20">
        <v>43818</v>
      </c>
      <c r="D27" s="20">
        <v>44789</v>
      </c>
      <c r="E27" t="s">
        <v>146</v>
      </c>
      <c r="F27" t="s">
        <v>189</v>
      </c>
      <c r="G27">
        <v>3</v>
      </c>
      <c r="H27" t="s">
        <v>188</v>
      </c>
    </row>
    <row r="28" spans="2:8" x14ac:dyDescent="0.2">
      <c r="B28" t="s">
        <v>190</v>
      </c>
      <c r="C28" s="20">
        <v>44537</v>
      </c>
      <c r="D28" s="20">
        <v>44782</v>
      </c>
      <c r="E28" t="s">
        <v>148</v>
      </c>
      <c r="F28" t="s">
        <v>191</v>
      </c>
      <c r="G28">
        <v>3</v>
      </c>
      <c r="H28" t="s">
        <v>192</v>
      </c>
    </row>
    <row r="29" spans="2:8" x14ac:dyDescent="0.2">
      <c r="B29">
        <v>11412511</v>
      </c>
      <c r="C29" s="20">
        <v>43956</v>
      </c>
      <c r="D29" s="20">
        <v>44782</v>
      </c>
      <c r="E29" t="s">
        <v>141</v>
      </c>
      <c r="F29" t="s">
        <v>193</v>
      </c>
      <c r="G29">
        <v>3</v>
      </c>
      <c r="H29" t="s">
        <v>194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2022-06-11T17:53:18Z</dcterms:created>
  <dcterms:modified xsi:type="dcterms:W3CDTF">2023-04-27T03:50:02Z</dcterms:modified>
</cp:coreProperties>
</file>