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FB82DE44-EED5-EC4B-89B5-B32413442BF5}" xr6:coauthVersionLast="47" xr6:coauthVersionMax="47" xr10:uidLastSave="{00000000-0000-0000-0000-000000000000}"/>
  <bookViews>
    <workbookView xWindow="-42940" yWindow="180" windowWidth="20760" windowHeight="16500" activeTab="6"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Math" sheetId="13" r:id="rId14"/>
  </sheets>
  <externalReferences>
    <externalReference r:id="rId15"/>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15" l="1"/>
  <c r="I34" i="15"/>
  <c r="I33" i="15"/>
  <c r="I29" i="15" l="1"/>
  <c r="I22" i="15"/>
  <c r="I27" i="15"/>
  <c r="I28" i="15"/>
  <c r="I41" i="15"/>
  <c r="I21" i="15"/>
  <c r="I26" i="15"/>
  <c r="I19" i="15"/>
  <c r="G18" i="15"/>
  <c r="I18" i="15" s="1"/>
  <c r="I23" i="15"/>
  <c r="I25" i="15"/>
  <c r="I20" i="15"/>
  <c r="I24" i="15"/>
  <c r="I17" i="15"/>
  <c r="G297" i="3"/>
  <c r="F2240" i="2"/>
  <c r="F4064" i="2"/>
  <c r="G336" i="3"/>
  <c r="G298" i="3"/>
  <c r="F773" i="2"/>
  <c r="F684" i="2"/>
  <c r="F1477" i="2"/>
  <c r="G411" i="3"/>
  <c r="G245" i="3"/>
  <c r="F4058" i="2"/>
  <c r="F4056" i="2"/>
  <c r="F3527" i="2"/>
  <c r="G977" i="2"/>
  <c r="G291" i="3"/>
  <c r="G293" i="3"/>
  <c r="F4054" i="2"/>
  <c r="F4052" i="2"/>
  <c r="F4053" i="2"/>
  <c r="F3915" i="2"/>
  <c r="G531" i="2"/>
  <c r="F541" i="2"/>
  <c r="F4051" i="2"/>
  <c r="F1500" i="2"/>
  <c r="F2650" i="2"/>
  <c r="G2790" i="2"/>
  <c r="G2650" i="2"/>
  <c r="G346" i="3"/>
  <c r="G214" i="3"/>
  <c r="F3256" i="2"/>
  <c r="G3256" i="2"/>
  <c r="F4048" i="2"/>
  <c r="G1349" i="2"/>
  <c r="F4046" i="2"/>
  <c r="G3021" i="2"/>
  <c r="F3025" i="2"/>
  <c r="F3684" i="2"/>
  <c r="F4044" i="2"/>
  <c r="F4043" i="2"/>
  <c r="F4042" i="2"/>
  <c r="F4041" i="2"/>
  <c r="G286" i="3"/>
  <c r="F1858" i="2"/>
  <c r="F2160" i="2"/>
  <c r="G321" i="3"/>
  <c r="N43" i="7"/>
  <c r="N1" i="7"/>
  <c r="L116" i="7"/>
  <c r="F3338" i="2"/>
  <c r="G1876" i="2"/>
  <c r="F187" i="3"/>
  <c r="G187" i="3" s="1"/>
  <c r="G188" i="3"/>
  <c r="G189" i="3"/>
  <c r="G22" i="3" l="1"/>
  <c r="G329" i="3"/>
  <c r="G21" i="3"/>
  <c r="G25" i="3"/>
  <c r="G315" i="3"/>
  <c r="G314"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8" i="2"/>
  <c r="F2796" i="2"/>
  <c r="G254" i="3"/>
  <c r="G2612" i="2"/>
  <c r="G1340" i="2"/>
  <c r="G451" i="3"/>
  <c r="G2056" i="2"/>
  <c r="G2060" i="2"/>
  <c r="G1503" i="2"/>
  <c r="G1507" i="2"/>
  <c r="G1949" i="2"/>
  <c r="G1715" i="2"/>
  <c r="G1413" i="2"/>
  <c r="F1413" i="2"/>
  <c r="G1158" i="2"/>
  <c r="F1158" i="2"/>
  <c r="G1298" i="2"/>
  <c r="F1298" i="2"/>
  <c r="G2782" i="2"/>
  <c r="F2782" i="2"/>
  <c r="G2604" i="2"/>
  <c r="G2481" i="2"/>
  <c r="F2481" i="2"/>
  <c r="G3304" i="2"/>
  <c r="F3304" i="2"/>
  <c r="G1095" i="2"/>
  <c r="F1095" i="2"/>
  <c r="G1845" i="2"/>
  <c r="F1845" i="2"/>
  <c r="G2108" i="2"/>
  <c r="G2404" i="2"/>
  <c r="G1538" i="2"/>
  <c r="G3112" i="2"/>
  <c r="G281" i="3"/>
  <c r="G1937" i="2"/>
  <c r="G434" i="3"/>
  <c r="G415" i="3"/>
  <c r="G3177" i="2"/>
  <c r="F3177" i="2"/>
  <c r="F2745" i="2"/>
  <c r="G219" i="3"/>
  <c r="G274" i="2"/>
  <c r="F2242" i="2"/>
  <c r="G204" i="3"/>
  <c r="F884" i="2"/>
  <c r="F506" i="2"/>
  <c r="F589" i="2"/>
  <c r="F1807" i="2"/>
  <c r="F772" i="2"/>
  <c r="G206" i="3"/>
  <c r="F771" i="2"/>
  <c r="F1806" i="2"/>
  <c r="F588" i="2"/>
  <c r="F1209" i="2"/>
  <c r="G1858" i="2"/>
  <c r="G3059" i="2"/>
  <c r="G2631" i="2"/>
  <c r="G3288" i="2"/>
  <c r="G2640" i="2"/>
  <c r="G1430" i="2"/>
  <c r="G2645" i="2"/>
  <c r="G3351" i="2"/>
  <c r="G2860" i="2"/>
  <c r="G2786" i="2"/>
  <c r="G3243" i="2"/>
  <c r="F3243" i="2"/>
  <c r="G3217" i="2"/>
  <c r="G3396" i="2"/>
  <c r="G203" i="3"/>
  <c r="G1832" i="2"/>
  <c r="G1764" i="2"/>
  <c r="G1181" i="2"/>
  <c r="G2504" i="2"/>
  <c r="G2027" i="2"/>
  <c r="F2027" i="2"/>
  <c r="G1220" i="2"/>
  <c r="G3284" i="2"/>
  <c r="G3292" i="2"/>
  <c r="G2932" i="2"/>
  <c r="G3037" i="2"/>
  <c r="G2676" i="2"/>
  <c r="G2065" i="2"/>
  <c r="G2586" i="2"/>
  <c r="G2824" i="2"/>
  <c r="G2494" i="2"/>
  <c r="G2413" i="2"/>
  <c r="G2417" i="2"/>
  <c r="G3227" i="2"/>
  <c r="G3189" i="2"/>
  <c r="F3189" i="2"/>
  <c r="G207" i="3"/>
  <c r="G2905" i="2"/>
  <c r="G3201" i="2"/>
  <c r="G2037" i="2"/>
  <c r="F2037" i="2"/>
  <c r="G2548" i="2"/>
  <c r="F2548" i="2"/>
  <c r="G3099" i="2"/>
  <c r="G3365" i="2"/>
  <c r="F3365" i="2"/>
  <c r="F3062" i="2"/>
  <c r="F3059" i="2" s="1"/>
  <c r="F3220" i="2"/>
  <c r="F3217" i="2" s="1"/>
  <c r="F3398" i="2"/>
  <c r="F3396" i="2" s="1"/>
  <c r="G1530" i="2"/>
  <c r="F1530" i="2"/>
  <c r="G1320" i="2"/>
  <c r="G3308" i="2"/>
  <c r="F3308" i="2"/>
  <c r="G3355" i="2"/>
  <c r="F3359" i="2"/>
  <c r="F370" i="2"/>
  <c r="F4014" i="2"/>
  <c r="G1913" i="2"/>
  <c r="G899" i="2"/>
  <c r="G2920" i="2"/>
  <c r="F2920" i="2"/>
  <c r="G1139" i="2"/>
  <c r="G2146" i="2"/>
  <c r="F2146" i="2"/>
  <c r="G3338" i="2"/>
  <c r="G3222" i="2"/>
  <c r="G3043" i="2"/>
  <c r="F3043" i="2"/>
  <c r="G2457" i="2"/>
  <c r="G2807" i="2"/>
  <c r="G2524" i="2"/>
  <c r="F2524" i="2"/>
  <c r="G3017" i="2"/>
  <c r="F3017" i="2"/>
  <c r="G2856" i="2"/>
  <c r="F2856" i="2"/>
  <c r="G2963" i="2"/>
  <c r="F2963" i="2"/>
  <c r="G2816" i="2"/>
  <c r="F243" i="2"/>
  <c r="G217" i="3"/>
  <c r="G228" i="3"/>
  <c r="G182" i="3"/>
  <c r="G205" i="3"/>
  <c r="G171" i="3"/>
  <c r="F2880" i="2"/>
  <c r="F2017" i="2"/>
  <c r="G216" i="3"/>
  <c r="G1696" i="2"/>
  <c r="G218" i="3"/>
  <c r="F2430" i="2"/>
  <c r="G215" i="3"/>
  <c r="F3985" i="2" l="1"/>
  <c r="F423" i="2"/>
  <c r="G1799" i="2"/>
  <c r="F1804" i="2"/>
  <c r="F1799" i="2" s="1"/>
  <c r="F422" i="2"/>
  <c r="F2906" i="2"/>
  <c r="F2905" i="2" s="1"/>
  <c r="F2787" i="2"/>
  <c r="F2786" i="2" s="1"/>
  <c r="F2861" i="2"/>
  <c r="F2860" i="2" s="1"/>
  <c r="F645" i="2"/>
  <c r="F3353" i="2"/>
  <c r="F2648" i="2"/>
  <c r="F2645" i="2" s="1"/>
  <c r="F2643" i="2"/>
  <c r="F2640" i="2" s="1"/>
  <c r="F1601" i="2"/>
  <c r="G213" i="3"/>
  <c r="F3865" i="2"/>
  <c r="F3352" i="2"/>
  <c r="F1286" i="2"/>
  <c r="F3225" i="2"/>
  <c r="F3222" i="2" s="1"/>
  <c r="F1309" i="2"/>
  <c r="F1302" i="2" s="1"/>
  <c r="F1946" i="2"/>
  <c r="F271" i="2"/>
  <c r="F3290" i="2"/>
  <c r="F3288" i="2" s="1"/>
  <c r="G212" i="3"/>
  <c r="F1726" i="2"/>
  <c r="F481" i="2"/>
  <c r="F2810" i="2"/>
  <c r="G142" i="3"/>
  <c r="F2633" i="2"/>
  <c r="F2631" i="2" s="1"/>
  <c r="F3832" i="2"/>
  <c r="F2818" i="2"/>
  <c r="F2809" i="2"/>
  <c r="F3677" i="2"/>
  <c r="F479" i="2"/>
  <c r="F2817" i="2"/>
  <c r="F2808" i="2"/>
  <c r="G2261" i="2"/>
  <c r="F2261" i="2"/>
  <c r="F3381" i="2"/>
  <c r="F3983" i="2"/>
  <c r="F3324" i="2"/>
  <c r="F3982" i="2"/>
  <c r="G141" i="3"/>
  <c r="G3033" i="2"/>
  <c r="F3033" i="2"/>
  <c r="G3009" i="2"/>
  <c r="F3323" i="2"/>
  <c r="G248" i="3"/>
  <c r="F396" i="2"/>
  <c r="F2405" i="2"/>
  <c r="F2404" i="2" s="1"/>
  <c r="F1284" i="2"/>
  <c r="B12" i="9"/>
  <c r="B13" i="9" s="1"/>
  <c r="B14" i="9" s="1"/>
  <c r="G2820" i="2"/>
  <c r="G124" i="3"/>
  <c r="F3251" i="2"/>
  <c r="F2294" i="2"/>
  <c r="G2294" i="2"/>
  <c r="G116" i="3"/>
  <c r="G1753" i="2"/>
  <c r="F1755" i="2"/>
  <c r="F1753" i="2" s="1"/>
  <c r="G2928" i="2"/>
  <c r="G3116" i="2"/>
  <c r="G2582" i="2"/>
  <c r="F2584" i="2"/>
  <c r="F2582" i="2" s="1"/>
  <c r="F999" i="2"/>
  <c r="F3351" i="2" l="1"/>
  <c r="F2807" i="2"/>
  <c r="F2816"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32" i="2"/>
  <c r="F1332" i="2"/>
  <c r="G92" i="3"/>
  <c r="F1564" i="2"/>
  <c r="F2377" i="2"/>
  <c r="G1211" i="2"/>
  <c r="F1215" i="2"/>
  <c r="F809" i="2"/>
  <c r="F797" i="2" s="1"/>
  <c r="F1797" i="2"/>
  <c r="G72" i="3"/>
  <c r="G108" i="3"/>
  <c r="F2109" i="2"/>
  <c r="F2108" i="2" s="1"/>
  <c r="G111" i="3"/>
  <c r="F865" i="2"/>
  <c r="F1053" i="2"/>
  <c r="F1057" i="2"/>
  <c r="F1086" i="2"/>
  <c r="F1550" i="2"/>
  <c r="F1566" i="2"/>
  <c r="F1572" i="2"/>
  <c r="F1580" i="2"/>
  <c r="G1572" i="2"/>
  <c r="F416" i="2"/>
  <c r="F400" i="2" s="1"/>
  <c r="F1081"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45" i="2"/>
  <c r="F3844" i="2"/>
  <c r="F3843" i="2"/>
  <c r="F3842" i="2"/>
  <c r="F3841" i="2"/>
  <c r="F3840" i="2"/>
  <c r="F947" i="2"/>
  <c r="F94" i="2"/>
  <c r="F3731" i="2"/>
  <c r="F93" i="2"/>
  <c r="F2459" i="2"/>
  <c r="F394" i="2"/>
  <c r="F3643" i="2"/>
  <c r="F3642" i="2"/>
  <c r="F3641" i="2"/>
  <c r="F393" i="2"/>
  <c r="F3640" i="2"/>
  <c r="F2458" i="2"/>
  <c r="F3639" i="2"/>
  <c r="F368" i="2"/>
  <c r="F1246" i="2"/>
  <c r="G39" i="3"/>
  <c r="G30" i="3"/>
  <c r="G33" i="3"/>
  <c r="G35" i="3"/>
  <c r="G132" i="3"/>
  <c r="G36" i="3"/>
  <c r="G37" i="3"/>
  <c r="G40" i="3"/>
  <c r="G38" i="3"/>
  <c r="G42" i="3"/>
  <c r="G43" i="3"/>
  <c r="G44" i="3"/>
  <c r="F3118" i="2"/>
  <c r="F3116" i="2" s="1"/>
  <c r="F1827" i="2"/>
  <c r="F3774" i="2"/>
  <c r="G245" i="2"/>
  <c r="F267" i="2"/>
  <c r="F2606" i="2"/>
  <c r="F1410" i="2"/>
  <c r="F265" i="2"/>
  <c r="F2605" i="2"/>
  <c r="F2066" i="2"/>
  <c r="F2065" i="2" s="1"/>
  <c r="F1384" i="2"/>
  <c r="F2604" i="2" l="1"/>
  <c r="F2457"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9" i="2"/>
  <c r="G2852" i="2"/>
  <c r="G812" i="2"/>
  <c r="F812" i="2"/>
  <c r="G1743" i="2"/>
  <c r="F1743" i="2"/>
  <c r="G3320" i="2"/>
  <c r="G2248" i="2"/>
  <c r="F484" i="2"/>
  <c r="G2812" i="2"/>
  <c r="F89" i="2" l="1"/>
  <c r="F1427" i="2"/>
  <c r="F1422" i="2" s="1"/>
  <c r="F1965" i="2"/>
  <c r="F1962" i="2" s="1"/>
  <c r="F1766" i="2"/>
  <c r="F1764" i="2" s="1"/>
  <c r="F1599" i="2"/>
  <c r="F2514" i="2"/>
  <c r="F3322" i="2"/>
  <c r="F3320" i="2" s="1"/>
  <c r="F1598" i="2"/>
  <c r="F366" i="2"/>
  <c r="F2094" i="2"/>
  <c r="F239" i="2"/>
  <c r="F1116" i="2"/>
  <c r="F364" i="2"/>
  <c r="F238" i="2"/>
  <c r="G1145" i="2"/>
  <c r="F1148" i="2"/>
  <c r="F975" i="2"/>
  <c r="F363" i="2"/>
  <c r="G1633" i="2"/>
  <c r="F1633" i="2"/>
  <c r="G1663" i="2"/>
  <c r="F1663" i="2"/>
  <c r="G3000" i="2"/>
  <c r="F3000" i="2"/>
  <c r="G2233" i="2"/>
  <c r="G1053" i="2"/>
  <c r="G2869" i="2"/>
  <c r="G1566" i="2"/>
  <c r="G2409" i="2"/>
  <c r="G1887" i="2"/>
  <c r="G563" i="2"/>
  <c r="F563" i="2"/>
  <c r="G1118" i="2"/>
  <c r="G2671" i="2"/>
  <c r="F1659" i="2"/>
  <c r="F3858" i="2"/>
  <c r="F2674" i="2"/>
  <c r="G1235" i="2"/>
  <c r="F1240" i="2"/>
  <c r="F1235" i="2" s="1"/>
  <c r="F1658" i="2"/>
  <c r="F2673" i="2"/>
  <c r="F2411" i="2"/>
  <c r="F2409" i="2" s="1"/>
  <c r="F2672" i="2"/>
  <c r="F1889" i="2"/>
  <c r="F1887" i="2" s="1"/>
  <c r="G1026" i="2"/>
  <c r="F1026" i="2"/>
  <c r="F734" i="2"/>
  <c r="F2531" i="2"/>
  <c r="F2528" i="2" s="1"/>
  <c r="G2520" i="2"/>
  <c r="F2520" i="2"/>
  <c r="G865" i="2"/>
  <c r="G2081" i="2"/>
  <c r="G2023" i="2"/>
  <c r="G2909" i="2"/>
  <c r="G1550" i="2"/>
  <c r="G3136" i="2"/>
  <c r="G2051" i="2"/>
  <c r="G2359" i="2"/>
  <c r="G2370" i="2"/>
  <c r="F857" i="2"/>
  <c r="F974" i="2"/>
  <c r="G1703" i="2"/>
  <c r="F921" i="2"/>
  <c r="F1708" i="2"/>
  <c r="F1115" i="2"/>
  <c r="F920" i="2"/>
  <c r="F856" i="2"/>
  <c r="F1707" i="2"/>
  <c r="F1705" i="2"/>
  <c r="F2372" i="2"/>
  <c r="F2361" i="2"/>
  <c r="F2053" i="2"/>
  <c r="F1704" i="2"/>
  <c r="F2371" i="2"/>
  <c r="F2360" i="2"/>
  <c r="G2218" i="2"/>
  <c r="F917" i="2"/>
  <c r="F973" i="2"/>
  <c r="F2052" i="2"/>
  <c r="F2878" i="2"/>
  <c r="F2873" i="2" s="1"/>
  <c r="F683" i="2"/>
  <c r="F3861" i="2"/>
  <c r="F3138" i="2"/>
  <c r="G2880" i="2"/>
  <c r="G2209" i="2"/>
  <c r="F2209" i="2"/>
  <c r="G1967" i="2"/>
  <c r="F2708" i="2"/>
  <c r="F2706" i="2" s="1"/>
  <c r="E2708" i="2"/>
  <c r="G2706" i="2"/>
  <c r="F3137" i="2"/>
  <c r="G1836" i="2"/>
  <c r="F85" i="2"/>
  <c r="F262" i="2"/>
  <c r="F1969" i="2"/>
  <c r="F1967" i="2" s="1"/>
  <c r="F680" i="2"/>
  <c r="G1728" i="2"/>
  <c r="F1728" i="2"/>
  <c r="G2047" i="2"/>
  <c r="G1057" i="2"/>
  <c r="G1417" i="2"/>
  <c r="G888" i="2"/>
  <c r="G1231" i="2"/>
  <c r="G1479" i="2"/>
  <c r="G1336" i="2"/>
  <c r="G823" i="2"/>
  <c r="F823" i="2"/>
  <c r="G1972" i="2"/>
  <c r="F1972" i="2"/>
  <c r="G2740" i="2"/>
  <c r="F2742" i="2"/>
  <c r="F2740" i="2" s="1"/>
  <c r="F3621" i="2"/>
  <c r="F1154" i="2"/>
  <c r="F3538" i="2"/>
  <c r="F3537" i="2"/>
  <c r="F2132" i="2"/>
  <c r="F3536" i="2"/>
  <c r="F3535" i="2"/>
  <c r="F3534" i="2"/>
  <c r="F3533" i="2"/>
  <c r="F3532" i="2"/>
  <c r="F3531" i="2"/>
  <c r="F3530" i="2"/>
  <c r="F1852" i="2"/>
  <c r="F3526" i="2"/>
  <c r="G1483" i="2"/>
  <c r="G1779" i="2"/>
  <c r="G1186" i="2"/>
  <c r="G686" i="2"/>
  <c r="F686" i="2"/>
  <c r="G775" i="2"/>
  <c r="F817" i="2"/>
  <c r="G456" i="2"/>
  <c r="F1703" i="2" l="1"/>
  <c r="F1103" i="2"/>
  <c r="F2671" i="2"/>
  <c r="F3136" i="2"/>
  <c r="F2370" i="2"/>
  <c r="F2359" i="2"/>
  <c r="F2051" i="2"/>
  <c r="G2380" i="2"/>
  <c r="G1647" i="2"/>
  <c r="G1254" i="2"/>
  <c r="F1254" i="2"/>
  <c r="G827" i="2"/>
  <c r="G860" i="2"/>
  <c r="G869" i="2"/>
  <c r="G3296" i="2"/>
  <c r="G2798" i="2"/>
  <c r="F2798" i="2"/>
  <c r="G2567" i="2"/>
  <c r="G2441" i="2"/>
  <c r="G2398" i="2"/>
  <c r="G2778" i="2"/>
  <c r="G2803" i="2"/>
  <c r="G983" i="2"/>
  <c r="G2936" i="2"/>
  <c r="G1637" i="2"/>
  <c r="F1637" i="2"/>
  <c r="G2948" i="2"/>
  <c r="G3213" i="2"/>
  <c r="G1849" i="2"/>
  <c r="G2894" i="2"/>
  <c r="F2894" i="2"/>
  <c r="G2890" i="2"/>
  <c r="F2890" i="2"/>
  <c r="G2425" i="2"/>
  <c r="G1270" i="2"/>
  <c r="F1270" i="2"/>
  <c r="G3264" i="2"/>
  <c r="F3264" i="2"/>
  <c r="F3207" i="2"/>
  <c r="F3205" i="2" s="1"/>
  <c r="L3206" i="2"/>
  <c r="G3205" i="2"/>
  <c r="G3148" i="2"/>
  <c r="G2388" i="2"/>
  <c r="F2388" i="2"/>
  <c r="G2205" i="2"/>
  <c r="G1789" i="2"/>
  <c r="G2865" i="2"/>
  <c r="G2213" i="2"/>
  <c r="G2345" i="2"/>
  <c r="G3343" i="2"/>
  <c r="G1365" i="2"/>
  <c r="G3392" i="2"/>
  <c r="F3392" i="2"/>
  <c r="G3374" i="2"/>
  <c r="G2119" i="2"/>
  <c r="F2119" i="2"/>
  <c r="G2686" i="2"/>
  <c r="G1958" i="2"/>
  <c r="F1958" i="2"/>
  <c r="G1954" i="2"/>
  <c r="F1954" i="2"/>
  <c r="G2447" i="2"/>
  <c r="F2447" i="2"/>
  <c r="G2253" i="2"/>
  <c r="F2253" i="2"/>
  <c r="G2959" i="2"/>
  <c r="G2655" i="2"/>
  <c r="G418" i="2"/>
  <c r="G2563" i="2"/>
  <c r="F2563" i="2"/>
  <c r="F2844" i="2"/>
  <c r="G2844" i="2"/>
  <c r="G2840" i="2"/>
  <c r="F2840" i="2"/>
  <c r="G2836" i="2"/>
  <c r="G2421" i="2"/>
  <c r="F2421" i="2"/>
  <c r="G3312" i="2"/>
  <c r="F3312" i="2"/>
  <c r="G2660" i="2"/>
  <c r="G2223" i="2"/>
  <c r="F2223" i="2"/>
  <c r="G2691" i="2"/>
  <c r="G2996" i="2"/>
  <c r="F2996" i="2"/>
  <c r="G2828" i="2"/>
  <c r="F2828" i="2"/>
  <c r="G2696" i="2"/>
  <c r="F2696" i="2"/>
  <c r="G3090" i="2"/>
  <c r="F3090" i="2"/>
  <c r="G2944" i="2"/>
  <c r="G3064" i="2"/>
  <c r="F3064" i="2"/>
  <c r="G2325" i="2"/>
  <c r="F2325" i="2"/>
  <c r="G2435" i="2"/>
  <c r="G2306" i="2"/>
  <c r="F2306" i="2"/>
  <c r="G2487" i="2"/>
  <c r="G3081" i="2"/>
  <c r="F3081" i="2"/>
  <c r="G1390" i="2"/>
  <c r="G1086" i="2"/>
  <c r="G1841" i="2"/>
  <c r="F1841" i="2"/>
  <c r="G1793" i="2"/>
  <c r="G1976" i="2"/>
  <c r="G1384" i="2"/>
  <c r="G1785" i="2"/>
  <c r="F1785" i="2"/>
  <c r="G3388" i="2"/>
  <c r="F3388" i="2"/>
  <c r="G959" i="2"/>
  <c r="G1150" i="2"/>
  <c r="G2534" i="2"/>
  <c r="G3235" i="2"/>
  <c r="G3404" i="2"/>
  <c r="F3404" i="2"/>
  <c r="G2289" i="2"/>
  <c r="G3094" i="2"/>
  <c r="G3209" i="2"/>
  <c r="G2873" i="2"/>
  <c r="G2973" i="2"/>
  <c r="G2967" i="2"/>
  <c r="G2832" i="2"/>
  <c r="G894" i="2"/>
  <c r="G3124" i="2"/>
  <c r="F3124" i="2"/>
  <c r="G3316" i="2"/>
  <c r="F3316" i="2"/>
  <c r="G2571" i="2"/>
  <c r="G2461" i="2"/>
  <c r="F2461" i="2"/>
  <c r="G2355" i="2"/>
  <c r="G2041" i="2"/>
  <c r="G2608" i="2"/>
  <c r="G1929" i="2"/>
  <c r="G2474" i="2"/>
  <c r="G2271" i="2"/>
  <c r="G2104" i="2"/>
  <c r="G2192" i="2"/>
  <c r="G1191" i="2"/>
  <c r="G3378" i="2"/>
  <c r="G1199" i="2"/>
  <c r="G604" i="2"/>
  <c r="F604" i="2"/>
  <c r="G3051" i="2"/>
  <c r="F3051" i="2"/>
  <c r="G2914" i="2"/>
  <c r="F2914" i="2"/>
  <c r="G2374" i="2"/>
  <c r="G3128" i="2"/>
  <c r="G2986" i="2"/>
  <c r="F2986" i="2"/>
  <c r="G3013" i="2"/>
  <c r="F3013" i="2"/>
  <c r="G3086" i="2"/>
  <c r="G2160" i="2"/>
  <c r="G2242" i="2"/>
  <c r="G1757" i="2"/>
  <c r="G2724" i="2"/>
  <c r="F2724" i="2"/>
  <c r="G2627" i="2"/>
  <c r="F2627" i="2"/>
  <c r="G2745" i="2"/>
  <c r="G3251" i="2"/>
  <c r="G3185" i="2"/>
  <c r="F3185" i="2"/>
  <c r="G3193" i="2"/>
  <c r="F3193" i="2"/>
  <c r="G3239" i="2"/>
  <c r="F3239" i="2"/>
  <c r="G1546" i="2"/>
  <c r="G2138" i="2"/>
  <c r="G2528" i="2"/>
  <c r="G3103" i="2"/>
  <c r="G1534" i="2"/>
  <c r="F1534" i="2"/>
  <c r="G2886" i="2"/>
  <c r="G2940" i="2"/>
  <c r="F2940" i="2"/>
  <c r="G2681" i="2"/>
  <c r="F2681" i="2"/>
  <c r="G2924" i="2"/>
  <c r="F2924" i="2"/>
  <c r="G3383" i="2"/>
  <c r="G1651" i="2"/>
  <c r="G2991" i="2"/>
  <c r="G3181" i="2"/>
  <c r="F3181" i="2"/>
  <c r="F3231" i="2"/>
  <c r="G3231" i="2"/>
  <c r="G2452" i="2"/>
  <c r="F2452" i="2"/>
  <c r="G3326" i="2"/>
  <c r="F3326" i="2"/>
  <c r="G3330" i="2"/>
  <c r="F3330" i="2"/>
  <c r="G3300" i="2"/>
  <c r="F3300" i="2"/>
  <c r="G3334" i="2"/>
  <c r="F3334" i="2"/>
  <c r="G3120" i="2"/>
  <c r="F3120" i="2"/>
  <c r="G1371" i="2"/>
  <c r="G2898" i="2"/>
  <c r="G2701" i="2"/>
  <c r="F2701" i="2"/>
  <c r="G2597" i="2"/>
  <c r="F2500" i="2"/>
  <c r="F2499" i="2" s="1"/>
  <c r="G2499" i="2"/>
  <c r="G3140" i="2"/>
  <c r="G1558" i="2"/>
  <c r="G3166" i="2"/>
  <c r="G3144" i="2"/>
  <c r="G3268" i="2"/>
  <c r="G3272" i="2"/>
  <c r="G3276" i="2"/>
  <c r="G1248" i="2"/>
  <c r="G3247" i="2"/>
  <c r="G1904" i="2"/>
  <c r="F1906" i="2"/>
  <c r="F1904" i="2" s="1"/>
  <c r="F1710" i="2"/>
  <c r="G1580" i="2"/>
  <c r="G3077" i="2"/>
  <c r="G2124" i="2"/>
  <c r="F2124" i="2"/>
  <c r="G3400" i="2"/>
  <c r="F3402" i="2"/>
  <c r="F3400" i="2" s="1"/>
  <c r="F2009" i="2"/>
  <c r="G3157" i="2"/>
  <c r="F2113" i="2"/>
  <c r="F2911" i="2"/>
  <c r="F2268" i="2"/>
  <c r="G2009" i="2"/>
  <c r="G2711" i="2"/>
  <c r="F2711" i="2"/>
  <c r="F2910" i="2"/>
  <c r="G2265" i="2"/>
  <c r="F2267" i="2"/>
  <c r="G2113" i="2"/>
  <c r="G652" i="2"/>
  <c r="F1484" i="2"/>
  <c r="F1483" i="2" s="1"/>
  <c r="E1484" i="2"/>
  <c r="F3556" i="2"/>
  <c r="E3556" i="2"/>
  <c r="G1511" i="2"/>
  <c r="F2266" i="2"/>
  <c r="E2266" i="2"/>
  <c r="F3555" i="2"/>
  <c r="E3555" i="2"/>
  <c r="F3554" i="2"/>
  <c r="E3554" i="2"/>
  <c r="F3553" i="2"/>
  <c r="E3553" i="2"/>
  <c r="G1122" i="2"/>
  <c r="F41" i="3"/>
  <c r="G41" i="3" s="1"/>
  <c r="E3467" i="2"/>
  <c r="E3466" i="2"/>
  <c r="E1027" i="2"/>
  <c r="D55" i="3"/>
  <c r="D1" i="3" s="1"/>
  <c r="F55" i="3"/>
  <c r="G55" i="3" s="1"/>
  <c r="F1101" i="2"/>
  <c r="F1099" i="2" s="1"/>
  <c r="F539" i="2"/>
  <c r="F3469" i="2"/>
  <c r="F1838" i="2"/>
  <c r="F3524" i="2"/>
  <c r="F2083" i="2"/>
  <c r="F2081" i="2" s="1"/>
  <c r="F2025" i="2"/>
  <c r="F2023" i="2" s="1"/>
  <c r="F3500" i="2"/>
  <c r="F3499" i="2"/>
  <c r="F3498" i="2"/>
  <c r="F3497" i="2"/>
  <c r="F3496" i="2"/>
  <c r="F3495" i="2"/>
  <c r="F3494" i="2"/>
  <c r="F3493" i="2"/>
  <c r="F3492" i="2"/>
  <c r="G1993" i="2"/>
  <c r="G3005" i="2"/>
  <c r="G2719" i="2"/>
  <c r="G1516" i="2"/>
  <c r="G2750" i="2"/>
  <c r="G2516" i="2"/>
  <c r="F3361" i="2"/>
  <c r="G3361" i="2"/>
  <c r="G3197" i="2"/>
  <c r="F3197" i="2"/>
  <c r="G1554" i="2"/>
  <c r="G2134" i="2"/>
  <c r="G1641" i="2"/>
  <c r="G1225" i="2"/>
  <c r="G1811" i="2"/>
  <c r="F1811" i="2"/>
  <c r="G1090" i="2"/>
  <c r="G1719" i="2"/>
  <c r="G3347" i="2"/>
  <c r="F3347" i="2"/>
  <c r="G1864" i="2"/>
  <c r="F1864" i="2"/>
  <c r="G1816" i="2"/>
  <c r="G1542" i="2"/>
  <c r="G1603" i="2"/>
  <c r="G2257" i="2"/>
  <c r="G1908" i="2"/>
  <c r="G1854" i="2"/>
  <c r="G2665" i="2"/>
  <c r="F2759" i="2"/>
  <c r="F2575" i="2"/>
  <c r="F2393" i="2"/>
  <c r="F2339" i="2"/>
  <c r="F2319" i="2"/>
  <c r="F2282" i="2"/>
  <c r="F2186" i="2"/>
  <c r="F2182" i="2"/>
  <c r="F1616" i="2"/>
  <c r="F1435" i="2"/>
  <c r="F1396" i="2"/>
  <c r="F1326" i="2"/>
  <c r="J400" i="2"/>
  <c r="J484" i="2"/>
  <c r="T45" i="3"/>
  <c r="G45" i="3" s="1"/>
  <c r="W54" i="3"/>
  <c r="G54" i="3" s="1"/>
  <c r="F71" i="3"/>
  <c r="Q71" i="3"/>
  <c r="F105" i="3"/>
  <c r="F402"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90" i="2"/>
  <c r="F691" i="2"/>
  <c r="F698" i="2"/>
  <c r="F700" i="2"/>
  <c r="G737" i="2"/>
  <c r="F738" i="2"/>
  <c r="F740" i="2"/>
  <c r="F741" i="2"/>
  <c r="G789" i="2"/>
  <c r="F792" i="2"/>
  <c r="F793" i="2"/>
  <c r="G707" i="2"/>
  <c r="F709" i="2"/>
  <c r="F711" i="2"/>
  <c r="F712" i="2"/>
  <c r="F714" i="2"/>
  <c r="G726" i="2"/>
  <c r="F727" i="2"/>
  <c r="F728" i="2"/>
  <c r="G817" i="2"/>
  <c r="G746" i="2"/>
  <c r="J746" i="2"/>
  <c r="F764" i="2"/>
  <c r="F769" i="2"/>
  <c r="G779" i="2"/>
  <c r="F781" i="2"/>
  <c r="F782" i="2"/>
  <c r="F783" i="2"/>
  <c r="F784" i="2"/>
  <c r="G797" i="2"/>
  <c r="G923" i="2"/>
  <c r="F924" i="2"/>
  <c r="F923" i="2" s="1"/>
  <c r="G927" i="2"/>
  <c r="F935" i="2"/>
  <c r="F936" i="2"/>
  <c r="F944" i="2"/>
  <c r="G949" i="2"/>
  <c r="F950" i="2"/>
  <c r="F951" i="2"/>
  <c r="F952" i="2"/>
  <c r="G873" i="2"/>
  <c r="F875" i="2"/>
  <c r="F876" i="2"/>
  <c r="F877" i="2"/>
  <c r="F881" i="2"/>
  <c r="F882" i="2"/>
  <c r="G1003" i="2"/>
  <c r="F1007" i="2"/>
  <c r="F1008" i="2"/>
  <c r="F1010" i="2"/>
  <c r="E1011" i="2"/>
  <c r="F1011" i="2"/>
  <c r="G1030" i="2"/>
  <c r="F1031" i="2"/>
  <c r="F1032" i="2"/>
  <c r="F1042" i="2"/>
  <c r="F1046" i="2"/>
  <c r="F1048" i="2"/>
  <c r="G659" i="2"/>
  <c r="F670" i="2"/>
  <c r="F659" i="2" s="1"/>
  <c r="F672" i="2"/>
  <c r="F679" i="2"/>
  <c r="G1061" i="2"/>
  <c r="F1064" i="2"/>
  <c r="F1065" i="2"/>
  <c r="G1014" i="2"/>
  <c r="F1016" i="2"/>
  <c r="F1020" i="2"/>
  <c r="F1021" i="2"/>
  <c r="G831" i="2"/>
  <c r="F835" i="2"/>
  <c r="F839" i="2"/>
  <c r="G991" i="2"/>
  <c r="F992" i="2"/>
  <c r="F991" i="2" s="1"/>
  <c r="J991" i="2" s="1"/>
  <c r="G1131" i="2"/>
  <c r="F1136" i="2"/>
  <c r="F1131" i="2" s="1"/>
  <c r="G965" i="2"/>
  <c r="F968" i="2"/>
  <c r="F970" i="2"/>
  <c r="G1163" i="2"/>
  <c r="F1167" i="2"/>
  <c r="F1168" i="2"/>
  <c r="F1176" i="2"/>
  <c r="G903" i="2"/>
  <c r="F911" i="2"/>
  <c r="F903" i="2" s="1"/>
  <c r="G846" i="2"/>
  <c r="F848" i="2"/>
  <c r="F850" i="2"/>
  <c r="F851" i="2"/>
  <c r="G1206" i="2"/>
  <c r="F1207" i="2"/>
  <c r="F1206" i="2" s="1"/>
  <c r="F534" i="2"/>
  <c r="G1302" i="2"/>
  <c r="G1326" i="2"/>
  <c r="G1242" i="2"/>
  <c r="F1243" i="2"/>
  <c r="F1244" i="2"/>
  <c r="F1245" i="2"/>
  <c r="G1286" i="2"/>
  <c r="G1377" i="2"/>
  <c r="E1382" i="2"/>
  <c r="F1382" i="2"/>
  <c r="F1377" i="2" s="1"/>
  <c r="G1396" i="2"/>
  <c r="G1260" i="2"/>
  <c r="F1264" i="2"/>
  <c r="F1265" i="2"/>
  <c r="E1266" i="2"/>
  <c r="F1266" i="2" s="1"/>
  <c r="G1311" i="2"/>
  <c r="F1314" i="2"/>
  <c r="F1315" i="2"/>
  <c r="G1274" i="2"/>
  <c r="F1275" i="2"/>
  <c r="F1278" i="2"/>
  <c r="F1281" i="2"/>
  <c r="F1282" i="2"/>
  <c r="F1350" i="2"/>
  <c r="F1352" i="2"/>
  <c r="F1353" i="2"/>
  <c r="G1103" i="2"/>
  <c r="G1435" i="2"/>
  <c r="I1435" i="2"/>
  <c r="G1447" i="2"/>
  <c r="F1452" i="2"/>
  <c r="G1455" i="2"/>
  <c r="F1471" i="2"/>
  <c r="F1472" i="2"/>
  <c r="F1473" i="2"/>
  <c r="G1487" i="2"/>
  <c r="F1488" i="2"/>
  <c r="F1489" i="2"/>
  <c r="F1492" i="2"/>
  <c r="F1494" i="2"/>
  <c r="F1495" i="2"/>
  <c r="F1496" i="2"/>
  <c r="G1523" i="2"/>
  <c r="F1525" i="2"/>
  <c r="F1523" i="2" s="1"/>
  <c r="G1068" i="2"/>
  <c r="F1069" i="2"/>
  <c r="F1068" i="2" s="1"/>
  <c r="G1403" i="2"/>
  <c r="F1406" i="2"/>
  <c r="F1403" i="2" s="1"/>
  <c r="G1616" i="2"/>
  <c r="G1584" i="2"/>
  <c r="F1588" i="2"/>
  <c r="F1589" i="2"/>
  <c r="F1597" i="2"/>
  <c r="G1710" i="2"/>
  <c r="G1683" i="2"/>
  <c r="F1684" i="2"/>
  <c r="F1685" i="2"/>
  <c r="F1688" i="2"/>
  <c r="G1732" i="2"/>
  <c r="F1734" i="2"/>
  <c r="F1735" i="2"/>
  <c r="F1739" i="2"/>
  <c r="G1739" i="2"/>
  <c r="G1747" i="2"/>
  <c r="F1748" i="2"/>
  <c r="F1747" i="2" s="1"/>
  <c r="G1768" i="2"/>
  <c r="F1769" i="2"/>
  <c r="F1775" i="2"/>
  <c r="G1422" i="2"/>
  <c r="G1670" i="2"/>
  <c r="F1671" i="2"/>
  <c r="F1672" i="2"/>
  <c r="F1677" i="2"/>
  <c r="G1919" i="2"/>
  <c r="F1920" i="2"/>
  <c r="F1923" i="2"/>
  <c r="F1925" i="2"/>
  <c r="G1982" i="2"/>
  <c r="F1983" i="2"/>
  <c r="F1988" i="2"/>
  <c r="F1883" i="2"/>
  <c r="F1876" i="2" s="1"/>
  <c r="G2000" i="2"/>
  <c r="F2003" i="2"/>
  <c r="F2000" i="2" s="1"/>
  <c r="G2031" i="2"/>
  <c r="F2032" i="2"/>
  <c r="F2031" i="2" s="1"/>
  <c r="G2070" i="2"/>
  <c r="F2073" i="2"/>
  <c r="F2075" i="2"/>
  <c r="G2167" i="2"/>
  <c r="F2169" i="2"/>
  <c r="F2167" i="2" s="1"/>
  <c r="G2171" i="2"/>
  <c r="F2173" i="2"/>
  <c r="F2171" i="2" s="1"/>
  <c r="G2182" i="2"/>
  <c r="G2097" i="2"/>
  <c r="F2099" i="2"/>
  <c r="F2097" i="2" s="1"/>
  <c r="G2198" i="2"/>
  <c r="F2199" i="2"/>
  <c r="F2200" i="2"/>
  <c r="G1622" i="2"/>
  <c r="F1623" i="2"/>
  <c r="F1624" i="2"/>
  <c r="G2150" i="2"/>
  <c r="F2152" i="2"/>
  <c r="F2155" i="2"/>
  <c r="G2228" i="2"/>
  <c r="F2229" i="2"/>
  <c r="F2230" i="2"/>
  <c r="G2186" i="2"/>
  <c r="G2085" i="2"/>
  <c r="F2089" i="2"/>
  <c r="F2090" i="2"/>
  <c r="G2277" i="2"/>
  <c r="F2278" i="2"/>
  <c r="F2277" i="2" s="1"/>
  <c r="G2282" i="2"/>
  <c r="G2301" i="2"/>
  <c r="F2302" i="2"/>
  <c r="F2304" i="2"/>
  <c r="G2310" i="2"/>
  <c r="F2311" i="2"/>
  <c r="F2312" i="2"/>
  <c r="G2319" i="2"/>
  <c r="G1609" i="2"/>
  <c r="F1610" i="2"/>
  <c r="F1609" i="2" s="1"/>
  <c r="G2332" i="2"/>
  <c r="F2333" i="2"/>
  <c r="F2332" i="2" s="1"/>
  <c r="G2339" i="2"/>
  <c r="G2349" i="2"/>
  <c r="F2351" i="2"/>
  <c r="F2349" i="2" s="1"/>
  <c r="G2363" i="2"/>
  <c r="F2367" i="2"/>
  <c r="F2363" i="2" s="1"/>
  <c r="G2384" i="2"/>
  <c r="F2385" i="2"/>
  <c r="F2384" i="2" s="1"/>
  <c r="G1869" i="2"/>
  <c r="F1870" i="2"/>
  <c r="F1869" i="2" s="1"/>
  <c r="G2393" i="2"/>
  <c r="F2465" i="2"/>
  <c r="G2465" i="2"/>
  <c r="G1821" i="2"/>
  <c r="F1825" i="2"/>
  <c r="F1821" i="2" s="1"/>
  <c r="G2508" i="2"/>
  <c r="F2509" i="2"/>
  <c r="F2508" i="2" s="1"/>
  <c r="F2543" i="2"/>
  <c r="G2543" i="2"/>
  <c r="G2469" i="2"/>
  <c r="F2471" i="2"/>
  <c r="F2469" i="2" s="1"/>
  <c r="G2552" i="2"/>
  <c r="F2556" i="2"/>
  <c r="F2557" i="2"/>
  <c r="G2559" i="2"/>
  <c r="F2561" i="2"/>
  <c r="F2559" i="2" s="1"/>
  <c r="G1892" i="2"/>
  <c r="F1893" i="2"/>
  <c r="F1892" i="2" s="1"/>
  <c r="G2575" i="2"/>
  <c r="F2591" i="2"/>
  <c r="G2591" i="2"/>
  <c r="G1962" i="2"/>
  <c r="G2128" i="2"/>
  <c r="F2130" i="2"/>
  <c r="F2131" i="2"/>
  <c r="G2620" i="2"/>
  <c r="F2621" i="2"/>
  <c r="F2622" i="2"/>
  <c r="G2017" i="2"/>
  <c r="G2430" i="2"/>
  <c r="G2715" i="2"/>
  <c r="F2717" i="2"/>
  <c r="F2715" i="2" s="1"/>
  <c r="G2731" i="2"/>
  <c r="F2732" i="2"/>
  <c r="F2731" i="2" s="1"/>
  <c r="F2735" i="2"/>
  <c r="G2735" i="2"/>
  <c r="G2755" i="2"/>
  <c r="F2756" i="2"/>
  <c r="F2755" i="2" s="1"/>
  <c r="G2759" i="2"/>
  <c r="G2770" i="2"/>
  <c r="F2773" i="2"/>
  <c r="F2770" i="2" s="1"/>
  <c r="G2765" i="2"/>
  <c r="F2766" i="2"/>
  <c r="F2765" i="2" s="1"/>
  <c r="G2848" i="2"/>
  <c r="F2849" i="2"/>
  <c r="F2848" i="2" s="1"/>
  <c r="G2635" i="2"/>
  <c r="F2637" i="2"/>
  <c r="F2635" i="2" s="1"/>
  <c r="F2974" i="2"/>
  <c r="F2973" i="2" s="1"/>
  <c r="G2977" i="2"/>
  <c r="F2978" i="2"/>
  <c r="F2977" i="2" s="1"/>
  <c r="F2666" i="2"/>
  <c r="F2665" i="2" s="1"/>
  <c r="F2981" i="2"/>
  <c r="G2981" i="2"/>
  <c r="G3047" i="2"/>
  <c r="F3048" i="2"/>
  <c r="F3049" i="2"/>
  <c r="G3055" i="2"/>
  <c r="F3056" i="2"/>
  <c r="F3055" i="2" s="1"/>
  <c r="F3068" i="2"/>
  <c r="G3068" i="2"/>
  <c r="G3072" i="2"/>
  <c r="F3073" i="2"/>
  <c r="F3072" i="2" s="1"/>
  <c r="F3108" i="2"/>
  <c r="G3108" i="2"/>
  <c r="G3027" i="2"/>
  <c r="F3029" i="2"/>
  <c r="F3027" i="2" s="1"/>
  <c r="G3132" i="2"/>
  <c r="F3133" i="2"/>
  <c r="F3134" i="2"/>
  <c r="F3152" i="2"/>
  <c r="G3152" i="2"/>
  <c r="G3162" i="2"/>
  <c r="F3163" i="2"/>
  <c r="F3162" i="2" s="1"/>
  <c r="G3170" i="2"/>
  <c r="F3171" i="2"/>
  <c r="F3174" i="2"/>
  <c r="G3280" i="2"/>
  <c r="F3281" i="2"/>
  <c r="F3280" i="2" s="1"/>
  <c r="G2953" i="2"/>
  <c r="F2955" i="2"/>
  <c r="F2953" i="2" s="1"/>
  <c r="G3370" i="2"/>
  <c r="F3372" i="2"/>
  <c r="F3370" i="2" s="1"/>
  <c r="F3428" i="2"/>
  <c r="F1856" i="2"/>
  <c r="F1854" i="2" s="1"/>
  <c r="F1910" i="2"/>
  <c r="F1908" i="2" s="1"/>
  <c r="F2259" i="2"/>
  <c r="F2257" i="2" s="1"/>
  <c r="F1544" i="2"/>
  <c r="F1542" i="2" s="1"/>
  <c r="F1818" i="2"/>
  <c r="F1816" i="2" s="1"/>
  <c r="E1819" i="2"/>
  <c r="F1605" i="2"/>
  <c r="F1606" i="2"/>
  <c r="F3618" i="2"/>
  <c r="F3629" i="2"/>
  <c r="F3630" i="2"/>
  <c r="F3648" i="2"/>
  <c r="F3649" i="2"/>
  <c r="F3650" i="2"/>
  <c r="F3651" i="2"/>
  <c r="F3652" i="2"/>
  <c r="F3653" i="2"/>
  <c r="F3654" i="2"/>
  <c r="F3655" i="2"/>
  <c r="F3656" i="2"/>
  <c r="F3710" i="2"/>
  <c r="F3711" i="2"/>
  <c r="F3712" i="2"/>
  <c r="F3717" i="2"/>
  <c r="F2249" i="2"/>
  <c r="F2248" i="2" s="1"/>
  <c r="F3719" i="2"/>
  <c r="F2813" i="2"/>
  <c r="F2812" i="2" s="1"/>
  <c r="F3732" i="2"/>
  <c r="F1721" i="2"/>
  <c r="E1724" i="2"/>
  <c r="F1724" i="2" s="1"/>
  <c r="F1725" i="2"/>
  <c r="F3742" i="2"/>
  <c r="F3767" i="2"/>
  <c r="F3113" i="2"/>
  <c r="F3112" i="2" s="1"/>
  <c r="F3775" i="2"/>
  <c r="F3776" i="2"/>
  <c r="F3777" i="2"/>
  <c r="F3778" i="2"/>
  <c r="F3779" i="2"/>
  <c r="F3780" i="2"/>
  <c r="F3781" i="2"/>
  <c r="F1226" i="2"/>
  <c r="F1225" i="2" s="1"/>
  <c r="F1642" i="2"/>
  <c r="F1641" i="2" s="1"/>
  <c r="F3792" i="2"/>
  <c r="F3793" i="2"/>
  <c r="F3794" i="2"/>
  <c r="F3795" i="2"/>
  <c r="F3796" i="2"/>
  <c r="F3797" i="2"/>
  <c r="F3798" i="2"/>
  <c r="F3799" i="2"/>
  <c r="F3800" i="2"/>
  <c r="F3802" i="2"/>
  <c r="F1092" i="2"/>
  <c r="F1093" i="2"/>
  <c r="F3078" i="2"/>
  <c r="F3077" i="2" s="1"/>
  <c r="F3815" i="2"/>
  <c r="F3816" i="2"/>
  <c r="F3848" i="2"/>
  <c r="F2135" i="2"/>
  <c r="F2136" i="2"/>
  <c r="F1555" i="2"/>
  <c r="F1556" i="2"/>
  <c r="F3877" i="2"/>
  <c r="F3882" i="2"/>
  <c r="F3883" i="2"/>
  <c r="F3884" i="2"/>
  <c r="F3885" i="2"/>
  <c r="F3886" i="2"/>
  <c r="F3937" i="2"/>
  <c r="F3938" i="2"/>
  <c r="F3939" i="2"/>
  <c r="F3986" i="2"/>
  <c r="F3987" i="2"/>
  <c r="F3988" i="2"/>
  <c r="F4002" i="2"/>
  <c r="F4003" i="2"/>
  <c r="F4004" i="2"/>
  <c r="F4005" i="2"/>
  <c r="F2517" i="2"/>
  <c r="F2518" i="2"/>
  <c r="F2751" i="2"/>
  <c r="F2752" i="2"/>
  <c r="F2720" i="2"/>
  <c r="F2721" i="2"/>
  <c r="F3006" i="2"/>
  <c r="F3007" i="2"/>
  <c r="F1994" i="2"/>
  <c r="F1993" i="2" s="1"/>
  <c r="F3248" i="2"/>
  <c r="F3247" i="2" s="1"/>
  <c r="F3269" i="2"/>
  <c r="F3268" i="2" s="1"/>
  <c r="F3158" i="2"/>
  <c r="F3157" i="2" s="1"/>
  <c r="F3145" i="2"/>
  <c r="F3144" i="2" s="1"/>
  <c r="F3167" i="2"/>
  <c r="F3166" i="2" s="1"/>
  <c r="F3141" i="2"/>
  <c r="F3140" i="2" s="1"/>
  <c r="F3273" i="2"/>
  <c r="F3272" i="2" s="1"/>
  <c r="F1559" i="2"/>
  <c r="F1558" i="2" s="1"/>
  <c r="F2600" i="2"/>
  <c r="F2597" i="2" s="1"/>
  <c r="F2901" i="2"/>
  <c r="F2898" i="2" s="1"/>
  <c r="F1375" i="2"/>
  <c r="F1371" i="2" s="1" a="1"/>
  <c r="F1371" i="2" s="1"/>
  <c r="F2992" i="2"/>
  <c r="F2993" i="2"/>
  <c r="F3384" i="2"/>
  <c r="F3385" i="2"/>
  <c r="F1653" i="2"/>
  <c r="F1654" i="2"/>
  <c r="F1342" i="2"/>
  <c r="F1343" i="2"/>
  <c r="F2887" i="2"/>
  <c r="F2886" i="2" s="1"/>
  <c r="F3104" i="2"/>
  <c r="F3103" i="2" s="1"/>
  <c r="F3801" i="2"/>
  <c r="F1547" i="2"/>
  <c r="F1546" i="2" s="1"/>
  <c r="F2139" i="2"/>
  <c r="F2142" i="2"/>
  <c r="F1758" i="2"/>
  <c r="F1759" i="2"/>
  <c r="F2615" i="2"/>
  <c r="F2612" i="2" s="1"/>
  <c r="F3129" i="2"/>
  <c r="F3128" i="2" s="1"/>
  <c r="F3087" i="2"/>
  <c r="F3086" i="2" s="1"/>
  <c r="F2375" i="2"/>
  <c r="F2374" i="2" s="1"/>
  <c r="F3380" i="2"/>
  <c r="F3378" i="2" s="1"/>
  <c r="F1202" i="2"/>
  <c r="F1204" i="2"/>
  <c r="F2106" i="2"/>
  <c r="F2104" i="2" s="1"/>
  <c r="F2475" i="2"/>
  <c r="F2476" i="2"/>
  <c r="F2477" i="2"/>
  <c r="F2478" i="2"/>
  <c r="F2272" i="2"/>
  <c r="F2273" i="2"/>
  <c r="F2274" i="2"/>
  <c r="F2275" i="2"/>
  <c r="F2609" i="2"/>
  <c r="F2610" i="2"/>
  <c r="F3623" i="2"/>
  <c r="F3624" i="2"/>
  <c r="F3625" i="2"/>
  <c r="F1930" i="2"/>
  <c r="F1933" i="2"/>
  <c r="F3626" i="2"/>
  <c r="F2042" i="2"/>
  <c r="F2043" i="2"/>
  <c r="F2572" i="2"/>
  <c r="F2573" i="2"/>
  <c r="F2356" i="2"/>
  <c r="F2357" i="2"/>
  <c r="F1192" i="2"/>
  <c r="F1193" i="2"/>
  <c r="F3783" i="2"/>
  <c r="F3784" i="2"/>
  <c r="F3785" i="2"/>
  <c r="F3786" i="2"/>
  <c r="F3787" i="2"/>
  <c r="F3926" i="2"/>
  <c r="F3927" i="2"/>
  <c r="F3928" i="2"/>
  <c r="F3929" i="2"/>
  <c r="F3930" i="2"/>
  <c r="F3931" i="2"/>
  <c r="F3838" i="2"/>
  <c r="F3839" i="2"/>
  <c r="F896" i="2"/>
  <c r="F894" i="2" s="1"/>
  <c r="F2833" i="2"/>
  <c r="F2832" i="2" s="1"/>
  <c r="F2968" i="2"/>
  <c r="F2969" i="2"/>
  <c r="F2971" i="2"/>
  <c r="F3822" i="2"/>
  <c r="F3210" i="2"/>
  <c r="F3211" i="2"/>
  <c r="F3095" i="2"/>
  <c r="F3096" i="2"/>
  <c r="F3823" i="2"/>
  <c r="F2290" i="2"/>
  <c r="F2291" i="2"/>
  <c r="F3236" i="2"/>
  <c r="F3237" i="2"/>
  <c r="F3022" i="2"/>
  <c r="F3023" i="2"/>
  <c r="F3550" i="2"/>
  <c r="F3862" i="2"/>
  <c r="F2537" i="2"/>
  <c r="F2538" i="2"/>
  <c r="F1153" i="2"/>
  <c r="F1150" i="2" s="1"/>
  <c r="F962" i="2"/>
  <c r="F963" i="2"/>
  <c r="F3456" i="2"/>
  <c r="F3457" i="2"/>
  <c r="F3458" i="2"/>
  <c r="F1979" i="2"/>
  <c r="F1980" i="2"/>
  <c r="F1795" i="2"/>
  <c r="F1793" i="2" s="1"/>
  <c r="F1250" i="2"/>
  <c r="F1248" i="2" s="1"/>
  <c r="F1393" i="2"/>
  <c r="F1390" i="2" s="1"/>
  <c r="F2489" i="2"/>
  <c r="F2487" i="2" s="1"/>
  <c r="F2437" i="2"/>
  <c r="F2435" i="2" s="1"/>
  <c r="F2946" i="2"/>
  <c r="F2944" i="2" s="1"/>
  <c r="F1513" i="2"/>
  <c r="F1511" i="2" s="1"/>
  <c r="F2692" i="2"/>
  <c r="F2691" i="2" s="1"/>
  <c r="F2661" i="2"/>
  <c r="F2660" i="2" s="1"/>
  <c r="F2837" i="2"/>
  <c r="F2836" i="2" s="1"/>
  <c r="F1938" i="2"/>
  <c r="F1937" i="2" s="1"/>
  <c r="F3634" i="2"/>
  <c r="F3635" i="2"/>
  <c r="F3769" i="2"/>
  <c r="F3770" i="2"/>
  <c r="F3771" i="2"/>
  <c r="F3772" i="2"/>
  <c r="F3773" i="2"/>
  <c r="F3846" i="2"/>
  <c r="F3847" i="2"/>
  <c r="F3010" i="2"/>
  <c r="F3009" i="2" s="1"/>
  <c r="F3700" i="2"/>
  <c r="F2656" i="2"/>
  <c r="F2657" i="2"/>
  <c r="F2960" i="2"/>
  <c r="F2959" i="2" s="1"/>
  <c r="F3708" i="2"/>
  <c r="F3709" i="2"/>
  <c r="F3376" i="2"/>
  <c r="F3374" i="2" s="1"/>
  <c r="F3997" i="2"/>
  <c r="F2689" i="2"/>
  <c r="F2686" i="2" s="1"/>
  <c r="F2193" i="2"/>
  <c r="F2194" i="2"/>
  <c r="F2346" i="2"/>
  <c r="F2345" i="2" s="1"/>
  <c r="F2214" i="2"/>
  <c r="F2215" i="2"/>
  <c r="F3701" i="2"/>
  <c r="F2866" i="2"/>
  <c r="F2865" i="2" s="1"/>
  <c r="F3567" i="2"/>
  <c r="F3568" i="2"/>
  <c r="F3569" i="2"/>
  <c r="F1790" i="2"/>
  <c r="F1789" i="2" s="1"/>
  <c r="F3551" i="2"/>
  <c r="F3552" i="2"/>
  <c r="F3570" i="2"/>
  <c r="F3571" i="2"/>
  <c r="F3572" i="2"/>
  <c r="F2206" i="2"/>
  <c r="F2205" i="2" s="1"/>
  <c r="F3768" i="2"/>
  <c r="F1367" i="2"/>
  <c r="F1365" i="2" s="1"/>
  <c r="F3998" i="2"/>
  <c r="F3999" i="2"/>
  <c r="F4000" i="2"/>
  <c r="F4012" i="2"/>
  <c r="F4013" i="2"/>
  <c r="F3995" i="2"/>
  <c r="F3996" i="2"/>
  <c r="F419" i="2"/>
  <c r="F418" i="2" s="1"/>
  <c r="F3871" i="2"/>
  <c r="F3872" i="2"/>
  <c r="L3149" i="2"/>
  <c r="F3150" i="2"/>
  <c r="F3148" i="2" s="1"/>
  <c r="L2426" i="2"/>
  <c r="F2428" i="2"/>
  <c r="F2425" i="2" s="1"/>
  <c r="L3826" i="2"/>
  <c r="L2891" i="2"/>
  <c r="L2895" i="2"/>
  <c r="L3827" i="2"/>
  <c r="L1850" i="2"/>
  <c r="F1851" i="2"/>
  <c r="F1849" i="2" s="1"/>
  <c r="F3604" i="2"/>
  <c r="F3605" i="2"/>
  <c r="F3606" i="2"/>
  <c r="F2793" i="2"/>
  <c r="F2794" i="2"/>
  <c r="F4015" i="2"/>
  <c r="F4016" i="2"/>
  <c r="F4017" i="2"/>
  <c r="F4018" i="2"/>
  <c r="F3215" i="2"/>
  <c r="F3213" i="2" s="1"/>
  <c r="F2949" i="2"/>
  <c r="F2950" i="2"/>
  <c r="F3344" i="2"/>
  <c r="F3345" i="2"/>
  <c r="F3729" i="2"/>
  <c r="F2937" i="2"/>
  <c r="F2938" i="2"/>
  <c r="F3702" i="2"/>
  <c r="F2929" i="2"/>
  <c r="F2928" i="2" s="1"/>
  <c r="F2804" i="2"/>
  <c r="F2803" i="2" s="1"/>
  <c r="F3644" i="2"/>
  <c r="F2779" i="2"/>
  <c r="F2778" i="2" s="1"/>
  <c r="F2399" i="2"/>
  <c r="F2398" i="2" s="1"/>
  <c r="F2442" i="2"/>
  <c r="F2441" i="2" s="1"/>
  <c r="F3645" i="2"/>
  <c r="F2568" i="2"/>
  <c r="F2567" i="2" s="1"/>
  <c r="F3646" i="2"/>
  <c r="F3647" i="2"/>
  <c r="F3298" i="2"/>
  <c r="F3296" i="2" s="1"/>
  <c r="F3991" i="2"/>
  <c r="F3992" i="2"/>
  <c r="F3993" i="2"/>
  <c r="F3994" i="2"/>
  <c r="F870" i="2"/>
  <c r="F869" i="2" s="1"/>
  <c r="F3427" i="2"/>
  <c r="F653" i="2"/>
  <c r="F652" i="2" s="1"/>
  <c r="F3415" i="2"/>
  <c r="F3416" i="2"/>
  <c r="F3417" i="2"/>
  <c r="F861" i="2"/>
  <c r="F860" i="2" s="1"/>
  <c r="F1119" i="2"/>
  <c r="F1118" i="2" s="1"/>
  <c r="F828" i="2"/>
  <c r="F827" i="2" s="1"/>
  <c r="F3413" i="2"/>
  <c r="F457" i="2"/>
  <c r="F456" i="2" s="1"/>
  <c r="E459" i="2"/>
  <c r="F776" i="2"/>
  <c r="F775" i="2" s="1"/>
  <c r="F3433" i="2"/>
  <c r="F3434" i="2"/>
  <c r="F1187" i="2"/>
  <c r="F1188" i="2"/>
  <c r="F1189" i="2"/>
  <c r="F1783" i="2"/>
  <c r="F1779" i="2" s="1"/>
  <c r="F3449" i="2"/>
  <c r="F3450" i="2"/>
  <c r="F3451" i="2"/>
  <c r="F1337" i="2"/>
  <c r="F1336" i="2" s="1"/>
  <c r="F3452" i="2"/>
  <c r="F3453" i="2"/>
  <c r="F3454" i="2"/>
  <c r="F3444" i="2"/>
  <c r="F1480" i="2"/>
  <c r="E1481" i="2"/>
  <c r="F1481" i="2"/>
  <c r="F3445" i="2"/>
  <c r="F3507" i="2"/>
  <c r="F3508" i="2"/>
  <c r="F3509" i="2"/>
  <c r="F3510" i="2"/>
  <c r="F3511" i="2"/>
  <c r="F3512" i="2"/>
  <c r="F3513" i="2"/>
  <c r="F1232" i="2"/>
  <c r="F1231" i="2" s="1"/>
  <c r="F1418" i="2"/>
  <c r="F1420" i="2"/>
  <c r="F3480" i="2"/>
  <c r="F2048" i="2"/>
  <c r="F2047" i="2" s="1"/>
  <c r="F3666" i="2"/>
  <c r="F3851" i="2"/>
  <c r="F3437" i="2"/>
  <c r="F3438" i="2"/>
  <c r="F3439" i="2"/>
  <c r="F3440" i="2"/>
  <c r="F889" i="2"/>
  <c r="F891" i="2"/>
  <c r="F3441" i="2"/>
  <c r="F3442" i="2"/>
  <c r="F3443" i="2"/>
  <c r="F3421" i="2"/>
  <c r="F3422" i="2"/>
  <c r="F3423" i="2"/>
  <c r="F3424" i="2"/>
  <c r="F3564" i="2"/>
  <c r="F3565" i="2"/>
  <c r="F3566" i="2"/>
  <c r="F2870" i="2"/>
  <c r="F2871" i="2"/>
  <c r="F2853" i="2"/>
  <c r="F2854" i="2"/>
  <c r="F2821" i="2"/>
  <c r="F2822" i="2"/>
  <c r="F3737" i="2"/>
  <c r="F3738" i="2"/>
  <c r="F1141" i="2"/>
  <c r="F1139" i="2" s="1"/>
  <c r="F985" i="2"/>
  <c r="F983" i="2" s="1"/>
  <c r="E988" i="2"/>
  <c r="F3448" i="2"/>
  <c r="F900" i="2"/>
  <c r="F899" i="2" s="1"/>
  <c r="F2382" i="2"/>
  <c r="F2380" i="2" s="1"/>
  <c r="F3599" i="2"/>
  <c r="F3600" i="2"/>
  <c r="F3601" i="2"/>
  <c r="F3602" i="2"/>
  <c r="F979" i="2"/>
  <c r="F977" i="2" s="1"/>
  <c r="F3447" i="2"/>
  <c r="F1321" i="2"/>
  <c r="F1322" i="2"/>
  <c r="F1323" i="2"/>
  <c r="F1519" i="2"/>
  <c r="F1516" i="2" s="1"/>
  <c r="F3990" i="2"/>
  <c r="F3100" i="2"/>
  <c r="F3099" i="2" s="1"/>
  <c r="F3714" i="2"/>
  <c r="F3715" i="2"/>
  <c r="F2219" i="2"/>
  <c r="F2218" i="2" s="1"/>
  <c r="F1837" i="2"/>
  <c r="F3765" i="2"/>
  <c r="F3766" i="2"/>
  <c r="F3202" i="2"/>
  <c r="F3201" i="2" s="1"/>
  <c r="F3228" i="2"/>
  <c r="F3229" i="2"/>
  <c r="F3940" i="2"/>
  <c r="F3941" i="2"/>
  <c r="F3942" i="2"/>
  <c r="F3943" i="2"/>
  <c r="F3944" i="2"/>
  <c r="F3945" i="2"/>
  <c r="F3763" i="2"/>
  <c r="F3764" i="2"/>
  <c r="F2418" i="2"/>
  <c r="F2417" i="2" s="1"/>
  <c r="F2414" i="2"/>
  <c r="F2413" i="2" s="1"/>
  <c r="F2495" i="2"/>
  <c r="F2494" i="2" s="1"/>
  <c r="F2825" i="2"/>
  <c r="F2824" i="2" s="1"/>
  <c r="F3757" i="2"/>
  <c r="F3758" i="2"/>
  <c r="F2587" i="2"/>
  <c r="F2589" i="2"/>
  <c r="F2677" i="2"/>
  <c r="F2676" i="2" s="1"/>
  <c r="F3788" i="2"/>
  <c r="F3038" i="2"/>
  <c r="F3039" i="2"/>
  <c r="F3040" i="2"/>
  <c r="F3041" i="2"/>
  <c r="F2933" i="2"/>
  <c r="F2932" i="2" s="1"/>
  <c r="F3293" i="2"/>
  <c r="F3294" i="2"/>
  <c r="F3285" i="2"/>
  <c r="F3286" i="2"/>
  <c r="F3852" i="2"/>
  <c r="F3356" i="2"/>
  <c r="F3357" i="2"/>
  <c r="F1221" i="2"/>
  <c r="F1220" i="2" s="1"/>
  <c r="I1222" i="2"/>
  <c r="I2028" i="2"/>
  <c r="F2505" i="2"/>
  <c r="F2504" i="2" s="1"/>
  <c r="F3627" i="2"/>
  <c r="F3628" i="2"/>
  <c r="K3412" i="2"/>
  <c r="K1146" i="2"/>
  <c r="F1147" i="2"/>
  <c r="F1145" i="2" s="1"/>
  <c r="F3546" i="2"/>
  <c r="K3546" i="2" s="1"/>
  <c r="F1123" i="2"/>
  <c r="F1124" i="2"/>
  <c r="K1124" i="2" s="1"/>
  <c r="K1125" i="2"/>
  <c r="K1126" i="2"/>
  <c r="F1212" i="2"/>
  <c r="F1213" i="2"/>
  <c r="K1213" i="2" s="1"/>
  <c r="K1214" i="2"/>
  <c r="E3462" i="2"/>
  <c r="E1183" i="2"/>
  <c r="E1184" i="2"/>
  <c r="F1184" i="2" s="1"/>
  <c r="F1181" i="2" s="1" a="1"/>
  <c r="F1181" i="2" s="1"/>
  <c r="E3463" i="2"/>
  <c r="E1833" i="2"/>
  <c r="F1834" i="2"/>
  <c r="F1832" i="2" s="1"/>
  <c r="E3464" i="2"/>
  <c r="E3446" i="2"/>
  <c r="F3446" i="2" s="1"/>
  <c r="F3705" i="2"/>
  <c r="F1431" i="2"/>
  <c r="F1432" i="2"/>
  <c r="F1539" i="2"/>
  <c r="F1540" i="2"/>
  <c r="F3521" i="2"/>
  <c r="F3522" i="2"/>
  <c r="F3675" i="2"/>
  <c r="F3539" i="2"/>
  <c r="F3540" i="2"/>
  <c r="F1648" i="2"/>
  <c r="F1647" i="2" s="1"/>
  <c r="F3475" i="2"/>
  <c r="F3476" i="2"/>
  <c r="F3622" i="2"/>
  <c r="F1950" i="2"/>
  <c r="F1949" i="2" s="1"/>
  <c r="F2057" i="2"/>
  <c r="F2056" i="2" s="1"/>
  <c r="F3504" i="2"/>
  <c r="F3505" i="2"/>
  <c r="F2061" i="2"/>
  <c r="F2060" i="2" s="1"/>
  <c r="E3411" i="2"/>
  <c r="E3429" i="2"/>
  <c r="F3429" i="2"/>
  <c r="F3596" i="2"/>
  <c r="F1697" i="2"/>
  <c r="F1696" i="2" s="1"/>
  <c r="F3597" i="2"/>
  <c r="F1504" i="2"/>
  <c r="F1503" i="2" s="1"/>
  <c r="F1508" i="2"/>
  <c r="F1507" i="2" s="1"/>
  <c r="F1914" i="2"/>
  <c r="F1913" i="2" s="1"/>
  <c r="F1716" i="2"/>
  <c r="F1715" i="2" s="1"/>
  <c r="F2238" i="2"/>
  <c r="F2233" i="2" s="1"/>
  <c r="F3278" i="2"/>
  <c r="F3276" i="2" s="1"/>
  <c r="F1487" i="2" l="1"/>
  <c r="F1030" i="2"/>
  <c r="F1447" i="2"/>
  <c r="F531" i="2"/>
  <c r="F949" i="2"/>
  <c r="F1260" i="2"/>
  <c r="F520" i="2"/>
  <c r="F1349" i="2"/>
  <c r="F3021" i="2"/>
  <c r="F1683" i="2"/>
  <c r="F567" i="2"/>
  <c r="F2790" i="2"/>
  <c r="F1340" i="2"/>
  <c r="F1538" i="2"/>
  <c r="F608" i="2"/>
  <c r="F330" i="2"/>
  <c r="J330" i="2" s="1"/>
  <c r="F51" i="2"/>
  <c r="J51" i="2" s="1"/>
  <c r="F873" i="2"/>
  <c r="F554" i="2"/>
  <c r="F593" i="2"/>
  <c r="F490" i="2"/>
  <c r="F544" i="2"/>
  <c r="F746" i="2"/>
  <c r="J747" i="2" s="1"/>
  <c r="F1430" i="2"/>
  <c r="F3284" i="2"/>
  <c r="F3292" i="2"/>
  <c r="F3037" i="2"/>
  <c r="F2586" i="2"/>
  <c r="F3227" i="2"/>
  <c r="F1320" i="2"/>
  <c r="F3355" i="2"/>
  <c r="F213" i="2"/>
  <c r="J213" i="2" s="1"/>
  <c r="F461" i="2"/>
  <c r="J461" i="2" s="1"/>
  <c r="F690" i="2"/>
  <c r="J690" i="2" s="1"/>
  <c r="F174" i="2"/>
  <c r="J174" i="2" s="1"/>
  <c r="F623" i="2"/>
  <c r="F1584" i="2"/>
  <c r="F1719" i="2"/>
  <c r="F2534" i="2"/>
  <c r="F372" i="2"/>
  <c r="J372" i="2" s="1"/>
  <c r="F1274" i="2"/>
  <c r="F2820" i="2"/>
  <c r="F1670" i="2"/>
  <c r="F133" i="2"/>
  <c r="F2265" i="2"/>
  <c r="F1061" i="2"/>
  <c r="F101" i="2"/>
  <c r="J101" i="2" s="1"/>
  <c r="F1211" i="2"/>
  <c r="F21" i="2"/>
  <c r="Q21" i="2"/>
  <c r="K1212" i="2"/>
  <c r="F1622" i="2"/>
  <c r="F1768" i="2"/>
  <c r="F959" i="2"/>
  <c r="F965" i="2"/>
  <c r="F888" i="2"/>
  <c r="F927" i="2"/>
  <c r="G71" i="3"/>
  <c r="F1163" i="2"/>
  <c r="F437" i="2"/>
  <c r="F445" i="2"/>
  <c r="F1242" i="2"/>
  <c r="F425" i="2"/>
  <c r="F304" i="2"/>
  <c r="J304" i="2" s="1"/>
  <c r="G105" i="3"/>
  <c r="F2852" i="2"/>
  <c r="F707" i="2"/>
  <c r="J707" i="2" s="1"/>
  <c r="F1757" i="2"/>
  <c r="F2085" i="2"/>
  <c r="K1147" i="2"/>
  <c r="F1651" i="2"/>
  <c r="F2869" i="2"/>
  <c r="F726" i="2"/>
  <c r="F1090" i="2"/>
  <c r="F1014" i="2"/>
  <c r="K1123" i="2"/>
  <c r="F1122" i="2"/>
  <c r="F1732" i="2"/>
  <c r="F2909" i="2"/>
  <c r="F831" i="2"/>
  <c r="F846" i="2"/>
  <c r="F1191" i="2"/>
  <c r="F1836" i="2"/>
  <c r="F1417" i="2"/>
  <c r="F1479" i="2"/>
  <c r="F2128" i="2"/>
  <c r="F1186" i="2"/>
  <c r="F737" i="2"/>
  <c r="F789" i="2"/>
  <c r="F1003" i="2"/>
  <c r="F779" i="2"/>
  <c r="F2936" i="2"/>
  <c r="F2948" i="2"/>
  <c r="F2213" i="2"/>
  <c r="F3343" i="2"/>
  <c r="F2655" i="2"/>
  <c r="F1976" i="2"/>
  <c r="F3235" i="2"/>
  <c r="F2289" i="2"/>
  <c r="F3094" i="2"/>
  <c r="F3209" i="2"/>
  <c r="F2967" i="2"/>
  <c r="F2571" i="2"/>
  <c r="F2355" i="2"/>
  <c r="F2041" i="2"/>
  <c r="F2608" i="2"/>
  <c r="F1929" i="2"/>
  <c r="F2474" i="2"/>
  <c r="F2271" i="2"/>
  <c r="F2192" i="2"/>
  <c r="F1199" i="2"/>
  <c r="F2138" i="2"/>
  <c r="F3383" i="2"/>
  <c r="F2991" i="2"/>
  <c r="F2150" i="2"/>
  <c r="F2070" i="2"/>
  <c r="F1311" i="2"/>
  <c r="F3005" i="2"/>
  <c r="F2719" i="2"/>
  <c r="F2750" i="2"/>
  <c r="F2516" i="2"/>
  <c r="F1554" i="2"/>
  <c r="F2134" i="2"/>
  <c r="F1603" i="2"/>
  <c r="F2228" i="2"/>
  <c r="F2552" i="2"/>
  <c r="F2301" i="2"/>
  <c r="F2620" i="2"/>
  <c r="F2310" i="2"/>
  <c r="F2198" i="2"/>
  <c r="F1919" i="2"/>
  <c r="F1982" i="2"/>
  <c r="F156" i="2"/>
  <c r="F441" i="2"/>
  <c r="F163" i="2"/>
  <c r="J1435" i="2"/>
  <c r="J1206" i="2"/>
  <c r="J274" i="2"/>
  <c r="F142" i="2"/>
  <c r="J142" i="2" s="1"/>
  <c r="F3132" i="2"/>
  <c r="J245" i="2"/>
  <c r="F149" i="2"/>
  <c r="F3170" i="2"/>
  <c r="F3047"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91"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<sst xmlns="http://schemas.openxmlformats.org/spreadsheetml/2006/main" count="23236" uniqueCount="7835">
  <si>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</si>
  <si>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</si>
  <si>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</si>
  <si>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</si>
  <si>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</si>
  <si>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</si>
  <si>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</si>
  <si>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</si>
  <si>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</si>
  <si>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</si>
  <si>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</si>
  <si>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</si>
  <si>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</si>
  <si>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</si>
  <si>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</si>
  <si>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</si>
  <si>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</si>
  <si>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</si>
  <si>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</si>
  <si>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</si>
  <si>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</si>
  <si>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</si>
  <si>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</si>
  <si>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</si>
  <si>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</si>
  <si>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</si>
  <si>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</si>
  <si>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</si>
  <si>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</si>
  <si>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</si>
  <si>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</si>
  <si>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</si>
  <si>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</si>
  <si>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</si>
  <si>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</si>
  <si>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</si>
  <si>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</si>
  <si>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</si>
  <si>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</si>
  <si>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</si>
  <si>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</si>
  <si>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</si>
  <si>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</si>
  <si>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</si>
  <si>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</si>
  <si>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</si>
  <si>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</si>
  <si>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</si>
  <si>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</si>
  <si>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</si>
  <si>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</si>
  <si>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</si>
  <si>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</si>
  <si>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</si>
  <si>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</si>
  <si>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</si>
  <si>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</si>
  <si>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</si>
  <si>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</si>
  <si>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</si>
  <si>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</si>
  <si>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</si>
  <si>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</si>
  <si>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</si>
  <si>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</si>
  <si>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</si>
  <si>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</si>
  <si>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</si>
  <si>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</si>
  <si>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</si>
  <si>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</si>
  <si>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</si>
  <si>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</si>
  <si>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</si>
  <si>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</si>
  <si>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</si>
  <si>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</si>
  <si>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</si>
  <si>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</si>
  <si>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</si>
  <si>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</si>
  <si>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</si>
  <si>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</si>
  <si>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</si>
  <si>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</si>
  <si>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</si>
  <si>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</si>
  <si>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</si>
  <si>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</si>
  <si>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</si>
  <si>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</si>
  <si>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</si>
  <si>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</si>
  <si>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</si>
  <si>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</si>
  <si>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</si>
  <si>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</si>
  <si>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</si>
  <si>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</si>
  <si>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</si>
  <si>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</si>
  <si>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</si>
  <si>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</si>
  <si>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</si>
  <si>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</si>
  <si>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</si>
  <si>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</si>
  <si>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</si>
  <si>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</si>
  <si>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</si>
  <si>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</si>
  <si>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</si>
  <si>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</si>
  <si>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</si>
  <si>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</si>
  <si>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</si>
  <si>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</si>
  <si>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</si>
  <si>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</si>
  <si>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</si>
  <si>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</si>
  <si>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</si>
  <si>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</si>
  <si>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</si>
  <si>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</si>
  <si>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</si>
  <si>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</si>
  <si>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</si>
  <si>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</si>
  <si>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</si>
  <si>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</si>
  <si>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</si>
  <si>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</si>
  <si>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</si>
  <si>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</si>
  <si>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</si>
  <si>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</si>
  <si>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</si>
  <si>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</si>
  <si>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</si>
  <si>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</si>
  <si>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</si>
  <si>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</si>
  <si>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</si>
  <si>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</si>
  <si>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</si>
  <si>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</si>
  <si>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</si>
  <si>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</si>
  <si>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</si>
  <si>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</si>
  <si>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</si>
  <si>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</si>
  <si>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</si>
  <si>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</si>
  <si>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</si>
  <si>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</si>
  <si>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</si>
  <si>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</si>
  <si>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</si>
  <si>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</si>
  <si>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</si>
  <si>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</si>
  <si>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</si>
  <si>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</si>
  <si>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</si>
  <si>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</si>
  <si>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</si>
  <si>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</si>
  <si>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</si>
  <si>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</si>
  <si>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</si>
  <si>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</si>
  <si>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</si>
  <si>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</si>
  <si>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</si>
  <si>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</si>
  <si>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</si>
  <si>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</si>
  <si>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</si>
  <si>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</si>
  <si>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</si>
  <si>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</si>
  <si>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</si>
  <si>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</si>
  <si>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</si>
  <si>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</si>
  <si>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</si>
  <si>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</si>
  <si>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</si>
  <si>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</si>
  <si>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</si>
  <si>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</si>
  <si>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</si>
  <si>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</si>
  <si>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</si>
  <si>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</si>
  <si>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</si>
  <si>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</si>
  <si>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</si>
  <si>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</si>
  <si>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</si>
  <si>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</si>
  <si>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</si>
  <si>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</si>
  <si>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</si>
  <si>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</si>
  <si>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</si>
  <si>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</si>
  <si>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</si>
  <si>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</si>
  <si>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</si>
  <si>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</si>
  <si>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</si>
  <si>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</si>
  <si>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</si>
  <si>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</si>
  <si>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</si>
  <si>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</si>
  <si>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</si>
  <si>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</si>
  <si>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</si>
  <si>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</si>
  <si>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</si>
  <si>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</si>
  <si>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</si>
  <si>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</si>
  <si>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</si>
  <si>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</si>
  <si>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</si>
  <si>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</si>
  <si>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</si>
  <si>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</si>
  <si>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</si>
  <si>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</si>
  <si>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</si>
  <si>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</si>
  <si>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</si>
  <si>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</si>
  <si>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</si>
  <si>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</si>
  <si>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</si>
  <si>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</si>
  <si>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</si>
  <si>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</si>
  <si>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</si>
  <si>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</si>
  <si>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</si>
  <si>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</si>
  <si>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</si>
  <si>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</si>
  <si>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</si>
  <si>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</si>
  <si>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</si>
  <si>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</si>
  <si>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</si>
  <si>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</si>
  <si>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</si>
  <si>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</si>
  <si>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</si>
  <si>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</si>
  <si>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</si>
  <si>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</si>
  <si>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</si>
  <si>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</si>
  <si>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</si>
  <si>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</si>
  <si>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</si>
  <si>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</si>
  <si>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</si>
  <si>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</si>
  <si>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</si>
  <si>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</si>
  <si>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</si>
  <si>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</si>
  <si>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</si>
  <si>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</si>
  <si>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</si>
  <si>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</si>
  <si>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</si>
  <si>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</si>
  <si>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</si>
  <si>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</si>
  <si>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</si>
  <si>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</si>
  <si>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</si>
  <si>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</si>
  <si>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</si>
  <si>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</si>
  <si>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</si>
  <si>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</si>
  <si>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</si>
  <si>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</si>
  <si>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</si>
  <si>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</si>
  <si>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</si>
  <si>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</si>
  <si>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</si>
  <si>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</si>
  <si>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</si>
  <si>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</si>
  <si>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</si>
  <si>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</si>
  <si>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</si>
  <si>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</si>
  <si>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</si>
  <si>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</si>
  <si>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</si>
  <si>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</si>
  <si>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</si>
  <si>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</si>
  <si>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</si>
  <si>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</si>
  <si>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</si>
  <si>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</si>
  <si>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</si>
  <si>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</si>
  <si>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</si>
  <si>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</si>
  <si>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</si>
  <si>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</si>
  <si>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</si>
  <si>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</si>
  <si>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</si>
  <si>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</si>
  <si>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</si>
  <si>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</si>
  <si>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</si>
  <si>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</si>
  <si>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</si>
  <si>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</si>
  <si>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</si>
  <si>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</si>
  <si>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</si>
  <si>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</si>
  <si>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</si>
  <si>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</si>
  <si>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</si>
  <si>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</si>
  <si>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</si>
  <si>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</si>
  <si>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</si>
  <si>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</si>
  <si>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</si>
  <si>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</si>
  <si>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</si>
  <si>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</si>
  <si>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</si>
  <si>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</si>
  <si>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</si>
  <si>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</si>
  <si>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</si>
  <si>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</si>
  <si>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</si>
  <si>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</si>
  <si>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</si>
  <si>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</si>
  <si>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</si>
  <si>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</si>
  <si>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</si>
  <si>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</si>
  <si>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</si>
  <si>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</si>
  <si>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</si>
  <si>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</si>
  <si>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</si>
  <si>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</si>
  <si>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</si>
  <si>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</si>
  <si>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</si>
  <si>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</si>
  <si>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</si>
  <si>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</si>
  <si>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</si>
  <si>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</si>
  <si>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</si>
  <si>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</si>
  <si>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</si>
  <si>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</si>
  <si>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</si>
  <si>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</si>
  <si>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</si>
  <si>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</si>
  <si>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</si>
  <si>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</si>
  <si>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</si>
  <si>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</si>
  <si>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</si>
  <si>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</si>
  <si>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</si>
  <si>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</si>
  <si>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</si>
  <si>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</si>
  <si>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</si>
  <si>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</si>
  <si>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</si>
  <si>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</si>
  <si>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</si>
  <si>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</si>
  <si>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</si>
  <si>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</si>
  <si>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</si>
  <si>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</si>
  <si>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</si>
  <si>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</si>
  <si>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</si>
  <si>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</si>
  <si>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</si>
  <si>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</si>
  <si>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</si>
  <si>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</si>
  <si>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</si>
  <si>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</si>
  <si>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</si>
  <si>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</si>
  <si>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</si>
  <si>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</si>
  <si>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</si>
  <si>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</si>
  <si>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</si>
  <si>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</si>
  <si>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</si>
  <si>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</si>
  <si>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</si>
  <si>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</si>
  <si>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</si>
  <si>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</si>
  <si>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</si>
  <si>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</si>
  <si>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</si>
  <si>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</si>
  <si>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</si>
  <si>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</si>
  <si>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</si>
  <si>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</si>
  <si>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</si>
  <si>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</si>
  <si>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</si>
  <si>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</si>
  <si>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</si>
  <si>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</si>
  <si>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</si>
  <si>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</si>
  <si>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</si>
  <si>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</si>
  <si>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</si>
  <si>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</si>
  <si>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</si>
  <si>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</si>
  <si>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</si>
  <si>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</si>
  <si>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</si>
  <si>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</si>
  <si>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</si>
  <si>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</si>
  <si>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</si>
  <si>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</si>
  <si>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</si>
  <si>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</si>
  <si>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</si>
  <si>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</si>
  <si>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</si>
  <si>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</si>
  <si>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</si>
  <si>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</si>
  <si>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</si>
  <si>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</si>
  <si>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</si>
  <si>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</si>
  <si>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</si>
  <si>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</si>
  <si>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</si>
  <si>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</si>
  <si>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</si>
  <si>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</si>
  <si>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</si>
  <si>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</si>
  <si>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</si>
  <si>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</si>
  <si>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</si>
  <si>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</si>
  <si>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</si>
  <si>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</si>
  <si>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</si>
  <si>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</si>
  <si>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</si>
  <si>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</si>
  <si>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</si>
  <si>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</si>
  <si>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</si>
  <si>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</si>
  <si>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</si>
  <si>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</si>
  <si>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</si>
  <si>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</si>
  <si>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</si>
  <si>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</si>
  <si>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</si>
  <si>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</si>
  <si>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</si>
  <si>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</si>
  <si>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</si>
  <si>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</si>
  <si>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</si>
  <si>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</si>
  <si>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</si>
  <si>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</si>
  <si>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</si>
  <si>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</si>
  <si>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</si>
  <si>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</si>
  <si>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</si>
  <si>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</si>
  <si>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</si>
  <si>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</si>
  <si>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</si>
  <si>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</si>
  <si>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</si>
  <si>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</si>
  <si>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</si>
  <si>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</si>
  <si>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</si>
  <si>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</si>
  <si>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</si>
  <si>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</si>
  <si>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</si>
  <si>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</si>
  <si>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</si>
  <si>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</si>
  <si>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</si>
  <si>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</si>
  <si>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</si>
  <si>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</si>
  <si>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</si>
  <si>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</si>
  <si>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</si>
  <si>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</si>
  <si>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</si>
  <si>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</si>
  <si>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</si>
  <si>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</si>
  <si>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</si>
  <si>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</si>
  <si>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</si>
  <si>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</si>
  <si>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</si>
  <si>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</si>
  <si>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</si>
  <si>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</si>
  <si>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</si>
  <si>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</si>
  <si>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</si>
  <si>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</si>
  <si>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</si>
  <si>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</si>
  <si>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</si>
  <si>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</si>
  <si>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</si>
  <si>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</si>
  <si>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</si>
  <si>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</si>
  <si>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</si>
  <si>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</si>
  <si>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</si>
  <si>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</si>
  <si>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</si>
  <si>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</si>
  <si>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</si>
  <si>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</si>
  <si>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</si>
  <si>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</si>
  <si>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</si>
  <si>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</si>
  <si>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</si>
  <si>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</si>
  <si>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</si>
  <si>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</si>
  <si>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</si>
  <si>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</si>
  <si>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</si>
  <si>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</si>
  <si>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</si>
  <si>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</si>
  <si>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</si>
  <si>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</si>
  <si>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</si>
  <si>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</si>
  <si>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</si>
  <si>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</si>
  <si>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</si>
  <si>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</si>
  <si>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</si>
  <si>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</si>
  <si>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</si>
  <si>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</si>
  <si>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</si>
  <si>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</si>
  <si>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</si>
  <si>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</si>
  <si>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</si>
  <si>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</si>
  <si>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</si>
  <si>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</si>
  <si>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</si>
  <si>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</si>
  <si>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</si>
  <si>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</si>
  <si>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</si>
  <si>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</si>
  <si>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</si>
  <si>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</si>
  <si>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</si>
  <si>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</si>
  <si>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</si>
  <si>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</si>
  <si>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</si>
  <si>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</si>
  <si>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</si>
  <si>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</si>
  <si>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</si>
  <si>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</si>
  <si>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</si>
  <si>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</si>
  <si>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</si>
  <si>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</si>
  <si>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</si>
  <si>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</si>
  <si>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</si>
  <si>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</si>
  <si>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</si>
  <si>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</si>
  <si>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</si>
  <si>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</si>
  <si>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</si>
  <si>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</si>
  <si>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</si>
  <si>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</si>
  <si>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</si>
  <si>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</si>
  <si>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</si>
  <si>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</si>
  <si>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</si>
  <si>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</si>
  <si>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</si>
  <si>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</si>
  <si>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</si>
  <si>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</si>
  <si>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</si>
  <si>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</si>
  <si>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</si>
  <si>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</si>
  <si>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</si>
  <si>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</si>
  <si>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</si>
  <si>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</si>
  <si>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</si>
  <si>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</si>
  <si>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</si>
  <si>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</si>
  <si>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</si>
  <si>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</si>
  <si>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</si>
  <si>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</si>
  <si>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</si>
  <si>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</si>
  <si>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</si>
  <si>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</si>
  <si>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</si>
  <si>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</si>
  <si>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</si>
  <si>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</si>
  <si>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</si>
  <si>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</si>
  <si>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</si>
  <si>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</si>
  <si>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</si>
  <si>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</si>
  <si>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</si>
  <si>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</si>
  <si>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</si>
  <si>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</si>
  <si>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</si>
  <si>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</si>
  <si>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</si>
  <si>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</si>
  <si>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</si>
  <si>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</si>
  <si>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</si>
  <si>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</si>
  <si>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</si>
  <si>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</si>
  <si>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</si>
  <si>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</si>
  <si>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</si>
  <si>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</si>
  <si>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</si>
  <si>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</si>
  <si>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</si>
  <si>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</si>
  <si>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</si>
  <si>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</si>
  <si>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</si>
  <si>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</si>
  <si>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</si>
  <si>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</si>
  <si>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</si>
  <si>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</si>
  <si>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</si>
  <si>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</si>
  <si>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</si>
  <si>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</si>
  <si>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</si>
  <si>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</si>
  <si>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</si>
  <si>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</si>
  <si>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</si>
  <si>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</si>
  <si>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</si>
  <si>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</si>
  <si>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</si>
  <si>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</si>
  <si>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</si>
  <si>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</si>
  <si>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</si>
  <si>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</si>
  <si>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</si>
  <si>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</si>
  <si>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</si>
  <si>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</si>
  <si>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</si>
  <si>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</si>
  <si>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</si>
  <si>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</si>
  <si>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</si>
  <si>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</si>
  <si>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</si>
  <si>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</si>
  <si>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</si>
  <si>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</si>
  <si>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</si>
  <si>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</si>
  <si>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</si>
  <si>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</si>
  <si>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</si>
  <si>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</si>
  <si>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</si>
  <si>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</si>
  <si>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</si>
  <si>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</si>
  <si>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</si>
  <si>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</si>
  <si>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</si>
  <si>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</si>
  <si>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</si>
  <si>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</si>
  <si>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</si>
  <si>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</si>
  <si>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</si>
  <si>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</si>
  <si>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</si>
  <si>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</si>
  <si>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</si>
  <si>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</si>
  <si>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</si>
  <si>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</si>
  <si>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</si>
  <si>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</si>
  <si>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</si>
  <si>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</si>
  <si>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</si>
  <si>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</si>
  <si>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</si>
  <si>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</si>
  <si>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</si>
  <si>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</si>
  <si>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</si>
  <si>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</si>
  <si>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</si>
  <si>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</si>
  <si>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</si>
  <si>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</si>
  <si>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</si>
  <si>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</si>
  <si>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</si>
  <si>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</si>
  <si>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</si>
  <si>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</si>
  <si>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</si>
  <si>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</si>
  <si>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</si>
  <si>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</si>
  <si>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</si>
  <si>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</si>
  <si>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</si>
  <si>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</si>
  <si>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</si>
  <si>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</si>
  <si>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</si>
  <si>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</si>
  <si>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</si>
  <si>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</si>
  <si>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</si>
  <si>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</si>
  <si>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</si>
  <si>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</si>
  <si>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</si>
  <si>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</si>
  <si>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</si>
  <si>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</si>
  <si>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</si>
  <si>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</si>
  <si>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</si>
  <si>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</si>
  <si>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</si>
  <si>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</si>
  <si>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</si>
  <si>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</si>
  <si>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</si>
  <si>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</si>
  <si>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</si>
  <si>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</si>
  <si>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</si>
  <si>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</si>
  <si>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</si>
  <si>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</si>
  <si>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</si>
  <si>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</si>
  <si>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</si>
  <si>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</si>
  <si>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</si>
  <si>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</si>
  <si>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</si>
  <si>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</si>
  <si>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</si>
  <si>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</si>
  <si>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</si>
  <si>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</si>
  <si>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</si>
  <si>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</si>
  <si>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</si>
  <si>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</si>
  <si>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</si>
  <si>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</si>
  <si>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</si>
  <si>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</si>
  <si>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</si>
  <si>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</si>
  <si>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</si>
  <si>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</si>
  <si>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</si>
  <si>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</si>
  <si>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</si>
  <si>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</si>
  <si>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</si>
  <si>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</si>
  <si>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</si>
  <si>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</si>
  <si>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</si>
  <si>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</si>
  <si>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</si>
  <si>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</si>
  <si>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</si>
  <si>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</si>
  <si>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</si>
  <si>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</si>
  <si>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</si>
  <si>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</si>
  <si>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</si>
  <si>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</si>
  <si>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</si>
  <si>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</si>
  <si>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</si>
  <si>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</si>
  <si>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</si>
  <si>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</si>
  <si>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</si>
  <si>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</si>
  <si>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</si>
  <si>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</si>
  <si>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</si>
  <si>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</si>
  <si>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</si>
  <si>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</si>
  <si>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</si>
  <si>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</si>
  <si>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</si>
  <si>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</si>
  <si>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</si>
  <si>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</si>
  <si>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</si>
  <si>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</si>
  <si>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</si>
  <si>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</si>
  <si>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</si>
  <si>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</si>
  <si>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</si>
  <si>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</si>
  <si>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</si>
  <si>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</si>
  <si>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</si>
  <si>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</si>
  <si>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</si>
  <si>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</si>
  <si>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</si>
  <si>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</si>
  <si>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</si>
  <si>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</si>
  <si>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</si>
  <si>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</si>
  <si>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</si>
  <si>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</si>
  <si>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</si>
  <si>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</si>
  <si>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</si>
  <si>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</si>
  <si>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</si>
  <si>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</si>
  <si>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</si>
  <si>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</si>
  <si>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</si>
  <si>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</si>
  <si>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</si>
  <si>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</si>
  <si>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</si>
  <si>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</si>
  <si>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</si>
  <si>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</si>
  <si>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</si>
  <si>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</si>
  <si>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</si>
  <si>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</si>
  <si>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</si>
  <si>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</si>
  <si>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</si>
  <si>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</si>
  <si>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</si>
  <si>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</si>
  <si>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</si>
  <si>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</si>
  <si>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</si>
  <si>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</si>
  <si>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</si>
  <si>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</si>
  <si>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</si>
  <si>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</si>
  <si>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</si>
  <si>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</si>
  <si>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</si>
  <si>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</si>
  <si>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</si>
  <si>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</si>
  <si>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</si>
  <si>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</si>
  <si>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</si>
  <si>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</si>
  <si>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</si>
  <si>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</si>
  <si>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</si>
  <si>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</si>
  <si>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</si>
  <si>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</si>
  <si>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</si>
  <si>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</si>
  <si>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</si>
  <si>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</si>
  <si>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</si>
  <si>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</si>
  <si>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</si>
  <si>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</si>
  <si>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</si>
  <si>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</si>
  <si>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</si>
  <si>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</si>
  <si>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</si>
  <si>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</si>
  <si>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</si>
  <si>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</si>
  <si>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</si>
  <si>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</si>
  <si>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</si>
  <si>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</si>
  <si>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</si>
  <si>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</si>
  <si>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</si>
  <si>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</si>
  <si>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</si>
  <si>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</si>
  <si>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</si>
  <si>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</si>
  <si>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</si>
  <si>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</si>
  <si>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</si>
  <si>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</si>
  <si>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</si>
  <si>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</si>
  <si>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</si>
  <si>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</si>
  <si>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</si>
  <si>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</si>
  <si>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</si>
  <si>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</si>
  <si>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</si>
  <si>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</si>
  <si>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</si>
  <si>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</si>
  <si>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</si>
  <si>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</si>
  <si>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</si>
  <si>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</si>
  <si>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</si>
  <si>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</si>
  <si>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</si>
  <si>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</si>
  <si>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</si>
  <si>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</si>
  <si>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</si>
  <si>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</si>
  <si>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</si>
  <si>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</si>
  <si>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</si>
  <si>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</si>
  <si>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</si>
  <si>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</si>
  <si>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</si>
  <si>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</si>
  <si>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</si>
  <si>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</si>
  <si>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</si>
  <si>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</si>
  <si>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</si>
  <si>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</si>
  <si>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</si>
  <si>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</si>
  <si>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</si>
  <si>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</si>
  <si>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</si>
  <si>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</si>
  <si>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</si>
  <si>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</si>
  <si>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</si>
  <si>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</si>
  <si>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</si>
  <si>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</si>
  <si>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</si>
  <si>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</si>
  <si>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</si>
  <si>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</si>
  <si>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</si>
  <si>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</si>
  <si>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</si>
  <si>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</si>
  <si>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</si>
  <si>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</si>
  <si>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</si>
  <si>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</si>
  <si>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</si>
  <si>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</si>
  <si>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</si>
  <si>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</si>
  <si>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</si>
  <si>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</si>
  <si>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</si>
  <si>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</si>
  <si>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</si>
  <si>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</si>
  <si>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</si>
  <si>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</si>
  <si>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</si>
  <si>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</si>
  <si>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</si>
  <si>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</si>
  <si>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</si>
  <si>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</si>
  <si>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</si>
  <si>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</si>
  <si>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</si>
  <si>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</si>
  <si>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</si>
  <si>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</si>
  <si>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</si>
  <si>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</si>
  <si>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</si>
  <si>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</si>
  <si>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</si>
  <si>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</si>
  <si>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</si>
  <si>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</si>
  <si>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</si>
  <si>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</si>
  <si>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</si>
  <si>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</si>
  <si>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</si>
  <si>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</si>
  <si>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</si>
  <si>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</si>
  <si>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</si>
  <si>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</si>
  <si>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</si>
  <si>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</si>
  <si>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</si>
  <si>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</si>
  <si>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</si>
  <si>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</si>
  <si>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</si>
  <si>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</si>
  <si>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</si>
  <si>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</si>
  <si>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</si>
  <si>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</si>
  <si>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</si>
  <si>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</si>
  <si>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</si>
  <si>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</si>
  <si>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</si>
  <si>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</si>
  <si>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</si>
  <si>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</si>
  <si>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</si>
  <si>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</si>
  <si>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</si>
  <si>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</si>
  <si>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</si>
  <si>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</si>
  <si>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</si>
  <si>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</si>
  <si>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</si>
  <si>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</si>
  <si>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</si>
  <si>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</si>
  <si>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</si>
  <si>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</si>
  <si>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</si>
  <si>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</si>
  <si>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</si>
  <si>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</si>
  <si>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</si>
  <si>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</si>
  <si>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</si>
  <si>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</si>
  <si>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</si>
  <si>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</si>
  <si>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</si>
  <si>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</si>
  <si>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</si>
  <si>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</si>
  <si>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</si>
  <si>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</si>
  <si>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</si>
  <si>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</si>
  <si>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</si>
  <si>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</si>
  <si>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</si>
  <si>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</si>
  <si>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</si>
  <si>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</si>
  <si>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</si>
  <si>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</si>
  <si>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</si>
  <si>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</si>
  <si>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</si>
  <si>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</si>
  <si>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</si>
  <si>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</si>
  <si>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</si>
  <si>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</si>
  <si>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</si>
  <si>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</si>
  <si>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</si>
  <si>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</si>
  <si>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</si>
  <si>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</si>
  <si>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</si>
  <si>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</si>
  <si>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</si>
  <si>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</si>
  <si>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</si>
  <si>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</si>
  <si>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</si>
  <si>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</si>
  <si>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</si>
  <si>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</si>
  <si>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</si>
  <si>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</si>
  <si>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</si>
  <si>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</si>
  <si>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</si>
  <si>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</si>
  <si>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</si>
  <si>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</si>
  <si>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</si>
  <si>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</si>
  <si>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</si>
  <si>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</si>
  <si>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</si>
  <si>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</si>
  <si>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</si>
  <si>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</si>
  <si>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</si>
  <si>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</si>
  <si>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</si>
  <si>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</si>
  <si>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</si>
  <si>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</si>
  <si>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</si>
  <si>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</si>
  <si>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</si>
  <si>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</si>
  <si>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</si>
  <si>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</si>
  <si>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</si>
  <si>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</si>
  <si>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</si>
  <si>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</si>
  <si>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</si>
  <si>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</si>
  <si>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</si>
  <si>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</si>
  <si>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</si>
  <si>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</si>
  <si>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</si>
  <si>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</si>
  <si>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</si>
  <si>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</si>
  <si>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</si>
  <si>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</si>
  <si>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</si>
  <si>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</si>
  <si>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</si>
  <si>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</si>
  <si>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</si>
  <si>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</si>
  <si>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</si>
  <si>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</si>
  <si>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</si>
  <si>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</si>
  <si>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</si>
  <si>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</si>
  <si>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</si>
  <si>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</si>
  <si>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</si>
  <si>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</si>
  <si>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</si>
  <si>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</si>
  <si>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</si>
  <si>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</si>
  <si>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</si>
  <si>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</si>
  <si>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</si>
  <si>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</si>
  <si>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</si>
  <si>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</si>
  <si>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</si>
  <si>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</si>
  <si>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</si>
  <si>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</si>
  <si>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</si>
  <si>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</si>
  <si>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</si>
  <si>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</si>
  <si>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</si>
  <si>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</si>
  <si>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</si>
  <si>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</si>
  <si>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</si>
  <si>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</si>
  <si>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</si>
  <si>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</si>
  <si>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</si>
  <si>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</si>
  <si>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</si>
  <si>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</si>
  <si>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</si>
  <si>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</si>
  <si>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</si>
  <si>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</si>
  <si>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</si>
  <si>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</si>
  <si>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</si>
  <si>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</si>
  <si>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</si>
  <si>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</si>
  <si>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</si>
  <si>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</si>
  <si>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</si>
  <si>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</si>
  <si>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</si>
  <si>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</si>
  <si>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</si>
  <si>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</si>
  <si>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</si>
  <si>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</si>
  <si>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</si>
  <si>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</si>
  <si>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</si>
  <si>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</si>
  <si>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</si>
  <si>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</si>
  <si>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</si>
  <si>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</si>
  <si>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</si>
  <si>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</si>
  <si>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</si>
  <si>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</si>
  <si>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</si>
  <si>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</si>
  <si>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</si>
  <si>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</si>
  <si>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</si>
  <si>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</si>
  <si>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</si>
  <si>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</si>
  <si>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</si>
  <si>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</si>
  <si>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</si>
  <si>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</si>
  <si>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</si>
  <si>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</si>
  <si>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</si>
  <si>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</si>
  <si>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</si>
  <si>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</si>
  <si>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</si>
  <si>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</si>
  <si>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</si>
  <si>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</si>
  <si>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</si>
  <si>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</si>
  <si>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</si>
  <si>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</si>
  <si>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</si>
  <si>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</si>
  <si>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</si>
  <si>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</si>
  <si>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</si>
  <si>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</si>
  <si>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</si>
  <si>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</si>
  <si>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</si>
  <si>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</si>
  <si>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</si>
  <si>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</si>
  <si>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</si>
  <si>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</si>
  <si>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</si>
  <si>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</si>
  <si>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</si>
  <si>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</si>
  <si>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</si>
  <si>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</si>
  <si>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</si>
  <si>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</si>
  <si>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</si>
  <si>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</si>
  <si>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</si>
  <si>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</si>
  <si>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</si>
  <si>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</si>
  <si>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</si>
  <si>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</si>
  <si>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</si>
  <si>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</si>
  <si>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</si>
  <si>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</si>
  <si>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</si>
  <si>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</si>
  <si>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</si>
  <si>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</si>
  <si>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</si>
  <si>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</si>
  <si>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</si>
  <si>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</si>
  <si>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</si>
  <si>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</si>
  <si>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</si>
  <si>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</si>
  <si>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</si>
  <si>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</si>
  <si>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</si>
  <si>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</si>
  <si>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</si>
  <si>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</si>
  <si>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</si>
  <si>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</si>
  <si>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</si>
  <si>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</si>
  <si>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</si>
  <si>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</si>
  <si>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</si>
  <si>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</si>
  <si>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</si>
  <si>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</si>
  <si>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</si>
  <si>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</si>
  <si>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</si>
  <si>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</si>
  <si>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</si>
  <si>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</si>
  <si>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</si>
  <si>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</si>
  <si>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</si>
  <si>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</si>
  <si>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</si>
  <si>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</si>
  <si>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</si>
  <si>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</si>
  <si>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</si>
  <si>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</si>
  <si>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</si>
  <si>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</si>
  <si>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</si>
  <si>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</si>
  <si>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</si>
  <si>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</si>
  <si>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</si>
  <si>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</si>
  <si>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</si>
  <si>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</si>
  <si>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</si>
  <si>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</si>
  <si>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</si>
  <si>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</si>
  <si>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</si>
  <si>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</si>
  <si>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</si>
  <si>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</si>
  <si>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</si>
  <si>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</si>
  <si>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</si>
  <si>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</si>
  <si>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</si>
  <si>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</si>
  <si>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</si>
  <si>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</si>
  <si>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</si>
  <si>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</si>
  <si>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</si>
  <si>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</si>
  <si>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</si>
  <si>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</si>
  <si>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</si>
  <si>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</si>
  <si>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</si>
  <si>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</si>
  <si>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</si>
  <si>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</si>
  <si>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</si>
  <si>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</si>
  <si>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</si>
  <si>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</si>
  <si>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</si>
  <si>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</si>
  <si>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</si>
  <si>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</si>
  <si>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</si>
  <si>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</si>
  <si>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</si>
  <si>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</si>
  <si>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</si>
  <si>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</si>
  <si>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</si>
  <si>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</si>
  <si>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</si>
  <si>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</si>
  <si>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</si>
  <si>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</si>
  <si>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</si>
  <si>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</si>
  <si>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</si>
  <si>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</si>
  <si>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</si>
  <si>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</si>
  <si>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</si>
  <si>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</si>
  <si>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</si>
  <si>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</si>
  <si>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</si>
  <si>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</si>
  <si>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</si>
  <si>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</si>
  <si>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</si>
  <si>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</si>
  <si>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</si>
  <si>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</si>
  <si>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</si>
  <si>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</si>
  <si>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</si>
  <si>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</si>
  <si>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</si>
  <si>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</si>
  <si>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</si>
  <si>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</si>
  <si>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</si>
  <si>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</si>
  <si>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</si>
  <si>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</si>
  <si>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</si>
  <si>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</si>
  <si>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</si>
  <si>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</si>
  <si>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</si>
  <si>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</si>
  <si>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</si>
  <si>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</si>
  <si>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</si>
  <si>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</si>
  <si>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</si>
  <si>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</si>
  <si>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</si>
  <si>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</si>
  <si>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</si>
  <si>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</si>
  <si>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</si>
  <si>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</si>
  <si>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</si>
  <si>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</si>
  <si>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</si>
  <si>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</si>
  <si>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</si>
  <si>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</si>
  <si>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</si>
  <si>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</si>
  <si>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</si>
  <si>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</si>
  <si>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</si>
  <si>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</si>
  <si>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</si>
  <si>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</si>
  <si>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</si>
  <si>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</si>
  <si>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</si>
  <si>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</si>
  <si>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</si>
  <si>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</si>
  <si>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</si>
  <si>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</si>
  <si>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</si>
  <si>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</si>
  <si>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</si>
  <si>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</si>
  <si>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</si>
  <si>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</si>
  <si>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</si>
  <si>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</si>
  <si>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</si>
  <si>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</si>
  <si>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</si>
  <si>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</si>
  <si>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</si>
  <si>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</si>
  <si>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</si>
  <si>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</si>
  <si>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</si>
  <si>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</si>
  <si>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</si>
  <si>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</si>
  <si>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</si>
  <si>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</si>
  <si>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</si>
  <si>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</si>
  <si>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</si>
  <si>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</si>
  <si>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</si>
  <si>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</si>
  <si>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</si>
  <si>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</si>
  <si>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</si>
  <si>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</si>
  <si>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</si>
  <si>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</si>
  <si>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</si>
  <si>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</si>
  <si>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</si>
  <si>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</si>
  <si>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</si>
  <si>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</si>
  <si>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</si>
  <si>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</si>
  <si>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</si>
  <si>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</si>
  <si>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</si>
  <si>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</si>
  <si>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</si>
  <si>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</si>
  <si>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</si>
  <si>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</si>
  <si>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</si>
  <si>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</si>
  <si>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</si>
  <si>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</si>
  <si>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</si>
  <si>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</si>
  <si>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</si>
  <si>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</si>
  <si>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</si>
  <si>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</si>
  <si>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</si>
  <si>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</si>
  <si>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</si>
  <si>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</si>
  <si>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</si>
  <si>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</si>
  <si>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</si>
  <si>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</si>
  <si>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</si>
  <si>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</si>
  <si>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</si>
  <si>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</si>
  <si>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</si>
  <si>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</si>
  <si>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</si>
  <si>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</si>
  <si>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</si>
  <si>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</si>
  <si>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</si>
  <si>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</si>
  <si>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</si>
  <si>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</si>
  <si>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</si>
  <si>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</si>
  <si>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</si>
  <si>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</si>
  <si>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</si>
  <si>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</si>
  <si>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</si>
  <si>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</si>
  <si>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</si>
  <si>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</si>
  <si>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</si>
  <si>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</si>
  <si>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</si>
  <si>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</si>
  <si>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</si>
  <si>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</si>
  <si>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</si>
  <si>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</si>
  <si>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</si>
  <si>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</si>
  <si>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</si>
  <si>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</si>
  <si>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</si>
  <si>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</si>
  <si>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</si>
  <si>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</si>
  <si>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</si>
  <si>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</si>
  <si>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</si>
  <si>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</si>
  <si>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</si>
  <si>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</si>
  <si>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</si>
  <si>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</si>
  <si>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</si>
  <si>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</si>
  <si>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</si>
  <si>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</si>
  <si>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</si>
  <si>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</si>
  <si>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</si>
  <si>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</si>
  <si>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</si>
  <si>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</si>
  <si>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</si>
  <si>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</si>
  <si>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</si>
  <si>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</si>
  <si>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</si>
  <si>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</si>
  <si>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</si>
  <si>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</si>
  <si>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</si>
  <si>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</si>
  <si>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</si>
  <si>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</si>
  <si>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</si>
  <si>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</si>
  <si>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</si>
  <si>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</si>
  <si>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</si>
  <si>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</si>
  <si>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</si>
  <si>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</si>
  <si>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</si>
  <si>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</si>
  <si>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</si>
  <si>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</si>
  <si>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</si>
  <si>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</si>
  <si>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</si>
  <si>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</si>
  <si>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</si>
  <si>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</si>
  <si>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</si>
  <si>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</si>
  <si>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</si>
  <si>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</si>
  <si>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</si>
  <si>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</si>
  <si>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</si>
  <si>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</si>
  <si>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</si>
  <si>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</si>
  <si>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</si>
  <si>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</si>
  <si>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</si>
  <si>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</si>
  <si>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</si>
  <si>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</si>
  <si>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</si>
  <si>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</si>
  <si>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</si>
  <si>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</si>
  <si>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</si>
  <si>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</si>
  <si>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</si>
  <si>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</si>
  <si>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</si>
  <si>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</si>
  <si>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</si>
  <si>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</si>
  <si>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</si>
  <si>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</si>
  <si>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</si>
  <si>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</si>
  <si>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</si>
  <si>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</si>
  <si>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</si>
  <si>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</si>
  <si>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</si>
  <si>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</si>
  <si>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</si>
  <si>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</si>
  <si>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</si>
  <si>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</si>
  <si>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</si>
  <si>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</si>
  <si>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</si>
  <si>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</si>
  <si>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</si>
  <si>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</si>
  <si>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</si>
  <si>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</si>
  <si>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</si>
  <si>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</si>
  <si>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</si>
  <si>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</si>
  <si>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</si>
  <si>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</si>
  <si>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</si>
  <si>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</si>
  <si>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</si>
  <si>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</si>
  <si>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</si>
  <si>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</si>
  <si>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</si>
  <si>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</si>
  <si>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</si>
  <si>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</si>
  <si>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</si>
  <si>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</si>
  <si>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</si>
  <si>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</si>
  <si>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</si>
  <si>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</si>
  <si>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</si>
  <si>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</si>
  <si>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</si>
  <si>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</si>
  <si>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</si>
  <si>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</si>
  <si>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</si>
  <si>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</si>
  <si>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</si>
  <si>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</si>
  <si>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</si>
  <si>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</si>
  <si>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</si>
  <si>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</si>
  <si>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</si>
  <si>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</si>
  <si>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</si>
  <si>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</si>
  <si>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</si>
  <si>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</si>
  <si>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</si>
  <si>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</si>
  <si>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</si>
  <si>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</si>
  <si>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</si>
  <si>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</si>
  <si>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</si>
  <si>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</si>
  <si>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</si>
  <si>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</si>
  <si>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</si>
  <si>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</si>
  <si>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</si>
  <si>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</si>
  <si>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</si>
  <si>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</si>
  <si>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</si>
  <si>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</si>
  <si>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</si>
  <si>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</si>
  <si>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</si>
  <si>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</si>
  <si>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</si>
  <si>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</si>
  <si>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</si>
  <si>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</si>
  <si>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</si>
  <si>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</si>
  <si>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</si>
  <si>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</si>
  <si>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</si>
  <si>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</si>
  <si>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</si>
  <si>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</si>
  <si>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</si>
  <si>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</si>
  <si>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</si>
  <si>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</si>
  <si>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</si>
  <si>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</si>
  <si>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</si>
  <si>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</si>
  <si>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</si>
  <si>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</si>
  <si>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</si>
  <si>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</si>
  <si>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</si>
  <si>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</si>
  <si>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</si>
  <si>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</si>
  <si>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</si>
  <si>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</si>
  <si>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</si>
  <si>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</si>
  <si>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</si>
  <si>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</si>
  <si>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</si>
  <si>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</si>
  <si>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</si>
  <si>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</si>
  <si>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</si>
  <si>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</si>
  <si>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</si>
  <si>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</si>
  <si>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</si>
  <si>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</si>
  <si>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</si>
  <si>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</si>
  <si>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</si>
  <si>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</si>
  <si>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</si>
  <si>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</si>
  <si>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</si>
  <si>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</si>
  <si>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</si>
  <si>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</si>
  <si>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</si>
  <si>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</si>
  <si>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</si>
  <si>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</si>
  <si>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</si>
  <si>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</si>
  <si>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</si>
  <si>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</si>
  <si>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</si>
  <si>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</si>
  <si>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</si>
  <si>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</si>
  <si>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</si>
  <si>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</si>
  <si>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</si>
  <si>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</si>
  <si>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</si>
  <si>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</si>
  <si>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</si>
  <si>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</si>
  <si>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</si>
  <si>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</si>
  <si>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</si>
  <si>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</si>
  <si>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</si>
  <si>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</si>
  <si>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</si>
  <si>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</si>
  <si>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</si>
  <si>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</si>
  <si>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</si>
  <si>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</si>
  <si>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</si>
  <si>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</si>
  <si>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</si>
  <si>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</si>
  <si>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</si>
  <si>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</si>
  <si>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</si>
  <si>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</si>
  <si>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</si>
  <si>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</si>
  <si>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</si>
  <si>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</si>
  <si>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</si>
  <si>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</si>
  <si>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</si>
  <si>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</si>
  <si>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</si>
  <si>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</si>
  <si>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</si>
  <si>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</si>
  <si>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</si>
  <si>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</si>
  <si>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</si>
  <si>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</si>
  <si>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</si>
  <si>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</si>
  <si>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</si>
  <si>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</si>
  <si>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</si>
  <si>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</si>
  <si>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</si>
  <si>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</si>
  <si>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</si>
  <si>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</si>
  <si>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</si>
  <si>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</si>
  <si>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</si>
  <si>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</si>
  <si>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</si>
  <si>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</si>
  <si>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</si>
  <si>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</si>
  <si>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</si>
  <si>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</si>
  <si>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</si>
  <si>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</si>
  <si>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</si>
  <si>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</si>
  <si>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</si>
  <si>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</si>
  <si>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</si>
  <si>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</si>
  <si>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</si>
  <si>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</si>
  <si>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</si>
  <si>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</si>
  <si>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</si>
  <si>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</si>
  <si>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</si>
  <si>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</si>
  <si>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</si>
  <si>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</si>
  <si>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</si>
  <si>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</si>
  <si>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</si>
  <si>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</si>
  <si>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</si>
  <si>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</si>
  <si>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</si>
  <si>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</si>
  <si>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</si>
  <si>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</si>
  <si>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</si>
  <si>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</si>
  <si>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</si>
  <si>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</si>
  <si>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</si>
  <si>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</si>
  <si>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</si>
  <si>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</si>
  <si>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</si>
  <si>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</si>
  <si>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</si>
  <si>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</si>
  <si>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</si>
  <si>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</si>
  <si>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</si>
  <si>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</si>
  <si>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</si>
  <si>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</si>
  <si>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</si>
  <si>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</si>
  <si>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</si>
  <si>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</si>
  <si>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</si>
  <si>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</si>
  <si>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</si>
  <si>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</si>
  <si>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</si>
  <si>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</si>
  <si>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</si>
  <si>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</si>
  <si>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</si>
  <si>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</si>
  <si>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</si>
  <si>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</si>
  <si>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</si>
  <si>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</si>
  <si>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</si>
  <si>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</si>
  <si>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</si>
  <si>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</si>
  <si>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</si>
  <si>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</si>
  <si>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</si>
  <si>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</si>
  <si>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</si>
  <si>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</si>
  <si>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</si>
  <si>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</si>
  <si>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</si>
  <si>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</si>
  <si>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</si>
  <si>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</si>
  <si>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</si>
  <si>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</si>
  <si>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</si>
  <si>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</si>
  <si>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</si>
  <si>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</si>
  <si>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</si>
  <si>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</si>
  <si>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</si>
  <si>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</si>
  <si>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</si>
  <si>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</si>
  <si>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</si>
  <si>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</si>
  <si>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</si>
  <si>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</si>
  <si>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</si>
  <si>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</si>
  <si>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</si>
  <si>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</si>
  <si>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</si>
  <si>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</si>
  <si>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</si>
  <si>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</si>
  <si>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</si>
  <si>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</si>
  <si>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</si>
  <si>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</si>
  <si>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</si>
  <si>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</si>
  <si>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</si>
  <si>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</si>
  <si>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</si>
  <si>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</si>
  <si>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</si>
  <si>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</si>
  <si>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</si>
  <si>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</si>
  <si>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</si>
  <si>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</si>
  <si>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</si>
  <si>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</si>
  <si>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</si>
  <si>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</si>
  <si>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</si>
  <si>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</si>
  <si>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</si>
  <si>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</si>
  <si>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</si>
  <si>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</si>
  <si>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</si>
  <si>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</si>
  <si>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</si>
  <si>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</si>
  <si>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</si>
  <si>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</si>
  <si>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</si>
  <si>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</si>
  <si>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</si>
  <si>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</si>
  <si>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</si>
  <si>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</si>
  <si>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</si>
  <si>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</si>
  <si>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</si>
  <si>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</si>
  <si>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</si>
  <si>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</si>
  <si>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</si>
  <si>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</si>
  <si>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</si>
  <si>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</si>
  <si>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</si>
  <si>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</si>
  <si>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</si>
  <si>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</si>
  <si>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</si>
  <si>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</si>
  <si>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</si>
  <si>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</si>
  <si>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</si>
  <si>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</si>
  <si>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</si>
  <si>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</si>
  <si>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</si>
  <si>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</si>
  <si>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</si>
  <si>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</si>
  <si>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</si>
  <si>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</si>
  <si>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</si>
  <si>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</si>
  <si>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</si>
  <si>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</si>
  <si>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</si>
  <si>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</si>
  <si>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</si>
  <si>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</si>
  <si>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</si>
  <si>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</si>
  <si>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</si>
  <si>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</si>
  <si>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</si>
  <si>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</si>
  <si>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</si>
  <si>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</si>
  <si>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</si>
  <si>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</si>
  <si>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</si>
  <si>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</si>
  <si>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</si>
  <si>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</si>
  <si>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</si>
  <si>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</si>
  <si>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</si>
  <si>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</si>
  <si>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</si>
  <si>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</si>
  <si>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</si>
  <si>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</si>
  <si>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</si>
  <si>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</si>
  <si>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</si>
  <si>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</si>
  <si>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</si>
  <si>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</si>
  <si>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</si>
  <si>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</si>
  <si>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</si>
  <si>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</si>
  <si>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</si>
  <si>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</si>
  <si>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</si>
  <si>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</si>
  <si>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</si>
  <si>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</si>
  <si>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</si>
  <si>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</si>
  <si>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</si>
  <si>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</si>
  <si>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</si>
  <si>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</si>
  <si>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</si>
  <si>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</si>
  <si>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</si>
  <si>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</si>
  <si>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</si>
  <si>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</si>
  <si>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</si>
  <si>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</si>
  <si>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</si>
  <si>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</si>
  <si>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</si>
  <si>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</si>
  <si>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</si>
  <si>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</si>
  <si>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</si>
  <si>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</si>
  <si>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</si>
  <si>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</si>
  <si>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</si>
  <si>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</si>
  <si>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</si>
  <si>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</si>
  <si>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</si>
  <si>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</si>
  <si>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</si>
  <si>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</si>
  <si>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</si>
  <si>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</si>
  <si>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</si>
  <si>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</si>
  <si>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</si>
  <si>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</si>
  <si>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</si>
  <si>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</si>
  <si>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</si>
  <si>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</si>
  <si>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</si>
  <si>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</si>
  <si>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</si>
  <si>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</si>
  <si>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</si>
  <si>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</si>
  <si>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</si>
  <si>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</si>
  <si>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</si>
  <si>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</si>
  <si>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</si>
  <si>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</si>
  <si>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</si>
  <si>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</si>
  <si>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</si>
  <si>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</si>
  <si>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</si>
  <si>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</si>
  <si>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</si>
  <si>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</si>
  <si>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</si>
  <si>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</si>
  <si>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</si>
  <si>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</si>
  <si>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</si>
  <si>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</si>
  <si>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</si>
  <si>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</si>
  <si>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</si>
  <si>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</si>
  <si>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</si>
  <si>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</si>
  <si>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</si>
  <si>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</si>
  <si>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</si>
  <si>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</si>
  <si>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</si>
  <si>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</si>
  <si>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</si>
  <si>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</si>
  <si>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</si>
  <si>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</si>
  <si>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</si>
  <si>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</si>
  <si>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</si>
  <si>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</si>
  <si>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</si>
  <si>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</si>
  <si>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</si>
  <si>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</si>
  <si>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</si>
  <si>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</si>
  <si>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</si>
  <si>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</si>
  <si>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</si>
  <si>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</si>
  <si>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</si>
  <si>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</si>
  <si>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</si>
  <si>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</si>
  <si>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</si>
  <si>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</si>
  <si>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</si>
  <si>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</si>
  <si>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</si>
  <si>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</si>
  <si>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</si>
  <si>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</si>
  <si>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</si>
  <si>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</si>
  <si>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</si>
  <si>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</si>
  <si>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</si>
  <si>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</si>
  <si>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</si>
  <si>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</si>
  <si>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</si>
  <si>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</si>
  <si>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</si>
  <si>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</si>
  <si>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</si>
  <si>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</si>
  <si>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</si>
  <si>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</si>
  <si>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</si>
  <si>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</si>
  <si>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</si>
  <si>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</si>
  <si>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</si>
  <si>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</si>
  <si>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</si>
  <si>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</si>
  <si>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</si>
  <si>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</si>
  <si>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</si>
  <si>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</si>
  <si>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</si>
  <si>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</si>
  <si>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</si>
  <si>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</si>
  <si>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</si>
  <si>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</si>
  <si>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</si>
  <si>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</si>
  <si>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</si>
  <si>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</si>
  <si>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</si>
  <si>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</si>
  <si>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</si>
  <si>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</si>
  <si>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</si>
  <si>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</si>
  <si>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</si>
  <si>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</si>
  <si>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</si>
  <si>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</si>
  <si>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</si>
  <si>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</si>
  <si>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</si>
  <si>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</si>
  <si>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</si>
  <si>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</si>
  <si>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</si>
  <si>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</si>
  <si>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</si>
  <si>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</si>
  <si>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</si>
  <si>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</si>
  <si>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</si>
  <si>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</si>
  <si>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</si>
  <si>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</si>
  <si>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</si>
  <si>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</si>
  <si>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</si>
  <si>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</si>
  <si>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</si>
  <si>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</si>
  <si>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</si>
  <si>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</si>
  <si>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</si>
  <si>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</si>
  <si>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</si>
  <si>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</si>
  <si>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</si>
  <si>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</si>
  <si>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</si>
  <si>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</si>
  <si>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</si>
  <si>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</si>
  <si>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</si>
  <si>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</si>
  <si>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</si>
  <si>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</si>
  <si>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</si>
  <si>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</si>
  <si>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</si>
  <si>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</si>
  <si>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</si>
  <si>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</si>
  <si>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</si>
  <si>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</si>
  <si>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</si>
  <si>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</si>
  <si>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</si>
  <si>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</si>
  <si>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</si>
  <si>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</si>
  <si>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</si>
  <si>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</si>
  <si>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</si>
  <si>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</si>
  <si>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</si>
  <si>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</si>
  <si>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</si>
  <si>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</si>
  <si>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</si>
  <si>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</si>
  <si>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</si>
  <si>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</si>
  <si>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</si>
  <si>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</si>
  <si>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</si>
  <si>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</si>
  <si>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</si>
  <si>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</si>
  <si>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</si>
  <si>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</si>
  <si>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</si>
  <si>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</si>
  <si>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</si>
  <si>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</si>
  <si>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</si>
  <si>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</si>
  <si>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</si>
  <si>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</si>
  <si>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</si>
  <si>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</si>
  <si>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</si>
  <si>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</si>
  <si>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</si>
  <si>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</si>
  <si>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</si>
  <si>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</si>
  <si>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</si>
  <si>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</si>
  <si>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</si>
  <si>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</si>
  <si>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</si>
  <si>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</si>
  <si>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</si>
  <si>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</si>
  <si>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</si>
  <si>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</si>
  <si>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</si>
  <si>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</si>
  <si>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</si>
  <si>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</si>
  <si>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</si>
  <si>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</si>
  <si>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</si>
  <si>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</si>
  <si>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</si>
  <si>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</si>
  <si>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</si>
  <si>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</si>
  <si>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</si>
  <si>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</si>
  <si>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</si>
  <si>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</si>
  <si>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</si>
  <si>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</si>
  <si>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</si>
  <si>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</si>
  <si>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</si>
  <si>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</si>
  <si>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</si>
  <si>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</si>
  <si>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</si>
  <si>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</si>
  <si>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</si>
  <si>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</si>
  <si>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</si>
  <si>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</si>
  <si>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</si>
  <si>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</si>
  <si>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</si>
  <si>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</si>
  <si>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</si>
  <si>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</si>
  <si>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</si>
  <si>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</si>
  <si>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</si>
  <si>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</si>
  <si>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</si>
  <si>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</si>
  <si>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</si>
  <si>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</si>
  <si>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</si>
  <si>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</si>
  <si>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</si>
  <si>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</si>
  <si>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</si>
  <si>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</si>
  <si>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</si>
  <si>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</si>
  <si>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</si>
  <si>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</si>
  <si>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</si>
  <si>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</si>
  <si>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</si>
  <si>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</si>
  <si>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</si>
  <si>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</si>
  <si>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</si>
  <si>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</si>
  <si>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</si>
  <si>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</si>
  <si>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</si>
  <si>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</si>
  <si>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</si>
  <si>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</si>
  <si>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</si>
  <si>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</si>
  <si>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</si>
  <si>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</si>
  <si>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</si>
  <si>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</si>
  <si>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</si>
  <si>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</si>
  <si>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</si>
  <si>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</si>
  <si>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</si>
  <si>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</si>
  <si>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</si>
  <si>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</si>
  <si>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</si>
  <si>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</si>
  <si>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</si>
  <si>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</si>
  <si>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</si>
  <si>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</si>
  <si>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</si>
  <si>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</si>
  <si>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</si>
  <si>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</si>
  <si>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</si>
  <si>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</si>
  <si>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</si>
  <si>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</si>
  <si>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</si>
  <si>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</si>
  <si>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</si>
  <si>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</si>
  <si>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</si>
  <si>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</si>
  <si>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</si>
  <si>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</si>
  <si>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</si>
  <si>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</si>
  <si>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</si>
  <si>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</si>
  <si>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</si>
  <si>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</si>
  <si>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</si>
  <si>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</si>
  <si>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</si>
  <si>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</si>
  <si>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</si>
  <si>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</si>
  <si>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</si>
  <si>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</si>
  <si>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</si>
  <si>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</si>
  <si>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</si>
  <si>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</si>
  <si>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</si>
  <si>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</si>
  <si>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</si>
  <si>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</si>
  <si>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</si>
  <si>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</si>
  <si>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</si>
  <si>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</si>
  <si>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</si>
  <si>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</si>
  <si>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</si>
  <si>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</si>
  <si>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</si>
  <si>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</si>
  <si>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</si>
  <si>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</si>
  <si>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</si>
  <si>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</si>
  <si>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</si>
  <si>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</si>
  <si>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</si>
  <si>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</si>
  <si>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</si>
  <si>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</si>
  <si>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</si>
  <si>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</si>
  <si>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</si>
  <si>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</si>
  <si>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</si>
  <si>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</si>
  <si>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</si>
  <si>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</si>
  <si>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</si>
  <si>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</si>
  <si>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</si>
  <si>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</si>
  <si>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</si>
  <si>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</si>
  <si>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</si>
  <si>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</si>
  <si>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</si>
  <si>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</si>
  <si>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</si>
  <si>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</si>
  <si>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</si>
  <si>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</si>
  <si>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</si>
  <si>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</si>
  <si>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</si>
  <si>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</si>
  <si>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</si>
  <si>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</si>
  <si>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</si>
  <si>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</si>
  <si>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</si>
  <si>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</si>
  <si>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</si>
  <si>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</si>
  <si>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</si>
  <si>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</si>
  <si>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</si>
  <si>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</si>
  <si>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</si>
  <si>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</si>
  <si>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</si>
  <si>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</si>
  <si>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</si>
  <si>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</si>
  <si>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</si>
  <si>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</si>
  <si>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</si>
  <si>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</si>
  <si>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</si>
  <si>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</si>
  <si>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</si>
  <si>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</si>
  <si>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</si>
  <si>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</si>
  <si>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</si>
  <si>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</si>
  <si>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</si>
  <si>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</si>
  <si>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</si>
  <si>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</si>
  <si>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</si>
  <si>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</si>
  <si>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</si>
  <si>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</si>
  <si>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</si>
  <si>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</si>
  <si>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</si>
  <si>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</si>
  <si>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</si>
  <si>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</si>
  <si>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</si>
  <si>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</si>
  <si>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</si>
  <si>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</si>
  <si>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</si>
  <si>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</si>
  <si>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</si>
  <si>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</si>
  <si>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</si>
  <si>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</si>
  <si>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</si>
  <si>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</si>
  <si>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</si>
  <si>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</si>
  <si>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</si>
  <si>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</si>
  <si>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</si>
  <si>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</si>
  <si>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</si>
  <si>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</si>
  <si>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</si>
  <si>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</si>
  <si>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</si>
  <si>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</si>
  <si>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</si>
  <si>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</si>
  <si>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</si>
  <si>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</si>
  <si>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</si>
  <si>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</si>
  <si>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</si>
  <si>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</si>
  <si>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</si>
  <si>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</si>
  <si>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</si>
  <si>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</si>
  <si>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</si>
  <si>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</si>
  <si>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</si>
  <si>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</si>
  <si>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</si>
  <si>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</si>
  <si>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</si>
  <si>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</si>
  <si>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</si>
  <si>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</si>
  <si>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</si>
  <si>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</si>
  <si>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</si>
  <si>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</si>
  <si>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</si>
  <si>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</si>
  <si>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</si>
  <si>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</si>
  <si>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</si>
  <si>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</si>
  <si>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</si>
  <si>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</si>
  <si>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</si>
  <si>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</si>
  <si>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</si>
  <si>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</si>
  <si>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</si>
  <si>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</si>
  <si>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</si>
  <si>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</si>
  <si>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</si>
  <si>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</si>
  <si>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</si>
  <si>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</si>
  <si>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</si>
  <si>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</si>
  <si>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</si>
  <si>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</si>
  <si>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</si>
  <si>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</si>
  <si>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</si>
  <si>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</si>
  <si>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</si>
  <si>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</si>
  <si>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</si>
  <si>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</si>
  <si>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</si>
  <si>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</si>
  <si>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</si>
  <si>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</si>
  <si>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</si>
  <si>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</si>
  <si>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</si>
  <si>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</si>
  <si>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</si>
  <si>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</si>
  <si>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</si>
  <si>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</si>
  <si>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</si>
  <si>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</si>
  <si>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</si>
  <si>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</si>
  <si>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</si>
  <si>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</si>
  <si>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</si>
  <si>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</si>
  <si>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</si>
  <si>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</si>
  <si>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</si>
  <si>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</si>
  <si>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</si>
  <si>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</si>
  <si>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</si>
  <si>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</si>
  <si>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</si>
  <si>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</si>
  <si>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</si>
  <si>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</si>
  <si>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</si>
  <si>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</si>
  <si>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</si>
  <si>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</si>
  <si>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</si>
  <si>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</si>
  <si>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</si>
  <si>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</si>
  <si>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</si>
  <si>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</si>
  <si>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</si>
  <si>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</si>
  <si>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</si>
  <si>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</si>
  <si>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</si>
  <si>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</si>
  <si>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</si>
  <si>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</si>
  <si>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</si>
  <si>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</si>
  <si>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</si>
  <si>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</si>
  <si>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</si>
  <si>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</si>
  <si>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</si>
  <si>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</si>
  <si>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</si>
  <si>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</si>
  <si>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</si>
  <si>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</si>
  <si>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</si>
  <si>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</si>
  <si>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</si>
  <si>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</si>
  <si>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</si>
  <si>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</si>
  <si>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</si>
  <si>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</si>
  <si>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</si>
  <si>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</si>
  <si>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</si>
  <si>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</si>
  <si>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</si>
  <si>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</si>
  <si>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</si>
  <si>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</si>
  <si>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</si>
  <si>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</si>
  <si>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</si>
  <si>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</si>
  <si>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</si>
  <si>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</si>
  <si>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</si>
  <si>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</si>
  <si>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</si>
  <si>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</si>
  <si>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</si>
  <si>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</si>
  <si>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</si>
  <si>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</si>
  <si>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</si>
  <si>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</si>
  <si>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</si>
  <si>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</si>
  <si>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</si>
  <si>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</si>
  <si>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</si>
  <si>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</si>
  <si>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</si>
  <si>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</si>
  <si>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</si>
  <si>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</si>
  <si>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</si>
  <si>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</si>
  <si>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</si>
  <si>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</si>
  <si>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</si>
  <si>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</si>
  <si>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</si>
  <si>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</si>
  <si>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</si>
  <si>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</si>
  <si>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</si>
  <si>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</si>
  <si>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</si>
  <si>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</si>
  <si>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</si>
  <si>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</si>
  <si>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</si>
  <si>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</si>
  <si>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</si>
  <si>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</si>
  <si>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</si>
  <si>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</si>
  <si>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</si>
  <si>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</si>
  <si>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</si>
  <si>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</si>
  <si>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</si>
  <si>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</si>
  <si>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</si>
  <si>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</si>
  <si>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</si>
  <si>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</si>
  <si>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</si>
  <si>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</si>
  <si>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</si>
  <si>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</si>
  <si>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</si>
  <si>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</si>
  <si>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</si>
  <si>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</si>
  <si>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</si>
  <si>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</si>
  <si>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</si>
  <si>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</si>
  <si>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</si>
  <si>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</si>
  <si>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</si>
  <si>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</si>
  <si>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</si>
  <si>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</si>
  <si>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</si>
  <si>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</si>
  <si>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</si>
  <si>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</si>
  <si>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</si>
  <si>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</si>
  <si>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</si>
  <si>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</si>
  <si>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</si>
  <si>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</si>
  <si>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</si>
  <si>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</si>
  <si>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</si>
  <si>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</si>
  <si>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</si>
  <si>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</si>
  <si>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</si>
  <si>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</si>
  <si>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</si>
  <si>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</si>
  <si>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</si>
  <si>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</si>
  <si>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</si>
  <si>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</si>
  <si>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</si>
  <si>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</si>
  <si>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</si>
  <si>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</si>
  <si>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</si>
  <si>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</si>
  <si>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</si>
  <si>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</si>
  <si>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</si>
  <si>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</si>
  <si>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</si>
  <si>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</si>
  <si>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</si>
  <si>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</si>
  <si>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</si>
  <si>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</si>
  <si>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</si>
  <si>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</si>
  <si>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</si>
  <si>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</si>
  <si>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</si>
  <si>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</si>
  <si>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</si>
  <si>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</si>
  <si>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</si>
  <si>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</si>
  <si>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</si>
  <si>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</si>
  <si>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</si>
  <si>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</si>
  <si>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</si>
  <si>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</si>
  <si>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</si>
  <si>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</si>
  <si>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</si>
  <si>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</si>
  <si>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</si>
  <si>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</si>
  <si>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</si>
  <si>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</si>
  <si>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</si>
  <si>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</si>
  <si>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</si>
  <si>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</si>
  <si>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</si>
  <si>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</si>
  <si>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</si>
  <si>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</si>
  <si>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</si>
  <si>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</si>
  <si>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</si>
  <si>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</si>
  <si>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</si>
  <si>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</si>
  <si>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</si>
  <si>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</si>
  <si>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</si>
  <si>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</si>
  <si>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</si>
  <si>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</si>
  <si>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</si>
  <si>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</si>
  <si>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</si>
  <si>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</si>
  <si>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</si>
  <si>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</si>
  <si>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</si>
  <si>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</si>
  <si>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</si>
  <si>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</si>
  <si>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</si>
  <si>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</si>
  <si>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</si>
  <si>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</si>
  <si>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</si>
  <si>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</si>
  <si>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</si>
  <si>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</si>
  <si>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</si>
  <si>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</si>
  <si>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</si>
  <si>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</si>
  <si>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</si>
  <si>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</si>
  <si>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</si>
  <si>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</si>
  <si>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</si>
  <si>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</si>
  <si>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</si>
  <si>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</si>
  <si>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</si>
  <si>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</si>
  <si>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</si>
  <si>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</si>
  <si>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</si>
  <si>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</si>
  <si>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</si>
  <si>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</si>
  <si>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</si>
  <si>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</si>
  <si>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</si>
  <si>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</si>
  <si>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</si>
  <si>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</si>
  <si>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</si>
  <si>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</si>
  <si>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</si>
  <si>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</si>
  <si>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</si>
  <si>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</si>
  <si>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</si>
  <si>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</si>
  <si>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</si>
  <si>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</si>
  <si>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</si>
  <si>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</si>
  <si>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</si>
  <si>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</si>
  <si>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</si>
  <si>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</si>
  <si>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</si>
  <si>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</si>
  <si>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</si>
  <si>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</si>
  <si>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</si>
  <si>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</si>
  <si>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</si>
  <si>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</si>
  <si>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</si>
  <si>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</si>
  <si>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</si>
  <si>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</si>
  <si>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</si>
  <si>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</si>
  <si>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</si>
  <si>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</si>
  <si>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</si>
  <si>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</si>
  <si>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</si>
  <si>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</si>
  <si>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</si>
  <si>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</si>
  <si>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</si>
  <si>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</si>
  <si>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</si>
  <si>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</si>
  <si>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</si>
  <si>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</si>
  <si>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</si>
  <si>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</si>
  <si>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</si>
  <si>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</si>
  <si>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</si>
  <si>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</si>
  <si>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</si>
  <si>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</si>
  <si>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</si>
  <si>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</si>
  <si>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</si>
  <si>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</si>
  <si>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</si>
  <si>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</si>
  <si>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</si>
  <si>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</si>
  <si>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</si>
  <si>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</si>
  <si>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</si>
  <si>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</si>
  <si>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</si>
  <si>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</si>
  <si>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</si>
  <si>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</si>
  <si>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</si>
  <si>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</si>
  <si>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</si>
  <si>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</si>
  <si>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</si>
  <si>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</si>
  <si>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</si>
  <si>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</si>
  <si>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</si>
  <si>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</si>
  <si>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</si>
  <si>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</si>
  <si>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</si>
  <si>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</si>
  <si>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</si>
  <si>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</si>
  <si>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</si>
  <si>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</si>
  <si>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</si>
  <si>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</si>
  <si>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</si>
  <si>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</si>
  <si>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</si>
  <si>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</si>
  <si>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</si>
  <si>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</si>
  <si>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</si>
  <si>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</si>
  <si>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</si>
  <si>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</si>
  <si>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</si>
  <si>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</si>
  <si>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</si>
  <si>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</si>
  <si>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</si>
  <si>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</si>
  <si>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</si>
  <si>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</si>
  <si>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</si>
  <si>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</si>
  <si>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</si>
  <si>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</si>
  <si>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</si>
  <si>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</si>
  <si>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</si>
  <si>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</si>
  <si>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</si>
  <si>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</si>
  <si>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</si>
  <si>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</si>
  <si>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</si>
  <si>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</si>
  <si>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</si>
  <si>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</si>
  <si>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</si>
  <si>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</si>
  <si>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</si>
  <si>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</si>
  <si>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</si>
  <si>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</si>
  <si>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</si>
  <si>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</si>
  <si>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</si>
  <si>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</si>
  <si>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</si>
  <si>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</si>
  <si>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</si>
  <si>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</si>
  <si>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</si>
  <si>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</si>
  <si>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</si>
  <si>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</si>
  <si>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</si>
  <si>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</si>
  <si>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</si>
  <si>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</si>
  <si>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</si>
  <si>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</si>
  <si>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</si>
  <si>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</si>
  <si>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</si>
  <si>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</si>
  <si>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</si>
  <si>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</si>
  <si>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</si>
  <si>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</si>
  <si>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</si>
  <si>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</si>
  <si>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</si>
  <si>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</si>
  <si>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</si>
  <si>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</si>
  <si>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</si>
  <si>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</si>
  <si>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</si>
  <si>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</si>
  <si>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</si>
  <si>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</si>
  <si>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</si>
  <si>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</si>
  <si>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</si>
  <si>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</si>
  <si>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</si>
  <si>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</si>
  <si>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</si>
  <si>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</si>
  <si>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</si>
  <si>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</si>
  <si>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</si>
  <si>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</si>
  <si>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</si>
  <si>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</si>
  <si>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</si>
  <si>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</si>
  <si>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</si>
  <si>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</si>
  <si>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</si>
  <si>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</si>
  <si>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</si>
  <si>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</si>
  <si>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</si>
  <si>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</si>
  <si>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</si>
  <si>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</si>
  <si>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</si>
  <si>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</si>
  <si>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</si>
  <si>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</si>
  <si>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</si>
  <si>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</si>
  <si>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</si>
  <si>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</si>
  <si>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</si>
  <si>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</si>
  <si>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</si>
  <si>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</si>
  <si>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</si>
  <si>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</si>
  <si>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</si>
  <si>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</si>
  <si>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</si>
  <si>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</si>
  <si>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</si>
  <si>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</si>
  <si>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</si>
  <si>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</si>
  <si>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</si>
  <si>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</si>
  <si>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</si>
  <si>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</si>
  <si>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</si>
  <si>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</si>
  <si>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</si>
  <si>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</si>
  <si>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</si>
  <si>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</si>
  <si>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</si>
  <si>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</si>
  <si>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</si>
  <si>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</si>
  <si>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</si>
  <si>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</si>
  <si>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</si>
  <si>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</si>
  <si>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</si>
  <si>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</si>
  <si>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</si>
  <si>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</si>
  <si>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</si>
  <si>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</si>
  <si>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</si>
  <si>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</si>
  <si>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</si>
  <si>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</si>
  <si>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</si>
  <si>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</si>
  <si>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</si>
  <si>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</si>
  <si>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</si>
  <si>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</si>
  <si>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</si>
  <si>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</si>
  <si>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</si>
  <si>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</si>
  <si>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</si>
  <si>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</si>
  <si>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</si>
  <si>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</si>
  <si>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</si>
  <si>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</si>
  <si>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</si>
  <si>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</si>
  <si>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</si>
  <si>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</si>
  <si>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</si>
  <si>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</si>
  <si>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</si>
  <si>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</si>
  <si>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</si>
  <si>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</si>
  <si>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</si>
  <si>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</si>
  <si>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</si>
  <si>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</si>
  <si>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</si>
  <si>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</si>
  <si>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</si>
  <si>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</si>
  <si>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</si>
  <si>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</si>
  <si>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</si>
  <si>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</si>
  <si>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</si>
  <si>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</si>
  <si>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</si>
  <si>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</si>
  <si>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</si>
  <si>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</si>
  <si>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</si>
  <si>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</si>
  <si>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</si>
  <si>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</si>
  <si>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</si>
  <si>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</si>
  <si>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</si>
  <si>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</si>
  <si>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</si>
  <si>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</si>
  <si>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</si>
  <si>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</si>
  <si>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</si>
  <si>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</si>
  <si>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</si>
  <si>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</si>
  <si>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</si>
  <si>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</si>
  <si>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</si>
  <si>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</si>
  <si>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</si>
  <si>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</si>
  <si>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</si>
  <si>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</si>
  <si>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</si>
  <si>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</si>
  <si>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</si>
  <si>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</si>
  <si>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</si>
  <si>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</si>
  <si>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</si>
  <si>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</si>
  <si>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</si>
  <si>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</si>
  <si>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</si>
  <si>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</si>
  <si>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</si>
  <si>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</si>
  <si>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</si>
  <si>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</si>
  <si>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</si>
  <si>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</si>
  <si>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</si>
  <si>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</si>
  <si>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</si>
  <si>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</si>
  <si>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</si>
  <si>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</si>
  <si>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</si>
  <si>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</si>
  <si>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</si>
  <si>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</si>
  <si>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</si>
  <si>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</si>
  <si>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</si>
  <si>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</si>
  <si>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</si>
  <si>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</si>
  <si>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</si>
  <si>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</si>
  <si>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</si>
  <si>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</si>
  <si>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</si>
  <si>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</si>
  <si>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</si>
  <si>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</si>
  <si>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</si>
  <si>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</si>
  <si>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</si>
  <si>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</si>
  <si>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</si>
  <si>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</si>
  <si>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</si>
  <si>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</si>
  <si>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</si>
  <si>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</si>
  <si>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</si>
  <si>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</si>
  <si>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</si>
  <si>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</si>
  <si>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</si>
  <si>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</si>
  <si>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</si>
  <si>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</si>
  <si>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</si>
  <si>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</si>
  <si>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</si>
  <si>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</si>
  <si>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</si>
  <si>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</si>
  <si>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</si>
  <si>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</si>
  <si>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</si>
  <si>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</si>
  <si>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</si>
  <si>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</si>
  <si>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</si>
  <si>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</si>
  <si>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</si>
  <si>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</si>
  <si>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</si>
  <si>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</si>
  <si>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</si>
  <si>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</si>
  <si>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</si>
  <si>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</si>
  <si>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</si>
  <si>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</si>
  <si>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</si>
  <si>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</si>
  <si>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</si>
  <si>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</si>
  <si>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</si>
  <si>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</si>
  <si>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</si>
  <si>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</si>
  <si>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</si>
  <si>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</si>
  <si>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</si>
  <si>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</si>
  <si>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</si>
  <si>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</si>
  <si>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</si>
  <si>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</si>
  <si>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</si>
  <si>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</si>
  <si>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</si>
  <si>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</si>
  <si>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</si>
  <si>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</si>
  <si>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</si>
  <si>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</si>
  <si>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</si>
  <si>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</si>
  <si>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</si>
  <si>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</si>
  <si>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</si>
  <si>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</si>
  <si>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</si>
  <si>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</si>
  <si>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</si>
  <si>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</si>
  <si>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</si>
  <si>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</si>
  <si>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</si>
  <si>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</si>
  <si>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</si>
  <si>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</si>
  <si>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</si>
  <si>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</si>
  <si>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</si>
  <si>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</si>
  <si>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</si>
  <si>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</si>
  <si>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</si>
  <si>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</si>
  <si>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</si>
  <si>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</si>
  <si>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</si>
  <si>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</si>
  <si>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</si>
  <si>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</si>
  <si>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</si>
  <si>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</si>
  <si>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</si>
  <si>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</si>
  <si>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</si>
  <si>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</si>
  <si>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</si>
  <si>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</si>
  <si>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</si>
  <si>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</si>
  <si>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</si>
  <si>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</si>
  <si>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</si>
  <si>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</si>
  <si>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</si>
  <si>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</si>
  <si>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</si>
  <si>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</si>
  <si>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</si>
  <si>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</si>
  <si>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</si>
  <si>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</si>
  <si>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</si>
  <si>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</si>
  <si>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</si>
  <si>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</si>
  <si>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</si>
  <si>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</si>
  <si>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</si>
  <si>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</si>
  <si>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</si>
  <si>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</si>
  <si>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</si>
  <si>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</si>
  <si>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</si>
  <si>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</si>
  <si>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</si>
  <si>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</si>
  <si>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</si>
  <si>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</si>
  <si>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</si>
  <si>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</si>
  <si>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</si>
  <si>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</si>
  <si>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</si>
  <si>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</si>
  <si>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</si>
  <si>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</si>
  <si>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</si>
  <si>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</si>
  <si>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</si>
  <si>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</si>
  <si>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</si>
  <si>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</si>
  <si>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</si>
  <si>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</si>
  <si>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</si>
  <si>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</si>
  <si>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</si>
  <si>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</si>
  <si>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</si>
  <si>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</si>
  <si>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</si>
  <si>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</si>
  <si>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</si>
  <si>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</si>
  <si>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</si>
  <si>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</si>
  <si>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</si>
  <si>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</si>
  <si>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</si>
  <si>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</si>
  <si>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</si>
  <si>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</si>
  <si>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</si>
  <si>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</si>
  <si>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</si>
  <si>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</si>
  <si>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</si>
  <si>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</si>
  <si>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</si>
  <si>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</si>
  <si>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</si>
  <si>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</si>
  <si>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</si>
  <si>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</si>
  <si>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</si>
  <si>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</si>
  <si>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</si>
  <si>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</si>
  <si>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</si>
  <si>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</si>
  <si>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</si>
  <si>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</si>
  <si>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</si>
  <si>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</si>
  <si>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</si>
  <si>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</si>
  <si>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</si>
  <si>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</si>
  <si>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</si>
  <si>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</si>
  <si>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</si>
  <si>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</si>
  <si>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</si>
  <si>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</si>
  <si>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</si>
  <si>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</si>
  <si>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</si>
  <si>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</si>
  <si>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</si>
  <si>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</si>
  <si>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</si>
  <si>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</si>
  <si>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</si>
  <si>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</si>
  <si>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</si>
  <si>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</si>
  <si>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</si>
  <si>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</si>
  <si>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</si>
  <si>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</si>
  <si>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</si>
  <si>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</si>
  <si>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</si>
  <si>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</si>
  <si>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</si>
  <si>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</si>
  <si>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</si>
  <si>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</si>
  <si>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</si>
  <si>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</si>
  <si>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</si>
  <si>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</si>
  <si>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</si>
  <si>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</si>
  <si>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</si>
  <si>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</si>
  <si>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</si>
  <si>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</si>
  <si>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</si>
  <si>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</si>
  <si>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</si>
  <si>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</si>
  <si>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</si>
  <si>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</si>
  <si>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</si>
  <si>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</si>
  <si>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</si>
  <si>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</si>
  <si>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</si>
  <si>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</si>
  <si>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</si>
  <si>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</si>
  <si>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</si>
  <si>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</si>
  <si>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</si>
  <si>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</si>
  <si>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</si>
  <si>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</si>
  <si>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</si>
  <si>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</si>
  <si>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</si>
  <si>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</si>
  <si>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</si>
  <si>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</si>
  <si>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</si>
  <si>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</si>
  <si>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</si>
  <si>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</si>
  <si>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</si>
  <si>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</si>
  <si>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</si>
  <si>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</si>
  <si>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</si>
  <si>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</si>
  <si>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</si>
  <si>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</si>
  <si>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</si>
  <si>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</si>
  <si>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</si>
  <si>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</si>
  <si>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</si>
  <si>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</si>
  <si>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</si>
  <si>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</si>
  <si>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</si>
  <si>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</si>
  <si>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</si>
  <si>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</si>
  <si>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</si>
  <si>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</si>
  <si>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</si>
  <si>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</si>
  <si>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</si>
  <si>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</si>
  <si>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</si>
  <si>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</si>
  <si>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</si>
  <si>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</si>
  <si>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</si>
  <si>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</si>
  <si>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</si>
  <si>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</si>
  <si>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</si>
  <si>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</si>
  <si>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</si>
  <si>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</si>
  <si>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</si>
  <si>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</si>
  <si>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</si>
  <si>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</si>
  <si>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</si>
  <si>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</si>
  <si>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</si>
  <si>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</si>
  <si>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</si>
  <si>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</si>
  <si>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</si>
  <si>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</si>
  <si>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</si>
  <si>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</si>
  <si>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</si>
  <si>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</si>
  <si>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</si>
  <si>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</si>
  <si>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</si>
  <si>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</si>
  <si>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</si>
  <si>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</si>
  <si>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</si>
  <si>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</si>
  <si>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</si>
  <si>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</si>
  <si>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</si>
  <si>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</si>
  <si>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</si>
  <si>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</si>
  <si>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</si>
  <si>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</si>
  <si>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</si>
  <si>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</si>
  <si>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</si>
  <si>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</si>
  <si>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</si>
  <si>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</si>
  <si>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</si>
  <si>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</si>
  <si>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</si>
  <si>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</si>
  <si>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</si>
  <si>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</si>
  <si>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</si>
  <si>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</si>
  <si>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</si>
  <si>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</si>
  <si>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</si>
  <si>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</si>
  <si>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</si>
  <si>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</si>
  <si>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</si>
  <si>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</si>
  <si>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</si>
  <si>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</si>
  <si>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</si>
  <si>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</si>
  <si>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</si>
  <si>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</si>
  <si>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</si>
  <si>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</si>
  <si>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</si>
  <si>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</si>
  <si>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</si>
  <si>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</si>
  <si>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</si>
  <si>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</si>
  <si>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</si>
  <si>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</si>
  <si>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</si>
  <si>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</si>
  <si>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</si>
  <si>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</si>
  <si>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</si>
  <si>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</si>
  <si>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</si>
  <si>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</si>
  <si>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</si>
  <si>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</si>
  <si>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</si>
  <si>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</si>
  <si>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</si>
  <si>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</si>
  <si>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</si>
  <si>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</si>
  <si>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</si>
  <si>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</si>
  <si>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</si>
  <si>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</si>
  <si>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</si>
  <si>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</si>
  <si>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</si>
  <si>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</si>
  <si>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</si>
  <si>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</si>
  <si>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</si>
  <si>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</si>
  <si>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</si>
  <si>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</si>
  <si>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</si>
  <si>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</si>
  <si>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</si>
  <si>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</si>
  <si>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</si>
  <si>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</si>
  <si>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</si>
  <si>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</si>
  <si>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</si>
  <si>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</si>
  <si>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</si>
  <si>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</si>
  <si>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</si>
  <si>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</si>
  <si>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</si>
  <si>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</si>
  <si>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</si>
  <si>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</si>
  <si>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</si>
  <si>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</si>
  <si>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</si>
  <si>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</si>
  <si>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</si>
  <si>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</si>
  <si>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</si>
  <si>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</si>
  <si>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</si>
  <si>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</si>
  <si>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</si>
  <si>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</si>
  <si>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</si>
  <si>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</si>
  <si>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</si>
  <si>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</si>
  <si>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</si>
  <si>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</si>
  <si>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</si>
  <si>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</si>
  <si>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</si>
  <si>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</si>
  <si>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</si>
  <si>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</si>
  <si>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</si>
  <si>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</si>
  <si>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</si>
  <si>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</si>
  <si>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</si>
  <si>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</si>
  <si>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</si>
  <si>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</si>
  <si>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</si>
  <si>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</si>
  <si>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</si>
  <si>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</si>
  <si>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</si>
  <si>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</si>
  <si>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</si>
  <si>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</si>
  <si>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</si>
  <si>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</si>
  <si>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</si>
  <si>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</si>
  <si>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</si>
  <si>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</si>
  <si>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</si>
  <si>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</si>
  <si>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</si>
  <si>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</si>
  <si>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</si>
  <si>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</si>
  <si>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</si>
  <si>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</si>
  <si>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</si>
  <si>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</si>
  <si>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</si>
  <si>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</si>
  <si>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</si>
  <si>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</si>
  <si>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</si>
  <si>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</si>
  <si>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</si>
  <si>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</si>
  <si>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</si>
  <si>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</si>
  <si>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</si>
  <si>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</si>
  <si>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</si>
  <si>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</si>
  <si>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</si>
  <si>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</si>
  <si>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</si>
  <si>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</si>
  <si>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</si>
  <si>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</si>
  <si>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</si>
  <si>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</si>
  <si>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</si>
  <si>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</si>
  <si>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</si>
  <si>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</si>
  <si>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</si>
  <si>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</si>
  <si>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</si>
  <si>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</si>
  <si>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</si>
  <si>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</si>
  <si>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</si>
  <si>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</si>
  <si>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</si>
  <si>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</si>
  <si>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</si>
  <si>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</si>
  <si>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</si>
  <si>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</si>
  <si>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</si>
  <si>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</si>
  <si>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</si>
  <si>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</si>
  <si>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</si>
  <si>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</si>
  <si>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</si>
  <si>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</si>
  <si>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</si>
  <si>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</si>
  <si>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</si>
  <si>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</si>
  <si>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</si>
  <si>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</si>
  <si>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</si>
  <si>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</si>
  <si>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</si>
  <si>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</si>
  <si>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</si>
  <si>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</si>
  <si>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</si>
  <si>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</si>
  <si>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</si>
  <si>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</si>
  <si>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</si>
  <si>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</si>
  <si>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</si>
  <si>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</si>
  <si>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</si>
  <si>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</si>
  <si>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</si>
  <si>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</si>
  <si>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</si>
  <si>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</si>
  <si>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</si>
  <si>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</si>
  <si>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</si>
  <si>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</si>
  <si>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</si>
  <si>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</si>
  <si>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</si>
  <si>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</si>
  <si>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</si>
  <si>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</si>
  <si>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</si>
  <si>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</si>
  <si>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</si>
  <si>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</si>
  <si>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</si>
  <si>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</si>
  <si>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</si>
  <si>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</si>
  <si>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</si>
  <si>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</si>
  <si>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</si>
  <si>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</si>
  <si>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</si>
  <si>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</si>
  <si>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</si>
  <si>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</si>
  <si>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</si>
  <si>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</si>
  <si>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</si>
  <si>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</si>
  <si>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</si>
  <si>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</si>
  <si>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</si>
  <si>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</si>
  <si>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</si>
  <si>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</si>
  <si>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</si>
  <si>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</si>
  <si>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</si>
  <si>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</si>
  <si>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</si>
  <si>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</si>
  <si>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</si>
  <si>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</si>
  <si>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</si>
  <si>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</si>
  <si>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</si>
  <si>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</si>
  <si>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</si>
  <si>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</si>
  <si>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</si>
  <si>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</si>
  <si>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</si>
  <si>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</si>
  <si>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</si>
  <si>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</si>
  <si>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</si>
  <si>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</si>
  <si>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</si>
  <si>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</si>
  <si>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</si>
  <si>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</si>
  <si>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</si>
  <si>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</si>
  <si>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</si>
  <si>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</si>
  <si>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</si>
  <si>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</si>
  <si>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</si>
  <si>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</si>
  <si>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</si>
  <si>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</si>
  <si>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</si>
  <si>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</si>
  <si>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</si>
  <si>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</si>
  <si>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</si>
  <si>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</si>
  <si>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</si>
  <si>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</si>
  <si>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</si>
  <si>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</si>
  <si>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</si>
  <si>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</si>
  <si>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</si>
  <si>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</si>
  <si>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</si>
  <si>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</si>
  <si>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</si>
  <si>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</si>
  <si>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</si>
  <si>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</si>
  <si>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</si>
  <si>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</si>
  <si>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</si>
  <si>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</si>
  <si>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</si>
  <si>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</si>
  <si>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</si>
  <si>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</si>
  <si>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</si>
  <si>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</si>
  <si>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</si>
  <si>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</si>
  <si>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</si>
  <si>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</si>
  <si>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</si>
  <si>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</si>
  <si>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</si>
  <si>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</si>
  <si>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</si>
  <si>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</si>
  <si>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</si>
  <si>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</si>
  <si>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</si>
  <si>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</si>
  <si>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</si>
  <si>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</si>
  <si>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</si>
  <si>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</si>
  <si>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</si>
  <si>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</si>
  <si>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</si>
  <si>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</si>
  <si>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</si>
  <si>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</si>
  <si>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</si>
  <si>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</si>
  <si>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</si>
  <si>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</si>
  <si>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</si>
  <si>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</si>
  <si>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</si>
  <si>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</si>
  <si>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</si>
  <si>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</si>
  <si>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</si>
  <si>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</si>
  <si>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</si>
  <si>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</si>
  <si>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</si>
  <si>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</si>
  <si>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</si>
  <si>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</si>
  <si>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</si>
  <si>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</si>
  <si>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</si>
  <si>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</si>
  <si>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</si>
  <si>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</si>
  <si>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</si>
  <si>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</si>
  <si>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</si>
  <si>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</si>
  <si>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</si>
  <si>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</si>
  <si>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</si>
  <si>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</si>
  <si>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</si>
  <si>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</si>
  <si>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</si>
  <si>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</si>
  <si>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</si>
  <si>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</si>
  <si>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</si>
  <si>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</si>
  <si>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</si>
  <si>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</si>
  <si>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</si>
  <si>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</si>
  <si>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</si>
  <si>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</si>
  <si>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</si>
  <si>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</si>
  <si>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</si>
  <si>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</si>
  <si>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</si>
  <si>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</si>
  <si>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</si>
  <si>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</si>
  <si>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</si>
  <si>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</si>
  <si>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</si>
  <si>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</si>
  <si>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</si>
  <si>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</si>
  <si>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</si>
  <si>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</si>
  <si>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</si>
  <si>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</si>
  <si>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</si>
  <si>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</si>
  <si>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</si>
  <si>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</si>
  <si>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</si>
  <si>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</si>
  <si>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</si>
  <si>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</si>
  <si>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</si>
  <si>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</si>
  <si>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</si>
  <si>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</si>
  <si>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</si>
  <si>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</si>
  <si>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</si>
  <si>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</si>
  <si>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</si>
  <si>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</si>
  <si>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</si>
  <si>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</si>
  <si>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</si>
  <si>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</si>
  <si>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</si>
  <si>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</si>
  <si>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</si>
  <si>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</si>
  <si>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</si>
  <si>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</si>
  <si>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</si>
  <si>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</si>
  <si>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</si>
  <si>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</si>
  <si>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</si>
  <si>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</si>
  <si>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</si>
  <si>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</si>
  <si>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</si>
  <si>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</si>
  <si>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</si>
  <si>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</si>
  <si>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</si>
  <si>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</si>
  <si>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</si>
  <si>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</si>
  <si>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</si>
  <si>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</si>
  <si>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</si>
  <si>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</si>
  <si>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</si>
  <si>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</si>
  <si>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</si>
  <si>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</si>
  <si>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</si>
  <si>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</si>
  <si>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</si>
  <si>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</si>
  <si>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</si>
  <si>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</si>
  <si>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</si>
  <si>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</si>
  <si>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</si>
  <si>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</si>
  <si>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</si>
  <si>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</si>
  <si>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</si>
  <si>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</si>
  <si>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</si>
  <si>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</si>
  <si>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</si>
  <si>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</si>
  <si>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</si>
  <si>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</si>
  <si>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</si>
  <si>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</si>
  <si>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</si>
  <si>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</si>
  <si>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</si>
  <si>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</si>
  <si>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</si>
  <si>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</si>
  <si>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</si>
  <si>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</si>
  <si>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</si>
  <si>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</si>
  <si>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</si>
  <si>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</si>
  <si>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</si>
  <si>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</si>
  <si>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</si>
  <si>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</si>
  <si>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</si>
  <si>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</si>
  <si>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</si>
  <si>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</si>
  <si>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</si>
  <si>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</si>
  <si>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</si>
  <si>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</si>
  <si>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</si>
  <si>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</si>
  <si>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</si>
  <si>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</si>
  <si>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</si>
  <si>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</si>
  <si>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</si>
  <si>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</si>
  <si>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</si>
  <si>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</si>
  <si>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</si>
  <si>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</si>
  <si>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</si>
  <si>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</si>
  <si>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</si>
  <si>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</si>
  <si>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</si>
  <si>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</si>
  <si>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</si>
  <si>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</si>
  <si>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</si>
  <si>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</si>
  <si>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</si>
  <si>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</si>
  <si>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</si>
  <si>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</si>
  <si>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</si>
  <si>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</si>
  <si>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</si>
  <si>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</si>
  <si>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</si>
  <si>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</si>
  <si>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</si>
  <si>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</si>
  <si>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</si>
  <si>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</si>
  <si>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</si>
  <si>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</si>
  <si>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</si>
  <si>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</si>
  <si>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</si>
  <si>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</si>
  <si>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</si>
  <si>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</si>
  <si>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</si>
  <si>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</si>
  <si>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</si>
  <si>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</si>
  <si>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</si>
  <si>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</si>
  <si>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</si>
  <si>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</si>
  <si>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</si>
  <si>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</si>
  <si>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</si>
  <si>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</si>
  <si>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</si>
  <si>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</si>
  <si>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</si>
  <si>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</si>
  <si>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</si>
  <si>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</si>
  <si>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</si>
  <si>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</si>
  <si>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</si>
  <si>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</si>
  <si>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</si>
  <si>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</si>
  <si>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</si>
  <si>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</si>
  <si>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</si>
  <si>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</si>
  <si>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</si>
  <si>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</si>
  <si>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</si>
  <si>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</si>
  <si>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</si>
  <si>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</si>
  <si>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</si>
  <si>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</si>
  <si>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</si>
  <si>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</si>
  <si>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</si>
  <si>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</si>
  <si>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</si>
  <si>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</si>
  <si>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</si>
  <si>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</si>
  <si>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</si>
  <si>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</si>
  <si>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</si>
  <si>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</si>
  <si>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</si>
  <si>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</si>
  <si>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</si>
  <si>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</si>
  <si>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</si>
  <si>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</si>
  <si>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</si>
  <si>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</si>
  <si>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</si>
  <si>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</si>
  <si>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</si>
  <si>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</si>
  <si>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</si>
  <si>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</si>
  <si>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</si>
  <si>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</si>
  <si>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</si>
  <si>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</si>
  <si>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</si>
  <si>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</si>
  <si>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</si>
  <si>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</si>
  <si>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</si>
  <si>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</si>
  <si>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</si>
  <si>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</si>
  <si>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</si>
  <si>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</si>
  <si>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</si>
  <si>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</si>
  <si>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</si>
  <si>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</si>
  <si>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</si>
  <si>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</si>
  <si>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</si>
  <si>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</si>
  <si>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</si>
  <si>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</si>
  <si>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</si>
  <si>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</si>
  <si>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</si>
  <si>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</si>
  <si>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</si>
  <si>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</si>
  <si>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</si>
  <si>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</si>
  <si>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</si>
  <si>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</si>
  <si>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</si>
  <si>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</si>
  <si>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</si>
  <si>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</si>
  <si>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</si>
  <si>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</si>
  <si>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</si>
  <si>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</si>
  <si>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</si>
  <si>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</si>
  <si>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</si>
  <si>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</si>
  <si>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</si>
  <si>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</si>
  <si>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</si>
  <si>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</si>
  <si>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</si>
  <si>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</si>
  <si>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</si>
  <si>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</si>
  <si>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</si>
  <si>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</si>
  <si>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</si>
  <si>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</si>
  <si>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</si>
  <si>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</si>
  <si>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</si>
  <si>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</si>
  <si>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</si>
  <si>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</si>
  <si>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</si>
  <si>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</si>
  <si>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</si>
  <si>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</si>
  <si>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</si>
  <si>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</si>
  <si>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</si>
  <si>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</si>
  <si>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</si>
  <si>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</si>
  <si>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</si>
  <si>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</si>
  <si>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</si>
  <si>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</si>
  <si>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</si>
  <si>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</si>
  <si>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</si>
  <si>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</si>
  <si>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</si>
  <si>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</si>
  <si>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</si>
  <si>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</si>
  <si>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</si>
  <si>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</si>
  <si>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</si>
  <si>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</si>
  <si>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</si>
  <si>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</si>
  <si>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</si>
  <si>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</si>
  <si>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</si>
  <si>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</si>
  <si>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</si>
  <si>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</si>
  <si>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</si>
  <si>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</si>
  <si>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</si>
  <si>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</si>
  <si>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</si>
  <si>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</si>
  <si>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</si>
  <si>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</si>
  <si>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</si>
  <si>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</si>
  <si>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</si>
  <si>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</si>
  <si>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</si>
  <si>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</si>
  <si>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</si>
  <si>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</si>
  <si>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</si>
  <si>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</si>
  <si>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</si>
  <si>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</si>
  <si>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</si>
  <si>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</si>
  <si>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</si>
  <si>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</si>
  <si>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</si>
  <si>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</si>
  <si>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</si>
  <si>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</si>
  <si>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</si>
  <si>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</si>
  <si>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</si>
  <si>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</si>
  <si>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</si>
  <si>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</si>
  <si>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</si>
  <si>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</si>
  <si>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</si>
  <si>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</si>
  <si>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</si>
  <si>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</si>
  <si>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</si>
  <si>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</si>
  <si>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</si>
  <si>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</si>
  <si>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</si>
  <si>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</si>
  <si>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</si>
  <si>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</si>
  <si>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</si>
  <si>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</si>
  <si>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</si>
  <si>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</si>
  <si>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</si>
  <si>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</si>
  <si>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</si>
  <si>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</si>
  <si>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</si>
  <si>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</si>
  <si>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</si>
  <si>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</si>
  <si>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</si>
  <si>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</si>
  <si>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</si>
  <si>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</si>
  <si>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</si>
  <si>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</si>
  <si>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</si>
  <si>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</si>
  <si>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</si>
  <si>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</si>
  <si>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</si>
  <si>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</si>
  <si>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</si>
  <si>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</si>
  <si>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</si>
  <si>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</si>
  <si>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</si>
  <si>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</si>
  <si>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</si>
  <si>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</si>
  <si>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</si>
  <si>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</si>
  <si>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</si>
  <si>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</si>
  <si>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</si>
  <si>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</si>
  <si>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</si>
  <si>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</si>
  <si>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</si>
  <si>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</si>
  <si>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</si>
  <si>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</si>
  <si>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</si>
  <si>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</si>
  <si>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</si>
  <si>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</si>
  <si>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</si>
  <si>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</si>
  <si>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</si>
  <si>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</si>
  <si>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</si>
  <si>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</si>
  <si>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</si>
  <si>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</si>
  <si>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</si>
  <si>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</si>
  <si>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</si>
  <si>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</si>
  <si>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</si>
  <si>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</si>
  <si>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</si>
  <si>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</si>
  <si>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</si>
  <si>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</si>
  <si>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</si>
  <si>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</si>
  <si>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</si>
  <si>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</si>
  <si>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</si>
  <si>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</si>
  <si>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</si>
  <si>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</si>
  <si>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</si>
  <si>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</si>
  <si>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</si>
  <si>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</si>
  <si>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</si>
  <si>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</si>
  <si>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</si>
  <si>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</si>
  <si>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</si>
  <si>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</si>
  <si>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</si>
  <si>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</si>
  <si>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</si>
  <si>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</si>
  <si>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</si>
  <si>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</si>
  <si>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</si>
  <si>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</si>
  <si>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</si>
  <si>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</si>
  <si>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</si>
  <si>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</si>
  <si>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</si>
  <si>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</si>
  <si>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</si>
  <si>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</si>
  <si>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</si>
  <si>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</si>
  <si>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</si>
  <si>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</si>
  <si>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</si>
  <si>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</si>
  <si>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</si>
  <si>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</si>
  <si>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</si>
  <si>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</si>
  <si>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</si>
  <si>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</si>
  <si>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</si>
  <si>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</si>
  <si>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</si>
  <si>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</si>
  <si>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</si>
  <si>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</si>
  <si>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</si>
  <si>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</si>
  <si>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</si>
  <si>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</si>
  <si>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</si>
  <si>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</si>
  <si>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</si>
  <si>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</si>
  <si>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</si>
  <si>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</si>
  <si>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</si>
  <si>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</si>
  <si>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</si>
  <si>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</si>
  <si>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</si>
  <si>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</si>
  <si>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</si>
  <si>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</si>
  <si>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</si>
  <si>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</si>
  <si>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</si>
  <si>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</si>
  <si>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</si>
  <si>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</si>
  <si>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</si>
  <si>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</si>
  <si>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</si>
  <si>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</si>
  <si>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</si>
  <si>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</si>
  <si>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</si>
  <si>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</si>
  <si>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</si>
  <si>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</si>
  <si>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</si>
  <si>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</si>
  <si>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</si>
  <si>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</si>
  <si>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</si>
  <si>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</si>
  <si>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</si>
  <si>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</si>
  <si>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</si>
  <si>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</si>
  <si>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</si>
  <si>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</si>
  <si>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</si>
  <si>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</si>
  <si>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</si>
  <si>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</si>
  <si>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</si>
  <si>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</si>
  <si>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</si>
  <si>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</si>
  <si>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</si>
  <si>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</si>
  <si>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</si>
  <si>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</si>
  <si>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</si>
  <si>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</si>
  <si>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</si>
  <si>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</si>
  <si>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</si>
  <si>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</si>
  <si>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</si>
  <si>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</si>
  <si>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</si>
  <si>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</si>
  <si>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</si>
  <si>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</si>
  <si>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</si>
  <si>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</si>
  <si>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</si>
  <si>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</si>
  <si>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</si>
  <si>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</si>
  <si>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</si>
  <si>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</si>
  <si>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</si>
  <si>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</si>
  <si>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</si>
  <si>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</si>
  <si>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</si>
  <si>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</si>
  <si>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</si>
  <si>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</si>
  <si>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</si>
  <si>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</si>
  <si>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</si>
  <si>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</si>
  <si>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</si>
  <si>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</si>
  <si>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</si>
  <si>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</si>
  <si>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</si>
  <si>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</si>
  <si>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</si>
  <si>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</si>
  <si>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</si>
  <si>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</si>
  <si>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</si>
  <si>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</si>
  <si>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</si>
  <si>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</si>
  <si>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</si>
  <si>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</si>
  <si>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</si>
  <si>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</si>
  <si>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</si>
  <si>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</si>
  <si>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</si>
  <si>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</si>
  <si>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</si>
  <si>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</si>
  <si>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</si>
  <si>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</si>
  <si>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</si>
  <si>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</si>
  <si>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</si>
  <si>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</si>
  <si>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</si>
  <si>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</si>
  <si>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</si>
  <si>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</si>
  <si>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</si>
  <si>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</si>
  <si>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</si>
  <si>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</si>
  <si>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</si>
  <si>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</si>
  <si>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</si>
  <si>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</si>
  <si>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</si>
  <si>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</si>
  <si>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</si>
  <si>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</si>
  <si>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</si>
  <si>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</si>
  <si>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</si>
  <si>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</si>
  <si>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</si>
  <si>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</si>
  <si>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</si>
  <si>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</si>
  <si>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</si>
  <si>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</si>
  <si>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</si>
  <si>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</si>
  <si>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</si>
  <si>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</si>
  <si>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</si>
  <si>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</si>
  <si>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</si>
  <si>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</si>
  <si>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</si>
  <si>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</si>
  <si>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</si>
  <si>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</si>
  <si>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</si>
  <si>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</si>
  <si>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</si>
  <si>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</si>
  <si>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</si>
  <si>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</si>
  <si>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</si>
  <si>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</si>
  <si>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</si>
  <si>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</si>
  <si>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</si>
  <si>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</si>
  <si>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</si>
  <si>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</si>
  <si>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</si>
  <si>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</si>
  <si>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</si>
  <si>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</si>
  <si>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</si>
  <si>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</si>
  <si>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</si>
  <si>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</si>
  <si>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</si>
  <si>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</si>
  <si>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</si>
  <si>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</si>
  <si>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</si>
  <si>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</si>
  <si>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</si>
  <si>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</si>
  <si>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</si>
  <si>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</si>
  <si>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</si>
  <si>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</si>
  <si>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</si>
  <si>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</si>
  <si>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</si>
  <si>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</si>
  <si>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</si>
  <si>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</si>
  <si>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</si>
  <si>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</si>
  <si>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</si>
  <si>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</si>
  <si>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</si>
  <si>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</si>
  <si>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</si>
  <si>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</si>
  <si>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</si>
  <si>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</si>
  <si>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</si>
  <si>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</si>
  <si>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</si>
  <si>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</si>
  <si>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</si>
  <si>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</si>
  <si>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</si>
  <si>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</si>
  <si>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</si>
  <si>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</si>
  <si>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</si>
  <si>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</si>
  <si>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</si>
  <si>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</si>
  <si>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</si>
  <si>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</si>
  <si>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</si>
  <si>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</si>
  <si>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</si>
  <si>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</si>
  <si>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</si>
  <si>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</si>
  <si>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</si>
  <si>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</si>
  <si>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</si>
  <si>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</si>
  <si>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</si>
  <si>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</si>
  <si>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</si>
  <si>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</si>
  <si>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</si>
  <si>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</si>
  <si>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</si>
  <si>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</si>
  <si>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</si>
  <si>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</si>
  <si>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</si>
  <si>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</si>
  <si>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</si>
  <si>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</si>
  <si>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</si>
  <si>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</si>
  <si>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</si>
  <si>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</si>
  <si>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</si>
  <si>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</si>
  <si>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</si>
  <si>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</si>
  <si>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</si>
  <si>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</si>
  <si>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</si>
  <si>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</si>
  <si>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</si>
  <si>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</si>
  <si>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</si>
  <si>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</si>
  <si>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</si>
  <si>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</si>
  <si>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</si>
  <si>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</si>
  <si>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</si>
  <si>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</si>
  <si>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</si>
  <si>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</si>
  <si>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</si>
  <si>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</si>
  <si>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</si>
  <si>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</si>
  <si>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</si>
  <si>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</si>
  <si>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</si>
  <si>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</si>
  <si>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</si>
  <si>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</si>
  <si>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</si>
  <si>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</si>
  <si>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</si>
  <si>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</si>
  <si>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</si>
  <si>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</si>
  <si>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</si>
  <si>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</si>
  <si>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</si>
  <si>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</si>
  <si>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</si>
  <si>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</si>
  <si>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</si>
  <si>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</si>
  <si>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</si>
  <si>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</si>
  <si>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</si>
  <si>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</si>
  <si>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</si>
  <si>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</si>
  <si>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</si>
  <si>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</si>
  <si>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</si>
  <si>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</si>
  <si>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</si>
  <si>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</si>
  <si>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</si>
  <si>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</si>
  <si>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</si>
  <si>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</si>
  <si>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</si>
  <si>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</si>
  <si>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</si>
  <si>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</si>
  <si>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</si>
  <si>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</si>
  <si>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</si>
  <si>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</si>
  <si>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</si>
  <si>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</si>
  <si>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</si>
  <si>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</si>
  <si>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</si>
  <si>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</si>
  <si>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</si>
  <si>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</si>
  <si>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</si>
  <si>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</si>
  <si>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</si>
  <si>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</si>
  <si>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</si>
  <si>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</si>
  <si>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</si>
  <si>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</si>
  <si>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</si>
  <si>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</si>
  <si>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</si>
  <si>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</si>
  <si>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</si>
  <si>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</si>
  <si>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</si>
  <si>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</si>
  <si>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</si>
  <si>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</si>
  <si>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</si>
  <si>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</si>
  <si>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</si>
  <si>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</si>
  <si>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</si>
  <si>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</si>
  <si>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</si>
  <si>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</si>
  <si>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</si>
  <si>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</si>
  <si>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</si>
  <si>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</si>
  <si>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</si>
  <si>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</si>
  <si>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</si>
  <si>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</si>
  <si>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</si>
  <si>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</si>
  <si>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</si>
  <si>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</si>
  <si>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</si>
  <si>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</si>
  <si>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</si>
  <si>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</si>
  <si>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</si>
  <si>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</si>
  <si>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</si>
  <si>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</si>
  <si>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</si>
  <si>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</si>
  <si>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</si>
  <si>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</si>
  <si>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</si>
  <si>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</si>
  <si>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</si>
  <si>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</si>
  <si>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</si>
  <si>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</si>
  <si>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</si>
  <si>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</si>
  <si>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</si>
  <si>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</si>
  <si>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</si>
  <si>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</si>
  <si>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</si>
  <si>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</si>
  <si>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</si>
  <si>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</si>
  <si>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</si>
  <si>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</si>
  <si>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</si>
  <si>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</si>
  <si>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</si>
  <si>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</si>
  <si>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</si>
  <si>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</si>
  <si>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</si>
  <si>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</si>
  <si>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</si>
  <si>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</si>
  <si>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</si>
  <si>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</si>
  <si>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</si>
  <si>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</si>
  <si>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</si>
  <si>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</si>
  <si>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</si>
  <si>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</si>
  <si>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</si>
  <si>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</si>
  <si>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</si>
  <si>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</si>
  <si>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</si>
  <si>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</si>
  <si>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</si>
  <si>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</si>
  <si>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</si>
  <si>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</si>
  <si>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</si>
  <si>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</si>
  <si>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</si>
  <si>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</si>
  <si>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</si>
  <si>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</si>
  <si>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</si>
  <si>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</si>
  <si>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</si>
  <si>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</si>
  <si>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</si>
  <si>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</si>
  <si>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</si>
  <si>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</si>
  <si>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</si>
  <si>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</si>
  <si>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</si>
  <si>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</si>
  <si>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</si>
  <si>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</si>
  <si>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</si>
  <si>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</si>
  <si>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</si>
  <si>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</si>
  <si>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</si>
  <si>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</si>
  <si>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</si>
  <si>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</si>
  <si>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</si>
  <si>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</si>
  <si>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</si>
  <si>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</si>
  <si>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</si>
  <si>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</si>
  <si>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</si>
  <si>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</si>
  <si>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</si>
  <si>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</si>
  <si>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</si>
  <si>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</si>
  <si>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</si>
  <si>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</si>
  <si>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</si>
  <si>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</si>
  <si>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</si>
  <si>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</si>
  <si>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</si>
  <si>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</si>
  <si>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</si>
  <si>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</si>
  <si>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</si>
  <si>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</si>
  <si>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</si>
  <si>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</si>
  <si>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</si>
  <si>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</si>
  <si>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</si>
  <si>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</si>
  <si>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</si>
  <si>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</si>
  <si>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</si>
  <si>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</si>
  <si>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</si>
  <si>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</si>
  <si>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</si>
  <si>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</si>
  <si>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</si>
  <si>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</si>
  <si>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</si>
  <si>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</si>
  <si>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</si>
  <si>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</si>
  <si>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</si>
  <si>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</si>
  <si>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</si>
  <si>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</si>
  <si>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</si>
  <si>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</si>
  <si>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</si>
  <si>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</si>
  <si>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</si>
  <si>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</si>
  <si>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</si>
  <si>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</si>
  <si>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</si>
  <si>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</si>
  <si>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</si>
  <si>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</si>
  <si>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</si>
  <si>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</si>
  <si>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</si>
  <si>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</si>
  <si>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</si>
  <si>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</si>
  <si>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</si>
  <si>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</si>
  <si>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</si>
  <si>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</si>
  <si>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</si>
  <si>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</si>
  <si>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</si>
  <si>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</si>
  <si>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</si>
  <si>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</si>
  <si>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</si>
  <si>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</si>
  <si>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</si>
  <si>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</si>
  <si>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</si>
  <si>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</si>
  <si>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</si>
  <si>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</si>
  <si>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</si>
  <si>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</si>
  <si>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</si>
  <si>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</si>
  <si>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</si>
  <si>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</si>
  <si>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</si>
  <si>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</si>
  <si>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</si>
  <si>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</si>
  <si>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</si>
  <si>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</si>
  <si>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</si>
  <si>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</si>
  <si>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</si>
  <si>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</si>
  <si>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</si>
  <si>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</si>
  <si>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</si>
  <si>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</si>
  <si>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</si>
  <si>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</si>
  <si>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</si>
  <si>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</si>
  <si>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</si>
  <si>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</si>
  <si>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</si>
  <si>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</si>
  <si>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</si>
  <si>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</si>
  <si>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</si>
  <si>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</si>
  <si>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</si>
  <si>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</si>
  <si>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</si>
  <si>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</si>
  <si>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</si>
  <si>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</si>
  <si>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</si>
  <si>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</si>
  <si>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</si>
  <si>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</si>
  <si>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</si>
  <si>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</si>
  <si>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</si>
  <si>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</si>
  <si>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</si>
  <si>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</si>
  <si>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</si>
  <si>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</si>
  <si>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</si>
  <si>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</si>
  <si>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</si>
  <si>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</si>
  <si>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</si>
  <si>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</si>
  <si>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</si>
  <si>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</si>
  <si>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</si>
  <si>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</si>
  <si>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</si>
  <si>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</si>
  <si>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</si>
  <si>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</si>
  <si>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</si>
  <si>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</si>
  <si>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</si>
  <si>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</si>
  <si>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</si>
  <si>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</si>
  <si>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</si>
  <si>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</si>
  <si>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</si>
  <si>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</si>
  <si>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</si>
  <si>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</si>
  <si>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</si>
  <si>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</si>
  <si>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</si>
  <si>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</si>
  <si>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</si>
  <si>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</si>
  <si>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</si>
  <si>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</si>
  <si>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</si>
  <si>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</si>
  <si>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</si>
  <si>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</si>
  <si>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</si>
  <si>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</si>
  <si>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</si>
  <si>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</si>
  <si>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</si>
  <si>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</si>
  <si>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</si>
  <si>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</si>
  <si>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</si>
  <si>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</si>
  <si>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</si>
  <si>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</si>
  <si>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</si>
  <si>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</si>
  <si>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</si>
  <si>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</si>
  <si>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</si>
  <si>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</si>
  <si>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</si>
  <si>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</si>
  <si>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</si>
  <si>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</si>
  <si>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</si>
  <si>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</si>
  <si>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</si>
  <si>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</si>
  <si>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</si>
  <si>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</si>
  <si>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</si>
  <si>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</si>
  <si>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</si>
  <si>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</si>
  <si>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</si>
  <si>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</si>
  <si>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</si>
  <si>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</si>
  <si>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</si>
  <si>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</si>
  <si>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</si>
  <si>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</si>
  <si>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</si>
  <si>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</si>
  <si>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</si>
  <si>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</si>
  <si>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</si>
  <si>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</si>
  <si>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</si>
  <si>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</si>
  <si>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</si>
  <si>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</si>
  <si>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</si>
  <si>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</si>
  <si>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</si>
  <si>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</si>
  <si>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</si>
  <si>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</si>
  <si>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</si>
  <si>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</si>
  <si>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</si>
  <si>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</si>
  <si>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</si>
  <si>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</si>
  <si>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</si>
  <si>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</si>
  <si>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</si>
  <si>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</si>
  <si>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</si>
  <si>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</si>
  <si>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</si>
  <si>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</si>
  <si>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</si>
  <si>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</si>
  <si>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</si>
  <si>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</si>
  <si>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</si>
  <si>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</si>
  <si>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</si>
  <si>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</si>
  <si>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</si>
  <si>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</si>
  <si>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</si>
  <si>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</si>
  <si>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</si>
  <si>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</si>
  <si>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</si>
  <si>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</si>
  <si>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</si>
  <si>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</si>
  <si>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</si>
  <si>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</si>
  <si>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</si>
  <si>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</si>
  <si>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</si>
  <si>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</si>
  <si>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</si>
  <si>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</si>
  <si>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</si>
  <si>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</si>
  <si>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</si>
  <si>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</si>
  <si>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</si>
  <si>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</si>
  <si>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</si>
  <si>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</si>
  <si>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</si>
  <si>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</si>
  <si>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</si>
  <si>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</si>
  <si>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</si>
  <si>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</si>
  <si>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</si>
  <si>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</si>
  <si>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</si>
  <si>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</si>
  <si>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</si>
  <si>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</si>
  <si>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</si>
  <si>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</si>
  <si>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</si>
  <si>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</si>
  <si>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</si>
  <si>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</si>
  <si>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</si>
  <si>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</si>
  <si>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</si>
  <si>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</si>
  <si>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</si>
  <si>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</si>
  <si>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</si>
  <si>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</si>
  <si>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</si>
  <si>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</si>
  <si>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</si>
  <si>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</si>
  <si>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</si>
  <si>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</si>
  <si>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</si>
  <si>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</si>
  <si>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</si>
  <si>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</si>
  <si>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</si>
  <si>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</si>
  <si>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</si>
  <si>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</si>
  <si>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</si>
  <si>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</si>
  <si>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</si>
  <si>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</si>
  <si>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</si>
  <si>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</si>
  <si>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</si>
  <si>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</si>
  <si>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</si>
  <si>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</si>
  <si>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</si>
  <si>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</si>
  <si>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</si>
  <si>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</si>
  <si>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</si>
  <si>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</si>
  <si>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</si>
  <si>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</si>
  <si>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</si>
  <si>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</si>
  <si>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</si>
  <si>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</si>
  <si>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</si>
  <si>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</si>
  <si>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</si>
  <si>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</si>
  <si>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</si>
  <si>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</si>
  <si>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</si>
  <si>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</si>
  <si>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</si>
  <si>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</si>
  <si>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</si>
  <si>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</si>
  <si>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</si>
  <si>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</si>
  <si>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</si>
  <si>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</si>
  <si>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</si>
  <si>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</si>
  <si>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</si>
  <si>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</si>
  <si>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</si>
  <si>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</si>
  <si>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</si>
  <si>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</si>
  <si>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</si>
  <si>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</si>
  <si>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</si>
  <si>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</si>
  <si>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</si>
  <si>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</si>
  <si>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</si>
  <si>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</si>
  <si>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</si>
  <si>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</si>
  <si>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</si>
  <si>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</si>
  <si>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</si>
  <si>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</si>
  <si>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</si>
  <si>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</si>
  <si>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</si>
  <si>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</si>
  <si>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</si>
  <si>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</si>
  <si>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</si>
  <si>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</si>
  <si>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</si>
  <si>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</si>
  <si>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</si>
  <si>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</si>
  <si>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</si>
  <si>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</si>
  <si>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</si>
  <si>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</si>
  <si>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</si>
  <si>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</si>
  <si>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</si>
  <si>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</si>
  <si>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</si>
  <si>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</si>
  <si>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</si>
  <si>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</si>
  <si>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</si>
  <si>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</si>
  <si>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</si>
  <si>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</si>
  <si>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</si>
  <si>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</si>
  <si>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</si>
  <si>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</si>
  <si>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</si>
  <si>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</si>
  <si>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</si>
  <si>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</si>
  <si>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</si>
  <si>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</si>
  <si>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</si>
  <si>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</si>
  <si>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</si>
  <si>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</si>
  <si>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</si>
  <si>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</si>
  <si>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</si>
  <si>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</si>
  <si>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</si>
  <si>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</si>
  <si>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</si>
  <si>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</si>
  <si>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</si>
  <si>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</si>
  <si>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</si>
  <si>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</si>
  <si>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</si>
  <si>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</si>
  <si>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</si>
  <si>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</si>
  <si>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</si>
  <si>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</si>
  <si>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</si>
  <si>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</si>
  <si>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</si>
  <si>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</si>
  <si>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</si>
  <si>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</si>
  <si>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</si>
  <si>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</si>
  <si>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</si>
  <si>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</si>
  <si>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</si>
  <si>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</si>
  <si>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</si>
  <si>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</si>
  <si>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</si>
  <si>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</si>
  <si>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</si>
  <si>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</si>
  <si>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</si>
  <si>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</si>
  <si>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</si>
  <si>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</si>
  <si>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</si>
  <si>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</si>
  <si>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</si>
  <si>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</si>
  <si>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</si>
  <si>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</si>
  <si>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</si>
  <si>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</si>
  <si>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</si>
  <si>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</si>
  <si>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</si>
  <si>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</si>
  <si>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</si>
  <si>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</si>
  <si>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</si>
  <si>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</si>
  <si>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</si>
  <si>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</si>
  <si>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</si>
  <si>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</si>
  <si>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</si>
  <si>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</si>
  <si>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</si>
  <si>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</si>
  <si>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</si>
  <si>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</si>
  <si>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</si>
  <si>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</si>
  <si>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</si>
  <si>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</si>
  <si>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</si>
  <si>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</si>
  <si>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</si>
  <si>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</si>
  <si>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</si>
  <si>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</si>
  <si>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</si>
  <si>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</si>
  <si>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</si>
  <si>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</si>
  <si>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</si>
  <si>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</si>
  <si>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</si>
  <si>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</si>
  <si>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</si>
  <si>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</si>
  <si>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</si>
  <si>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</si>
  <si>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</si>
  <si>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</si>
  <si>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</si>
  <si>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</si>
  <si>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</si>
  <si>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</si>
  <si>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</si>
  <si>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</si>
  <si>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</si>
  <si>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</si>
  <si>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</si>
  <si>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</si>
  <si>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</si>
  <si>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</si>
  <si>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</si>
  <si>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</si>
  <si>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</si>
  <si>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</si>
  <si>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</si>
  <si>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</si>
  <si>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</si>
  <si>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</si>
  <si>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</si>
  <si>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</si>
  <si>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</si>
  <si>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</si>
  <si>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</si>
  <si>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</si>
  <si>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</si>
  <si>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</si>
  <si>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</si>
  <si>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</si>
  <si>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</si>
  <si>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</si>
  <si>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</si>
  <si>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</si>
  <si>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</si>
  <si>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</si>
  <si>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</si>
  <si>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</si>
  <si>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</si>
  <si>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</si>
  <si>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</si>
  <si>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</si>
  <si>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</si>
  <si>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</si>
  <si>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</si>
  <si>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</si>
  <si>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</si>
  <si>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</si>
  <si>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</si>
  <si>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</si>
  <si>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</si>
  <si>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</si>
  <si>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</si>
  <si>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</si>
  <si>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</si>
  <si>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</si>
  <si>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</si>
  <si>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</si>
  <si>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</si>
  <si>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</si>
  <si>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</si>
  <si>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</si>
  <si>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</si>
  <si>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</si>
  <si>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</si>
  <si>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</si>
  <si>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</si>
  <si>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</si>
  <si>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</si>
  <si>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</si>
  <si>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</si>
  <si>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</si>
  <si>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</si>
  <si>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</si>
  <si>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</si>
  <si>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</si>
  <si>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</si>
  <si>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</si>
  <si>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</si>
  <si>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</si>
  <si>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</si>
  <si>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</si>
  <si>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</si>
  <si>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</si>
  <si>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</si>
  <si>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</si>
  <si>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</si>
  <si>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</si>
  <si>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</si>
  <si>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</si>
  <si>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</si>
  <si>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</si>
  <si>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</si>
  <si>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</si>
  <si>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</si>
  <si>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</si>
  <si>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</si>
  <si>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</si>
  <si>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</si>
  <si>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</si>
  <si>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</si>
  <si>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</si>
  <si>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</si>
  <si>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</si>
  <si>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</si>
  <si>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</si>
  <si>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</si>
  <si>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</si>
  <si>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</si>
  <si>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</si>
  <si>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</si>
  <si>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</si>
  <si>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</si>
  <si>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</si>
  <si>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</si>
  <si>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</si>
  <si>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</si>
  <si>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</si>
  <si>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</si>
  <si>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</si>
  <si>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</si>
  <si>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</si>
  <si>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</si>
  <si>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</si>
  <si>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</si>
  <si>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</si>
  <si>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</si>
  <si>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</si>
  <si>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</si>
  <si>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</si>
  <si>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</si>
  <si>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</si>
  <si>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</si>
  <si>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</si>
  <si>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</si>
  <si>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</si>
  <si>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</si>
  <si>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</si>
  <si>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</si>
  <si>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</si>
  <si>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</si>
  <si>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</si>
  <si>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</si>
  <si>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</si>
  <si>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</si>
  <si>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</si>
  <si>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</si>
  <si>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</si>
  <si>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</si>
  <si>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</si>
  <si>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</si>
  <si>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</si>
  <si>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</si>
  <si>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</si>
  <si>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</si>
  <si>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</si>
  <si>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</si>
  <si>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</si>
  <si>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</si>
  <si>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</si>
  <si>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</si>
  <si>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</si>
  <si>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</si>
  <si>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</si>
  <si>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</si>
  <si>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</si>
  <si>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</si>
  <si>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</si>
  <si>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</si>
  <si>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</si>
  <si>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</si>
  <si>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</si>
  <si>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</si>
  <si>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</si>
  <si>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</si>
  <si>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</si>
  <si>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</si>
  <si>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</si>
  <si>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</si>
  <si>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</si>
  <si>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</si>
  <si>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</si>
  <si>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</si>
  <si>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</si>
  <si>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</si>
  <si>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</si>
  <si>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</si>
  <si>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</si>
  <si>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</si>
  <si>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</si>
  <si>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</si>
  <si>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</si>
  <si>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</si>
  <si>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</si>
  <si>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</si>
  <si>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</si>
  <si>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</si>
  <si>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</si>
  <si>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</si>
  <si>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</si>
  <si>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</si>
  <si>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</si>
  <si>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</si>
  <si>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</si>
  <si>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</si>
  <si>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</si>
  <si>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</si>
  <si>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</si>
  <si>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</si>
  <si>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</si>
  <si>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</si>
  <si>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</si>
  <si>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</si>
  <si>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</si>
  <si>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</si>
  <si>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</si>
  <si>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</si>
  <si>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</si>
  <si>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</si>
  <si>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</si>
  <si>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</si>
  <si>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</si>
  <si>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</si>
  <si>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</si>
  <si>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</si>
  <si>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</si>
  <si>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</si>
  <si>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</si>
  <si>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</si>
  <si>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</si>
  <si>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</si>
  <si>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</si>
  <si>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</si>
  <si>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</si>
  <si>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</si>
  <si>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</si>
  <si>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</si>
  <si>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</si>
  <si>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</si>
  <si>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</si>
  <si>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</si>
  <si>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</si>
  <si>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</si>
  <si>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</si>
  <si>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</si>
  <si>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</si>
  <si>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</si>
  <si>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</si>
  <si>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</si>
  <si>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</si>
  <si>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</si>
  <si>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</si>
  <si>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</si>
  <si>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</si>
  <si>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</si>
  <si>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</si>
  <si>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</si>
  <si>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</si>
  <si>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</si>
  <si>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</si>
  <si>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</si>
  <si>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</si>
  <si>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</si>
  <si>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</si>
  <si>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</si>
  <si>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</si>
  <si>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</si>
  <si>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</si>
  <si>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</si>
  <si>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</si>
  <si>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</si>
  <si>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</si>
  <si>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</si>
  <si>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</si>
  <si>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</si>
  <si>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</si>
  <si>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</si>
  <si>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</si>
  <si>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</si>
  <si>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</si>
  <si>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</si>
  <si>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</si>
  <si>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</si>
  <si>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</si>
  <si>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</si>
  <si>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</si>
  <si>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</si>
  <si>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</si>
  <si>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</si>
  <si>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</si>
  <si>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</si>
  <si>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</si>
  <si>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</si>
  <si>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</si>
  <si>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</si>
  <si>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</si>
  <si>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</si>
  <si>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</si>
  <si>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</si>
  <si>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</si>
  <si>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</si>
  <si>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</si>
  <si>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</si>
  <si>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</si>
  <si>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</si>
  <si>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</si>
  <si>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</si>
  <si>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</si>
  <si>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</si>
  <si>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</si>
  <si>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</si>
  <si>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</si>
  <si>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</si>
  <si>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</si>
  <si>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</si>
  <si>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</si>
  <si>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</si>
  <si>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</si>
  <si>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</si>
  <si>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</si>
  <si>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</si>
  <si>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</si>
  <si>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</si>
  <si>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</si>
  <si>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</si>
  <si>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</si>
  <si>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</si>
  <si>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</si>
  <si>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</si>
  <si>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</si>
  <si>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</si>
  <si>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</si>
  <si>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</si>
  <si>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</si>
  <si>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</si>
  <si>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</si>
  <si>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</si>
  <si>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</si>
  <si>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</si>
  <si>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</si>
  <si>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</si>
  <si>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</si>
  <si>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</si>
  <si>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</si>
  <si>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</si>
  <si>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</si>
  <si>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</si>
  <si>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</si>
  <si>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</si>
  <si>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</si>
  <si>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</si>
  <si>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</si>
  <si>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</si>
  <si>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</si>
  <si>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</si>
  <si>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</si>
  <si>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</si>
  <si>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</si>
  <si>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</si>
  <si>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</si>
  <si>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</si>
  <si>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</si>
  <si>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</si>
  <si>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</si>
  <si>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</si>
  <si>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</si>
  <si>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</si>
  <si>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</si>
  <si>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</si>
  <si>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</si>
  <si>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</si>
  <si>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</si>
  <si>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</si>
  <si>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</si>
  <si>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</si>
  <si>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</si>
  <si>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</si>
  <si>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</si>
  <si>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</si>
  <si>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</si>
  <si>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</si>
  <si>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</si>
  <si>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</si>
  <si>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</si>
  <si>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</si>
  <si>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</si>
  <si>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</si>
  <si>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</si>
  <si>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</si>
  <si>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</si>
  <si>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</si>
  <si>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</si>
  <si>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</si>
  <si>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</si>
  <si>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</si>
  <si>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</si>
  <si>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</si>
  <si>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</si>
  <si>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</si>
  <si>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</si>
  <si>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</si>
  <si>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</si>
  <si>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</si>
  <si>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</si>
  <si>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</si>
  <si>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</si>
  <si>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</si>
  <si>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</si>
  <si>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</si>
  <si>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</si>
  <si>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</si>
  <si>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</si>
  <si>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</si>
  <si>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</si>
  <si>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</si>
  <si>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</si>
  <si>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</si>
  <si>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</si>
  <si>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</si>
  <si>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</si>
  <si>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</si>
  <si>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</si>
  <si>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</si>
  <si>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</si>
  <si>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</si>
  <si>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</si>
  <si>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</si>
  <si>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</si>
  <si>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</si>
  <si>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</si>
  <si>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</si>
  <si>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</si>
  <si>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</si>
  <si>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</si>
  <si>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</si>
  <si>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</si>
  <si>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</si>
  <si>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</si>
  <si>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</si>
  <si>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</si>
  <si>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</si>
  <si>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</si>
  <si>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</si>
  <si>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</si>
  <si>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</si>
  <si>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</si>
  <si>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</si>
  <si>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</si>
  <si>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</si>
  <si>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</si>
  <si>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</si>
  <si>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</si>
  <si>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</si>
  <si>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</si>
  <si>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</si>
  <si>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</si>
  <si>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</si>
  <si>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</si>
  <si>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</si>
  <si>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</si>
  <si>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</si>
  <si>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</si>
  <si>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</si>
  <si>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</si>
  <si>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</si>
  <si>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</si>
  <si>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</si>
  <si>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</si>
  <si>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</si>
  <si>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</si>
  <si>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</si>
  <si>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</si>
  <si>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</si>
  <si>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</si>
  <si>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</si>
  <si>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</si>
  <si>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</si>
  <si>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</si>
  <si>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</si>
  <si>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</si>
  <si>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</si>
  <si>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</si>
  <si>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</si>
  <si>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</si>
  <si>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</si>
  <si>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</si>
  <si>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</si>
  <si>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</si>
  <si>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</si>
  <si>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</si>
  <si>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</si>
  <si>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</si>
  <si>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</si>
  <si>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</si>
  <si>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</si>
  <si>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</si>
  <si>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</si>
  <si>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</si>
  <si>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</si>
  <si>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</si>
  <si>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</si>
  <si>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</si>
  <si>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</si>
  <si>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</si>
  <si>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</si>
  <si>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</si>
  <si>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</si>
  <si>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</si>
  <si>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</si>
  <si>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</si>
  <si>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</si>
  <si>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</si>
  <si>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</si>
  <si>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</si>
  <si>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</si>
  <si>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</si>
  <si>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</si>
  <si>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</si>
  <si>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</si>
  <si>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</si>
  <si>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</si>
  <si>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</si>
  <si>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</si>
  <si>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</si>
  <si>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</si>
  <si>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</si>
  <si>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</si>
  <si>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</si>
  <si>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</si>
  <si>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</si>
  <si>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</si>
  <si>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</si>
  <si>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</si>
  <si>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</si>
  <si>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</si>
  <si>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</si>
  <si>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</si>
  <si>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</si>
  <si>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</si>
  <si>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</si>
  <si>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</si>
  <si>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</si>
  <si>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</si>
  <si>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</si>
  <si>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</si>
  <si>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</si>
  <si>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</si>
  <si>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</si>
  <si>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</si>
  <si>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</si>
  <si>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</si>
  <si>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</si>
  <si>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</si>
  <si>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</si>
  <si>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</si>
  <si>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</si>
  <si>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</si>
  <si>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</si>
  <si>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</si>
  <si>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</si>
  <si>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</si>
  <si>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</si>
  <si>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</si>
  <si>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</si>
  <si>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</si>
  <si>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</si>
  <si>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</si>
  <si>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</si>
  <si>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</si>
  <si>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</si>
  <si>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</si>
  <si>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</si>
  <si>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</si>
  <si>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</si>
  <si>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</si>
  <si>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</si>
  <si>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</si>
  <si>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</si>
  <si>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</si>
  <si>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</si>
  <si>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</si>
  <si>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</si>
  <si>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</si>
  <si>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</si>
  <si>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</si>
  <si>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</si>
  <si>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</si>
  <si>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</si>
  <si>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</si>
  <si>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</si>
  <si>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</si>
  <si>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</si>
  <si>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</si>
  <si>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</si>
  <si>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</si>
  <si>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</si>
  <si>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</si>
  <si>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</si>
  <si>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</si>
  <si>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</si>
  <si>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</si>
  <si>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</si>
  <si>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</si>
  <si>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</si>
  <si>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</si>
  <si>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</si>
  <si>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</si>
  <si>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</si>
  <si>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</si>
  <si>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</si>
  <si>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</si>
  <si>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</si>
  <si>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</si>
  <si>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</si>
  <si>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</si>
  <si>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</si>
  <si>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</si>
  <si>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</si>
  <si>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</si>
  <si>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</si>
  <si>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</si>
  <si>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</si>
  <si>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</si>
  <si>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</si>
  <si>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</si>
  <si>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</si>
  <si>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</si>
  <si>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</si>
  <si>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</si>
  <si>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</si>
  <si>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</si>
  <si>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</si>
  <si>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</si>
  <si>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</si>
  <si>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</si>
  <si>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</si>
  <si>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</si>
  <si>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</si>
  <si>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</si>
  <si>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</si>
  <si>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</si>
  <si>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</si>
  <si>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</si>
  <si>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</si>
  <si>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</si>
  <si>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</si>
  <si>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</si>
  <si>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</si>
  <si>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</si>
  <si>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</si>
  <si>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</si>
  <si>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</si>
  <si>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</si>
  <si>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</si>
  <si>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</si>
  <si>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</si>
  <si>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</si>
  <si>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</si>
  <si>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</si>
  <si>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</si>
  <si>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</si>
  <si>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</si>
  <si>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</si>
  <si>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</si>
  <si>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</si>
  <si>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</si>
  <si>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</si>
  <si>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</si>
  <si>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</si>
  <si>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</si>
  <si>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</si>
  <si>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</si>
  <si>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</si>
  <si>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</si>
  <si>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</si>
  <si>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</si>
  <si>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</si>
  <si>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</si>
  <si>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</si>
  <si>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</si>
  <si>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</si>
  <si>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</si>
  <si>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</si>
  <si>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</si>
  <si>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</si>
  <si>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</si>
  <si>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</si>
  <si>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</si>
  <si>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</si>
  <si>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</si>
  <si>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</si>
  <si>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</si>
  <si>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</si>
  <si>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</si>
  <si>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</si>
  <si>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</si>
  <si>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</si>
  <si>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</si>
  <si>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</si>
  <si>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</si>
  <si>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</si>
  <si>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</si>
  <si>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</si>
  <si>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</si>
  <si>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</si>
  <si>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</si>
  <si>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</si>
  <si>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</si>
  <si>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</si>
  <si>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</si>
  <si>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</si>
  <si>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</si>
  <si>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</si>
  <si>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</si>
  <si>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</si>
  <si>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</si>
  <si>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</si>
  <si>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</si>
  <si>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</si>
  <si>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</si>
  <si>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</si>
  <si>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</si>
  <si>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</si>
  <si>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</si>
  <si>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</si>
  <si>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</si>
  <si>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</si>
  <si>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</si>
  <si>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</si>
  <si>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</si>
  <si>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</si>
  <si>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</si>
  <si>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</si>
  <si>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</si>
  <si>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</si>
  <si>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</si>
  <si>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</si>
  <si>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</si>
  <si>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</si>
  <si>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</si>
  <si>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</si>
  <si>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</si>
  <si>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</si>
  <si>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</si>
  <si>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</si>
  <si>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</si>
  <si>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</si>
  <si>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</si>
  <si>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</si>
  <si>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</si>
  <si>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</si>
  <si>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</si>
  <si>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</si>
  <si>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</si>
  <si>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</si>
  <si>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</si>
  <si>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</si>
  <si>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</si>
  <si>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</si>
  <si>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</si>
  <si>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</si>
  <si>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</si>
  <si>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</si>
  <si>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</si>
  <si>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</si>
  <si>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</si>
  <si>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</si>
  <si>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</si>
  <si>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</si>
  <si>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</si>
  <si>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</si>
  <si>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</si>
  <si>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</si>
  <si>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</si>
  <si>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</si>
  <si>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</si>
  <si>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</si>
  <si>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</si>
  <si>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</si>
  <si>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</si>
  <si>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</si>
  <si>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</si>
  <si>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</si>
  <si>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</si>
  <si>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</si>
  <si>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</si>
  <si>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</si>
  <si>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</si>
  <si>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</si>
  <si>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</si>
  <si>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</si>
  <si>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</si>
  <si>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</si>
  <si>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</si>
  <si>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</si>
  <si>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</si>
  <si>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</si>
  <si>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</si>
  <si>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</si>
  <si>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</si>
  <si>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</si>
  <si>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</si>
  <si>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</si>
  <si>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</si>
  <si>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</si>
  <si>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</si>
  <si>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</si>
  <si>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</si>
  <si>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</si>
  <si>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</si>
  <si>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</si>
  <si>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</si>
  <si>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</si>
  <si>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</si>
  <si>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</si>
  <si>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</si>
  <si>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</si>
  <si>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</si>
  <si>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</si>
  <si>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</si>
  <si>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</si>
  <si>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</si>
  <si>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</si>
  <si>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</si>
  <si>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</si>
  <si>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</si>
  <si>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</si>
  <si>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</si>
  <si>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</si>
  <si>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</si>
  <si>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</si>
  <si>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</si>
  <si>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</si>
  <si>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</si>
  <si>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</si>
  <si>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</si>
  <si>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</si>
  <si>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</si>
  <si>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</si>
  <si>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</si>
  <si>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</si>
  <si>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</si>
  <si>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</si>
  <si>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</si>
  <si>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</si>
  <si>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</si>
  <si>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</si>
  <si>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</si>
  <si>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</si>
  <si>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</si>
  <si>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</si>
  <si>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</si>
  <si>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</si>
  <si>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</si>
  <si>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</si>
  <si>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</si>
  <si>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</si>
  <si>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</si>
  <si>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</si>
  <si>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</si>
  <si>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</si>
  <si>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</si>
  <si>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</si>
  <si>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</si>
  <si>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</si>
  <si>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</si>
  <si>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</si>
  <si>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</si>
  <si>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</si>
  <si>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</si>
  <si>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</si>
  <si>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</si>
  <si>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</si>
  <si>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</si>
  <si>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</si>
  <si>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</si>
  <si>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</si>
  <si>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</si>
  <si>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</si>
  <si>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</si>
  <si>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</si>
  <si>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</si>
  <si>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</si>
  <si>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</si>
  <si>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</si>
  <si>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</si>
  <si>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</si>
  <si>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</si>
  <si>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</si>
  <si>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</si>
  <si>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</si>
  <si>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</si>
  <si>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</si>
  <si>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</si>
  <si>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</si>
  <si>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</si>
  <si>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</si>
  <si>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</si>
  <si>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</si>
  <si>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</si>
  <si>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</si>
  <si>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</si>
  <si>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</si>
  <si>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</si>
  <si>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</si>
  <si>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</si>
  <si>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</si>
  <si>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</si>
  <si>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</si>
  <si>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</si>
  <si>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</si>
  <si>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</si>
  <si>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</si>
  <si>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</si>
  <si>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</si>
  <si>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</si>
  <si>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</si>
  <si>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</si>
  <si>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</si>
  <si>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</si>
  <si>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</si>
  <si>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</si>
  <si>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</si>
  <si>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</si>
  <si>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</si>
  <si>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</si>
  <si>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</si>
  <si>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</si>
  <si>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</si>
  <si>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</si>
  <si>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</si>
  <si>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</si>
  <si>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</si>
  <si>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</si>
  <si>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</si>
  <si>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</si>
  <si>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</si>
  <si>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</si>
  <si>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</si>
  <si>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</si>
  <si>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</si>
  <si>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</si>
  <si>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</si>
  <si>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</si>
  <si>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</si>
  <si>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</si>
  <si>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</si>
  <si>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</si>
  <si>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</si>
  <si>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</si>
  <si>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</si>
  <si>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</si>
  <si>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</si>
  <si>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</si>
  <si>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</si>
  <si>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</si>
  <si>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</si>
  <si>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</si>
  <si>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</si>
  <si>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</si>
  <si>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</si>
  <si>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</si>
  <si>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</si>
  <si>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</si>
  <si>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</si>
  <si>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</si>
  <si>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</si>
  <si>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</si>
  <si>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</si>
  <si>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</si>
  <si>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</si>
  <si>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</si>
  <si>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</si>
  <si>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</si>
  <si>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</si>
  <si>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</si>
  <si>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</si>
  <si>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</si>
  <si>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</si>
  <si>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</si>
  <si>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</si>
  <si>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</si>
  <si>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</si>
  <si>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</si>
  <si>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</si>
  <si>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</si>
  <si>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</si>
  <si>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</si>
  <si>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</si>
  <si>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</si>
  <si>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</si>
  <si>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</si>
  <si>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</si>
  <si>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</si>
  <si>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</si>
  <si>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</si>
  <si>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</si>
  <si>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</si>
  <si>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</si>
  <si>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</si>
  <si>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</si>
  <si>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</si>
  <si>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</si>
  <si>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</si>
  <si>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</si>
  <si>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</si>
  <si>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</si>
  <si>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</si>
  <si>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</si>
  <si>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</si>
  <si>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</si>
  <si>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</si>
  <si>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</si>
  <si>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</si>
  <si>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</si>
  <si>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</si>
  <si>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</si>
  <si>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</si>
  <si>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</si>
  <si>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</si>
  <si>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</si>
  <si>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</si>
  <si>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</si>
  <si>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</si>
  <si>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</si>
  <si>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</si>
  <si>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</si>
  <si>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</si>
  <si>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</si>
  <si>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</si>
  <si>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</si>
  <si>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</si>
  <si>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</si>
  <si>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</si>
  <si>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</si>
  <si>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</si>
  <si>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</si>
  <si>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</si>
  <si>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</si>
  <si>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</si>
  <si>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</si>
  <si>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</si>
  <si>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</si>
  <si>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</si>
  <si>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</si>
  <si>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</si>
  <si>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</si>
  <si>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</si>
  <si>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</si>
  <si>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</si>
  <si>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</si>
  <si>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</si>
  <si>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</si>
  <si>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</si>
  <si>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</si>
  <si>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</si>
  <si>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</si>
  <si>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</si>
  <si>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</si>
  <si>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</si>
  <si>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</si>
  <si>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</si>
  <si>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</si>
  <si>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</si>
  <si>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</si>
  <si>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</si>
  <si>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</si>
  <si>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</si>
  <si>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</si>
  <si>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</si>
  <si>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</si>
  <si>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</si>
  <si>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</si>
  <si>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</si>
  <si>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</si>
  <si>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</si>
  <si>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</si>
  <si>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</si>
  <si>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</si>
  <si>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</si>
  <si>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</si>
  <si>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</si>
  <si>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</si>
  <si>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</si>
  <si>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</si>
  <si>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</si>
  <si>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</si>
  <si>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</si>
  <si>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</si>
  <si>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</si>
  <si>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</si>
  <si>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</si>
  <si>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</si>
  <si>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</si>
  <si>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</si>
  <si>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</si>
  <si>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</si>
  <si>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</si>
  <si>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</si>
  <si>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</si>
  <si>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</si>
  <si>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</si>
  <si>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</si>
  <si>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</si>
  <si>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</si>
  <si>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</si>
  <si>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</si>
  <si>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</si>
  <si>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</si>
  <si>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</si>
  <si>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</si>
  <si>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</si>
  <si>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</si>
  <si>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</si>
  <si>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</si>
  <si>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</si>
  <si>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</si>
  <si>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</si>
  <si>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</si>
  <si>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</si>
  <si>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</si>
  <si>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</si>
  <si>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</si>
  <si>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</si>
  <si>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</si>
  <si>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</si>
  <si>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</si>
  <si>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</si>
  <si>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</si>
  <si>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</si>
  <si>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</si>
  <si>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</si>
  <si>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</si>
  <si>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</si>
  <si>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</si>
  <si>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</si>
  <si>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</si>
  <si>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</si>
  <si>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</si>
  <si>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</si>
  <si>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</si>
  <si>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</si>
  <si>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</si>
  <si>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</si>
  <si>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</si>
  <si>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</si>
  <si>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</si>
  <si>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</si>
  <si>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</si>
  <si>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</si>
  <si>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</si>
  <si>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</si>
  <si>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</si>
  <si>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</si>
  <si>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</si>
  <si>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</si>
  <si>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</si>
  <si>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</si>
  <si>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</si>
  <si>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</si>
  <si>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</si>
  <si>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</si>
  <si>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</si>
  <si>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</si>
  <si>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</si>
  <si>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</si>
  <si>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</si>
  <si>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</si>
  <si>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</si>
  <si>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</si>
  <si>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</si>
  <si>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</si>
  <si>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</si>
  <si>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</si>
  <si>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</si>
  <si>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</si>
  <si>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</si>
  <si>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</si>
  <si>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</si>
  <si>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</si>
  <si>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</si>
  <si>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</si>
  <si>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</si>
  <si>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</si>
  <si>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</si>
  <si>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</si>
  <si>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</si>
  <si>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</si>
  <si>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</si>
  <si>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</si>
  <si>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</si>
  <si>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</si>
  <si>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</si>
  <si>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</si>
  <si>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</si>
  <si>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</si>
  <si>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</si>
  <si>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</si>
  <si>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</si>
  <si>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</si>
  <si>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</si>
  <si>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</si>
  <si>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</si>
  <si>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</si>
  <si>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</si>
  <si>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</si>
  <si>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</si>
  <si>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</si>
  <si>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</si>
  <si>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</si>
  <si>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</si>
  <si>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</si>
  <si>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</si>
  <si>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</si>
  <si>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</si>
  <si>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</si>
  <si>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</si>
  <si>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</si>
  <si>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</si>
  <si>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</si>
  <si>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</si>
  <si>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</si>
  <si>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</si>
  <si>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</si>
  <si>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</si>
  <si>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</si>
  <si>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</si>
  <si>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</si>
  <si>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</si>
  <si>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</si>
  <si>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</si>
  <si>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</si>
  <si>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</si>
  <si>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</si>
  <si>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</si>
  <si>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</si>
  <si>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</si>
  <si>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</si>
  <si>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</si>
  <si>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</si>
  <si>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</si>
  <si>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</si>
  <si>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</si>
  <si>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</si>
  <si>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</si>
  <si>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</si>
  <si>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</si>
  <si>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</si>
  <si>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</si>
  <si>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</si>
  <si>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</si>
  <si>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</si>
  <si>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</si>
  <si>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</si>
  <si>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</si>
  <si>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</si>
  <si>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</si>
  <si>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</si>
  <si>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</si>
  <si>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</si>
  <si>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</si>
  <si>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</si>
  <si>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</si>
  <si>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</si>
  <si>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</si>
  <si>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</si>
  <si>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</si>
  <si>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</si>
  <si>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</si>
  <si>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</si>
  <si>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</si>
  <si>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</si>
  <si>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</si>
  <si>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</si>
  <si>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</si>
  <si>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</si>
  <si>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</si>
  <si>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</si>
  <si>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</si>
  <si>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</si>
  <si>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</si>
  <si>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</si>
  <si>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</si>
  <si>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</si>
  <si>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</si>
  <si>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</si>
  <si>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</si>
  <si>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</si>
  <si>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</si>
  <si>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</si>
  <si>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</si>
  <si>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</si>
  <si>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</si>
  <si>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</si>
  <si>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</si>
  <si>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</si>
  <si>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</si>
  <si>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</si>
  <si>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</si>
  <si>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</si>
  <si>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</si>
  <si>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</si>
  <si>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</si>
  <si>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</si>
  <si>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</si>
  <si>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</si>
  <si>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</si>
  <si>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</si>
  <si>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</si>
  <si>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</si>
  <si>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</si>
  <si>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</si>
  <si>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</si>
  <si>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</si>
  <si>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</si>
  <si>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</si>
  <si>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</si>
  <si>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</si>
  <si>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</si>
  <si>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</si>
  <si>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</si>
  <si>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</si>
  <si>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</si>
  <si>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</si>
  <si>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</si>
  <si>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</si>
  <si>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</si>
  <si>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</si>
  <si>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</si>
  <si>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</si>
  <si>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</si>
  <si>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</si>
  <si>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</si>
  <si>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</si>
  <si>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</si>
  <si>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</si>
  <si>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</si>
  <si>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</si>
  <si>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</si>
  <si>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</si>
  <si>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</si>
  <si>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</si>
  <si>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</si>
  <si>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</si>
  <si>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</si>
  <si>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</si>
  <si>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</si>
  <si>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</si>
  <si>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</si>
  <si>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</si>
  <si>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</si>
  <si>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</si>
  <si>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</si>
  <si>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</si>
  <si>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</si>
  <si>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</si>
  <si>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</si>
  <si>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</si>
  <si>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</si>
  <si>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</si>
  <si>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</si>
  <si>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</si>
  <si>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</si>
  <si>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</si>
  <si>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</si>
  <si>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</si>
  <si>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</si>
  <si>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</si>
  <si>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</si>
  <si>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</si>
  <si>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</si>
  <si>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</si>
  <si>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</si>
  <si>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</si>
  <si>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</si>
  <si>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</si>
  <si>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</si>
  <si>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</si>
  <si>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</si>
  <si>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</si>
  <si>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</si>
  <si>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</si>
  <si>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</si>
  <si>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</si>
  <si>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</si>
  <si>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</si>
  <si>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</si>
  <si>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</si>
  <si>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</si>
  <si>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</si>
  <si>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</si>
  <si>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</si>
  <si>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</si>
  <si>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</si>
  <si>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</si>
  <si>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</si>
  <si>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</si>
  <si>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</si>
  <si>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</si>
  <si>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</si>
  <si>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</si>
  <si>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</si>
  <si>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</si>
  <si>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</si>
  <si>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</si>
  <si>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</si>
  <si>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</si>
  <si>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</si>
  <si>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</si>
  <si>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</si>
  <si>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</si>
  <si>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</si>
  <si>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</si>
  <si>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</si>
  <si>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</si>
  <si>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</si>
  <si>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</si>
  <si>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</si>
  <si>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</si>
  <si>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</si>
  <si>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</si>
  <si>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</si>
  <si>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</si>
  <si>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</si>
  <si>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</si>
  <si>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</si>
  <si>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</si>
  <si>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</si>
  <si>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</si>
  <si>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</si>
  <si>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</si>
  <si>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</si>
  <si>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</si>
  <si>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</si>
  <si>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</si>
  <si>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</si>
  <si>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</si>
  <si>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</si>
  <si>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</si>
  <si>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</si>
  <si>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</si>
  <si>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</si>
  <si>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</si>
  <si>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</si>
  <si>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</si>
  <si>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</si>
  <si>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</si>
  <si>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</si>
  <si>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</si>
  <si>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</si>
  <si>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</si>
  <si>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</si>
  <si>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</si>
  <si>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</si>
  <si>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</si>
  <si>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</si>
  <si>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</si>
  <si>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</si>
  <si>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</si>
  <si>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</si>
  <si>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</si>
  <si>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</si>
  <si>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</si>
  <si>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</si>
  <si>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</si>
  <si>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</si>
  <si>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</si>
  <si>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</si>
  <si>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</si>
  <si>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</si>
  <si>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</si>
  <si>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</si>
  <si>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</si>
  <si>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</si>
  <si>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</si>
  <si>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</si>
  <si>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</si>
  <si>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</si>
  <si>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</si>
  <si>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</si>
  <si>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</si>
  <si>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</si>
  <si>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</si>
  <si>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</si>
  <si>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</si>
  <si>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</si>
  <si>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</si>
  <si>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</si>
  <si>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</si>
  <si>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</si>
  <si>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</si>
  <si>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</si>
  <si>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</si>
  <si>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</si>
  <si>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</si>
  <si>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</si>
  <si>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</si>
  <si>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</si>
  <si>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</si>
  <si>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</si>
  <si>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</si>
  <si>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</si>
  <si>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</si>
  <si>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</si>
  <si>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</si>
  <si>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</si>
  <si>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</si>
  <si>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</si>
  <si>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</si>
  <si>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</si>
  <si>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</si>
  <si>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</si>
  <si>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</si>
  <si>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</si>
  <si>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</si>
  <si>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</si>
  <si>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</si>
  <si>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</si>
  <si>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</si>
  <si>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</si>
  <si>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</si>
  <si>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</si>
  <si>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</si>
  <si>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</si>
  <si>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</si>
  <si>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</si>
  <si>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</si>
  <si>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</si>
  <si>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</si>
  <si>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</si>
  <si>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</si>
  <si>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</si>
  <si>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</si>
  <si>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</si>
  <si>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</si>
  <si>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</si>
  <si>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</si>
  <si>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</si>
  <si>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</si>
  <si>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</si>
  <si>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</si>
  <si>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</si>
  <si>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</si>
  <si>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</si>
  <si>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</si>
  <si>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</si>
  <si>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</si>
  <si>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</si>
  <si>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</si>
  <si>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</si>
  <si>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</si>
  <si>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</si>
  <si>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</si>
  <si>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</si>
  <si>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</si>
  <si>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</si>
  <si>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</si>
  <si>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</si>
  <si>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</si>
  <si>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</si>
  <si>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</si>
  <si>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</si>
  <si>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</si>
  <si>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</si>
  <si>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</si>
  <si>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</si>
  <si>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</si>
  <si>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</si>
  <si>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</si>
  <si>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</si>
  <si>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</si>
  <si>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</si>
  <si>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</si>
  <si>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</si>
  <si>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</si>
  <si>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</si>
  <si>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</si>
  <si>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</si>
  <si>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</si>
  <si>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</si>
  <si>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</si>
  <si>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</si>
  <si>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</si>
  <si>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</si>
  <si>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</si>
  <si>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</si>
  <si>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</si>
  <si>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</si>
  <si>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</si>
  <si>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</si>
  <si>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</si>
  <si>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</si>
  <si>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</si>
  <si>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</si>
  <si>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</si>
  <si>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</si>
  <si>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</si>
  <si>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</si>
  <si>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</si>
  <si>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</si>
  <si>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</si>
  <si>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</si>
  <si>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</si>
  <si>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</si>
  <si>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</si>
  <si>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</si>
  <si>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</si>
  <si>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</si>
  <si>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</si>
  <si>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</si>
  <si>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</si>
  <si>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</si>
  <si>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</si>
  <si>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</si>
  <si>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</si>
  <si>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</si>
  <si>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</si>
  <si>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</si>
  <si>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</si>
  <si>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</si>
  <si>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</si>
  <si>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</si>
  <si>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</si>
  <si>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</si>
  <si>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</si>
  <si>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</si>
  <si>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</si>
  <si>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</si>
  <si>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</si>
  <si>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</si>
  <si>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</si>
  <si>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</si>
  <si>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</si>
  <si>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</si>
  <si>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</si>
  <si>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</si>
  <si>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</si>
  <si>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</si>
  <si>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</si>
  <si>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</si>
  <si>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</si>
  <si>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</si>
  <si>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</si>
  <si>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</si>
  <si>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</si>
  <si>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</si>
  <si>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</si>
  <si>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</si>
  <si>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</si>
  <si>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</si>
  <si>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</si>
  <si>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</si>
  <si>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</si>
  <si>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</si>
  <si>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</si>
  <si>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</si>
  <si>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</si>
  <si>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</si>
  <si>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</si>
  <si>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</si>
  <si>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</si>
  <si>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</si>
  <si>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</si>
  <si>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</si>
  <si>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</si>
  <si>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</si>
  <si>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</si>
  <si>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</si>
  <si>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</si>
  <si>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</si>
  <si>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</si>
  <si>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</si>
  <si>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</si>
  <si>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</si>
  <si>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</si>
  <si>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</si>
  <si>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</si>
  <si>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</si>
  <si>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</si>
  <si>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</si>
  <si>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</si>
  <si>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</si>
  <si>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</si>
  <si>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</si>
  <si>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</si>
  <si>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</si>
  <si>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</si>
  <si>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</si>
  <si>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</si>
  <si>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</si>
  <si>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</si>
  <si>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</si>
  <si>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</si>
  <si>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</si>
  <si>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</si>
  <si>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</si>
  <si>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</si>
  <si>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</si>
  <si>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</si>
  <si>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</si>
  <si>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</si>
  <si>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</si>
  <si>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</si>
  <si>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</si>
  <si>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</si>
  <si>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</si>
  <si>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</si>
  <si>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</si>
  <si>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</si>
  <si>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</si>
  <si>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</si>
  <si>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</si>
  <si>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</si>
  <si>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</si>
  <si>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</si>
  <si>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</si>
  <si>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</si>
  <si>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</si>
  <si>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</si>
  <si>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</si>
  <si>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</si>
  <si>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</si>
  <si>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</si>
  <si>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</si>
  <si>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</si>
  <si>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</si>
  <si>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</si>
  <si>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</si>
  <si>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</si>
  <si>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</si>
  <si>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</si>
  <si>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</si>
  <si>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</si>
  <si>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</si>
  <si>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</si>
  <si>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</si>
  <si>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</si>
  <si>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</si>
  <si>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</si>
  <si>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</si>
  <si>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</si>
  <si>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</si>
  <si>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</si>
  <si>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</si>
  <si>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</si>
  <si>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</si>
  <si>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</si>
  <si>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</si>
  <si>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</si>
  <si>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</si>
  <si>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</si>
  <si>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</si>
  <si>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</si>
  <si>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</si>
  <si>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</si>
  <si>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</si>
  <si>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</si>
  <si>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</si>
  <si>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</si>
  <si>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</si>
  <si>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</si>
  <si>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</si>
  <si>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</si>
  <si>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</si>
  <si>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</si>
  <si>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</si>
  <si>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</si>
  <si>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</si>
  <si>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</si>
  <si>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</si>
  <si>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</si>
  <si>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</si>
  <si>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</si>
  <si>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</si>
  <si>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</si>
  <si>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</si>
  <si>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</si>
  <si>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</si>
  <si>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</si>
  <si>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</si>
  <si>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</si>
  <si>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</si>
  <si>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</si>
  <si>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</si>
  <si>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</si>
  <si>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</si>
  <si>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</si>
  <si>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</si>
  <si>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</si>
  <si>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</si>
  <si>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</si>
  <si>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</si>
  <si>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</si>
  <si>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</si>
  <si>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</si>
  <si>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</si>
  <si>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</si>
  <si>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</si>
  <si>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</si>
  <si>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</si>
  <si>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</si>
  <si>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</si>
  <si>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</si>
  <si>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</si>
  <si>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</si>
  <si>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</si>
  <si>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</si>
  <si>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</si>
  <si>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</si>
  <si>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</si>
  <si>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</si>
  <si>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</si>
  <si>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</si>
  <si>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</si>
  <si>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</si>
  <si>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</si>
  <si>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</si>
  <si>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</si>
  <si>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</si>
  <si>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</si>
  <si>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</si>
  <si>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</si>
  <si>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</si>
  <si>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</si>
  <si>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</si>
  <si>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</si>
  <si>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</si>
  <si>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</si>
  <si>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</si>
  <si>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</si>
  <si>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</si>
  <si>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</si>
  <si>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</si>
  <si>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</si>
  <si>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</si>
  <si>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</si>
  <si>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</si>
  <si>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</si>
  <si>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</si>
  <si>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</si>
  <si>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</si>
  <si>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</si>
  <si>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</si>
  <si>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</si>
  <si>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</si>
  <si>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</si>
  <si>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</si>
  <si>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</si>
  <si>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</si>
  <si>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</si>
  <si>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</si>
  <si>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</si>
  <si>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</si>
  <si>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</si>
  <si>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</si>
  <si>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</si>
  <si>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</si>
  <si>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</si>
  <si>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</si>
  <si>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</si>
  <si>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</si>
  <si>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</si>
  <si>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</si>
  <si>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</si>
  <si>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</si>
  <si>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</si>
  <si>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</si>
  <si>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</si>
  <si>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</si>
  <si>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</si>
  <si>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</si>
  <si>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</si>
  <si>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</si>
  <si>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</si>
  <si>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</si>
  <si>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</si>
  <si>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</si>
  <si>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</si>
  <si>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</si>
  <si>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</si>
  <si>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</si>
  <si>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</si>
  <si>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</si>
  <si>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</si>
  <si>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</si>
  <si>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</si>
  <si>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</si>
  <si>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</si>
  <si>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</si>
  <si>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</si>
  <si>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</si>
  <si>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</si>
  <si>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</si>
  <si>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</si>
  <si>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</si>
  <si>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</si>
  <si>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</si>
  <si>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</si>
  <si>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</si>
  <si>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</si>
  <si>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</si>
  <si>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</si>
  <si>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</si>
  <si>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</si>
  <si>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</si>
  <si>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</si>
  <si>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</si>
  <si>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</si>
  <si>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</si>
  <si>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</si>
  <si>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</si>
  <si>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</si>
  <si>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</si>
  <si>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</si>
  <si>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</si>
  <si>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</si>
  <si>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</si>
  <si>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</si>
  <si>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</si>
  <si>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</si>
  <si>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</si>
  <si>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</si>
  <si>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</si>
  <si>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</si>
  <si>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</si>
  <si>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</si>
  <si>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</si>
  <si>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</si>
  <si>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</si>
  <si>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</si>
  <si>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</si>
  <si>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</si>
  <si>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</si>
  <si>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</si>
  <si>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</si>
  <si>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</si>
  <si>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</si>
  <si>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</si>
  <si>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</si>
  <si>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</si>
  <si>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</si>
  <si>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</si>
  <si>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</si>
  <si>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</si>
  <si>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</si>
  <si>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</si>
  <si>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</si>
  <si>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</si>
  <si>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</si>
  <si>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</si>
  <si>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</si>
  <si>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</si>
  <si>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</si>
  <si>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</si>
  <si>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</si>
  <si>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</si>
  <si>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</si>
  <si>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</si>
  <si>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</si>
  <si>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</si>
  <si>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</si>
  <si>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</si>
  <si>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</si>
  <si>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</si>
  <si>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</si>
  <si>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</si>
  <si>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</si>
  <si>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</si>
  <si>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</si>
  <si>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</si>
  <si>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</si>
  <si>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</si>
  <si>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</si>
  <si>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</si>
  <si>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</si>
  <si>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</si>
  <si>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</si>
  <si>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</si>
  <si>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</si>
  <si>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</si>
  <si>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</si>
  <si>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</si>
  <si>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</si>
  <si>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</si>
  <si>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</si>
  <si>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</si>
  <si>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</si>
  <si>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</si>
  <si>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</si>
  <si>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</si>
  <si>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</si>
  <si>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</si>
  <si>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</si>
  <si>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</si>
  <si>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</si>
  <si>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</si>
  <si>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</si>
  <si>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</si>
  <si>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</si>
  <si>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</si>
  <si>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</si>
  <si>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</si>
  <si>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</si>
  <si>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</si>
  <si>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</si>
  <si>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</si>
  <si>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</si>
  <si>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</si>
  <si>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</si>
  <si>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</si>
  <si>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</si>
  <si>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</si>
  <si>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</si>
  <si>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</si>
  <si>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</si>
  <si>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</si>
  <si>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</si>
  <si>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</si>
  <si>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</si>
  <si>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</si>
  <si>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</si>
  <si>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</si>
  <si>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</si>
  <si>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</si>
  <si>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</si>
  <si>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</si>
  <si>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</si>
  <si>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</si>
  <si>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</si>
  <si>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</si>
  <si>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</si>
  <si>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</si>
  <si>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</si>
  <si>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</si>
  <si>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</si>
  <si>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</si>
  <si>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</si>
  <si>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</si>
  <si>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</si>
  <si>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</si>
  <si>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</si>
  <si>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</si>
  <si>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</si>
  <si>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</si>
  <si>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</si>
  <si>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</si>
  <si>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</si>
  <si>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</si>
  <si>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</si>
  <si>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</si>
  <si>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</si>
  <si>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</si>
  <si>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</si>
  <si>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</si>
  <si>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</si>
  <si>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</si>
  <si>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</si>
  <si>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</si>
  <si>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</si>
  <si>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</si>
  <si>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</si>
  <si>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</si>
  <si>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</si>
  <si>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</si>
  <si>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</si>
  <si>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</si>
  <si>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</si>
  <si>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</si>
  <si>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</si>
  <si>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</si>
  <si>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</si>
  <si>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</si>
  <si>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</si>
  <si>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</si>
  <si>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</si>
  <si>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</si>
  <si>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</si>
  <si>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</si>
  <si>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</si>
  <si>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</si>
  <si>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</si>
  <si>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</si>
  <si>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</si>
  <si>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</si>
  <si>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</si>
  <si>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</si>
  <si>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</si>
  <si>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</si>
  <si>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</si>
  <si>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</si>
  <si>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</si>
  <si>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</si>
  <si>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</si>
  <si>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</si>
  <si>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</si>
  <si>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</si>
  <si>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</si>
  <si>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</si>
  <si>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</si>
  <si>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</si>
  <si>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</si>
  <si>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</si>
  <si>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</si>
  <si>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</si>
  <si>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</si>
  <si>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</si>
  <si>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</si>
  <si>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</si>
  <si>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</si>
  <si>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</si>
  <si>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</si>
  <si>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</si>
  <si>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</si>
  <si>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</si>
  <si>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</si>
  <si>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</si>
  <si>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</si>
  <si>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</si>
  <si>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</si>
  <si>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</si>
  <si>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</si>
  <si>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</si>
  <si>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</si>
  <si>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</si>
  <si>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</si>
  <si>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</si>
  <si>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</si>
  <si>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</si>
  <si>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</si>
  <si>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</si>
  <si>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</si>
  <si>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</si>
  <si>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</si>
  <si>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</si>
  <si>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</si>
  <si>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</si>
  <si>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</si>
  <si>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</si>
  <si>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</si>
  <si>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</si>
  <si>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</si>
  <si>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</si>
  <si>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</si>
  <si>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</si>
  <si>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</si>
  <si>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</si>
  <si>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</si>
  <si>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</si>
  <si>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</si>
  <si>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</si>
  <si>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</si>
  <si>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</si>
  <si>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</si>
  <si>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</si>
  <si>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</si>
  <si>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</si>
  <si>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</si>
  <si>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</si>
  <si>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</si>
  <si>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</si>
  <si>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</si>
  <si>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</si>
  <si>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</si>
  <si>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</si>
  <si>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</si>
  <si>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</si>
  <si>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</si>
  <si>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</si>
  <si>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</si>
  <si>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</si>
  <si>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</si>
  <si>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</si>
  <si>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</si>
  <si>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</si>
  <si>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</si>
  <si>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</si>
  <si>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</si>
  <si>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</si>
  <si>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</si>
  <si>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</si>
  <si>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</si>
  <si>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</si>
  <si>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</si>
  <si>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</si>
  <si>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</si>
  <si>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</si>
  <si>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</si>
  <si>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</si>
  <si>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</si>
  <si>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</si>
  <si>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</si>
  <si>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</si>
  <si>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</si>
  <si>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</si>
  <si>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</si>
  <si>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</si>
  <si>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</si>
  <si>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</si>
  <si>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</si>
  <si>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</si>
  <si>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</si>
  <si>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</si>
  <si>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</si>
  <si>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</si>
  <si>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</si>
  <si>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</si>
  <si>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</si>
  <si>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</si>
  <si>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</si>
  <si>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</si>
  <si>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</si>
  <si>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</si>
  <si>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</si>
  <si>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</si>
  <si>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</si>
  <si>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</si>
  <si>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</si>
  <si>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</si>
  <si>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</si>
  <si>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</si>
  <si>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</si>
  <si>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</si>
  <si>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</si>
  <si>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</si>
  <si>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</si>
  <si>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</si>
  <si>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</si>
  <si>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</si>
  <si>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Also known as diffusion probabilistic models, a class of latent variable models which outperform GANs. Also known as denoising diffusion models or score-based generative models. Diffusion models are parameterized Markov chains using two processes: forward diffusion and parametrized reverse.</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</si>
  <si>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</si>
  <si>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</si>
  <si>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</si>
  <si>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</si>
  <si>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</si>
  <si>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</si>
  <si>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</si>
  <si>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</si>
  <si>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</si>
  <si>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</si>
  <si>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</si>
  <si>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</si>
  <si>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</si>
  <si>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</si>
  <si>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</si>
  <si>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</si>
  <si>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</si>
  <si>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</si>
  <si>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</si>
  <si>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</si>
  <si>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</si>
  <si>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40 hours</t>
  </si>
  <si>
    <t>Price/hour</t>
  </si>
  <si>
    <t>180k seconds; 50 hours low quality, 25 hours high quality</t>
  </si>
  <si>
    <t>19m</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</si>
  <si>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</si>
  <si>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</si>
  <si>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</si>
  <si>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</si>
  <si>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</si>
  <si>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</si>
  <si>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</si>
  <si>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</si>
  <si>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</si>
  <si>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</si>
  <si>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</si>
  <si>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</si>
  <si>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</si>
  <si>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</si>
  <si>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</si>
  <si>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</si>
  <si>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</si>
  <si>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Has celebrities? No API</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</si>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</sst>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82">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xf numFmtId="0" fontId="22" fillId="0" borderId="0" xfId="2" applyNumberFormat="1" applyFont="1" applyAlignment="1"/>
    <xf numFmtId="1" fontId="12" fillId="0" borderId="0" xfId="1" applyNumberFormat="1" applyFont="1"/>
    <xf numFmtId="0" fontId="1" fillId="2" borderId="0" xfId="1" applyFont="1" applyFill="1"/>
    <xf numFmtId="0" fontId="1" fillId="3" borderId="0" xfId="1" applyFont="1" applyFill="1"/>
    <xf numFmtId="0" fontId="1" fillId="8" borderId="2" xfId="3" applyFont="1" applyFill="1" applyBorder="1"/>
    <xf numFmtId="0" fontId="1" fillId="0" borderId="0" xfId="2" applyFont="1"/>
    <xf numFmtId="4" fontId="9" fillId="0" borderId="0" xfId="0" applyNumberFormat="1" applyFont="1"/>
    <xf numFmtId="4" fontId="1" fillId="0" borderId="0" xfId="0" applyNumberFormat="1" applyFont="1"/>
    <xf numFmtId="0" fontId="1" fillId="0" borderId="0" xfId="0" quotePrefix="1" applyFont="1"/>
    <xf numFmtId="167" fontId="9" fillId="0" borderId="0" xfId="0" applyNumberFormat="1" applyFont="1"/>
    <xf numFmtId="168" fontId="9"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296</xdr:row>
      <xdr:rowOff>11545</xdr:rowOff>
    </xdr:from>
    <xdr:to>
      <xdr:col>23</xdr:col>
      <xdr:colOff>459506</xdr:colOff>
      <xdr:row>321</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326</xdr:row>
      <xdr:rowOff>11546</xdr:rowOff>
    </xdr:from>
    <xdr:to>
      <xdr:col>24</xdr:col>
      <xdr:colOff>23089</xdr:colOff>
      <xdr:row>348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6" dT="2023-06-28T22:40:44.43" personId="{00000000-0000-0000-0000-000000000000}" id="{2693FE7F-F554-E548-8264-1036732DDEF4}">
    <text>Amplify Partners V, Amplify Select (6/13/22)</text>
  </threadedComment>
  <threadedComment ref="I991"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www.play.ht/" TargetMode="External"/><Relationship Id="rId18" Type="http://schemas.openxmlformats.org/officeDocument/2006/relationships/hyperlink" Target="http://www.murf.ai/" TargetMode="External"/><Relationship Id="rId26" Type="http://schemas.openxmlformats.org/officeDocument/2006/relationships/hyperlink" Target="http://www.ispeech.org/" TargetMode="External"/><Relationship Id="rId3" Type="http://schemas.openxmlformats.org/officeDocument/2006/relationships/hyperlink" Target="https://github.com/neonbjb/tortoise-tts" TargetMode="External"/><Relationship Id="rId21" Type="http://schemas.openxmlformats.org/officeDocument/2006/relationships/hyperlink" Target="http://www.voicemod.ne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www.wellsaidlabs.com/" TargetMode="External"/><Relationship Id="rId25" Type="http://schemas.openxmlformats.org/officeDocument/2006/relationships/hyperlink" Target="http://www.synthesys.io/"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www.rime.ai/" TargetMode="External"/><Relationship Id="rId20" Type="http://schemas.openxmlformats.org/officeDocument/2006/relationships/hyperlink" Target="http://www.speechify.com/"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docs.nvidia.com/deeplearning/nemo/user-guide/docs/en/stable/tts/intro.html" TargetMode="External"/><Relationship Id="rId5" Type="http://schemas.openxmlformats.org/officeDocument/2006/relationships/hyperlink" Target="https://github.com/jaywalnut310/vits" TargetMode="External"/><Relationship Id="rId15" Type="http://schemas.openxmlformats.org/officeDocument/2006/relationships/hyperlink" Target="http://www.elevenlabs.io/" TargetMode="External"/><Relationship Id="rId23" Type="http://schemas.openxmlformats.org/officeDocument/2006/relationships/hyperlink" Target="http://www.voiceovermaker.io/"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www.unrealspeech.com/"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coqui.ai/" TargetMode="External"/><Relationship Id="rId22" Type="http://schemas.openxmlformats.org/officeDocument/2006/relationships/hyperlink" Target="http://www.replicastudios.com/" TargetMode="External"/><Relationship Id="rId27" Type="http://schemas.openxmlformats.org/officeDocument/2006/relationships/hyperlink" Target="https://www.vocalware.com/index/pric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5" sqref="D5"/>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6271</v>
      </c>
    </row>
    <row r="3" spans="1:3" s="105" customFormat="1" ht="18" x14ac:dyDescent="0.2">
      <c r="B3" s="109" t="s">
        <v>4256</v>
      </c>
      <c r="C3" s="150">
        <v>45202</v>
      </c>
    </row>
    <row r="4" spans="1:3" s="105" customFormat="1" ht="18" x14ac:dyDescent="0.2">
      <c r="B4" s="109" t="s">
        <v>3996</v>
      </c>
      <c r="C4" s="150">
        <v>45202</v>
      </c>
    </row>
    <row r="5" spans="1:3" s="105" customFormat="1" ht="18" x14ac:dyDescent="0.2">
      <c r="B5" s="109" t="s">
        <v>4257</v>
      </c>
      <c r="C5" s="150">
        <v>45202</v>
      </c>
    </row>
    <row r="6" spans="1:3" s="105" customFormat="1" ht="18" x14ac:dyDescent="0.2">
      <c r="B6" s="109" t="s">
        <v>4258</v>
      </c>
      <c r="C6" s="150">
        <v>45161</v>
      </c>
    </row>
    <row r="7" spans="1:3" s="105" customFormat="1" ht="18" x14ac:dyDescent="0.2">
      <c r="B7" s="109" t="s">
        <v>4000</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4140</v>
      </c>
      <c r="C11" s="150">
        <v>45169</v>
      </c>
    </row>
    <row r="12" spans="1:3" ht="18" x14ac:dyDescent="0.2">
      <c r="A12" s="57"/>
      <c r="B12" s="109" t="s">
        <v>783</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3814</v>
      </c>
    </row>
    <row r="3" spans="1:3" x14ac:dyDescent="0.15">
      <c r="B3" s="43" t="s">
        <v>4200</v>
      </c>
    </row>
    <row r="4" spans="1:3" x14ac:dyDescent="0.15">
      <c r="C4" s="43" t="s">
        <v>4198</v>
      </c>
    </row>
    <row r="6" spans="1:3" x14ac:dyDescent="0.15">
      <c r="B6" s="43" t="s">
        <v>4199</v>
      </c>
    </row>
    <row r="7" spans="1:3" x14ac:dyDescent="0.15">
      <c r="C7" s="43" t="s">
        <v>4198</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1167</v>
      </c>
    </row>
    <row r="3" spans="1:11" x14ac:dyDescent="0.15">
      <c r="C3" s="251" t="s">
        <v>4531</v>
      </c>
      <c r="D3" s="251" t="s">
        <v>4532</v>
      </c>
      <c r="E3" s="250" t="s">
        <v>2642</v>
      </c>
      <c r="F3" s="250" t="s">
        <v>5002</v>
      </c>
      <c r="G3" s="250" t="s">
        <v>4258</v>
      </c>
      <c r="H3" s="250" t="s">
        <v>1152</v>
      </c>
      <c r="I3" s="250" t="s">
        <v>5811</v>
      </c>
      <c r="J3" s="250" t="s">
        <v>4671</v>
      </c>
      <c r="K3" s="256" t="s">
        <v>2297</v>
      </c>
    </row>
    <row r="4" spans="1:11" x14ac:dyDescent="0.15">
      <c r="B4" s="250" t="s">
        <v>5656</v>
      </c>
      <c r="G4" s="250" t="s">
        <v>5655</v>
      </c>
    </row>
    <row r="5" spans="1:11" x14ac:dyDescent="0.15">
      <c r="B5" s="250" t="s">
        <v>5658</v>
      </c>
      <c r="G5" s="250" t="s">
        <v>5655</v>
      </c>
    </row>
    <row r="6" spans="1:11" x14ac:dyDescent="0.15">
      <c r="B6" s="250" t="s">
        <v>5609</v>
      </c>
      <c r="G6" s="250" t="s">
        <v>5573</v>
      </c>
    </row>
    <row r="7" spans="1:11" x14ac:dyDescent="0.15">
      <c r="B7" s="250" t="s">
        <v>5877</v>
      </c>
      <c r="E7" s="25" t="s">
        <v>5878</v>
      </c>
      <c r="G7" s="250" t="s">
        <v>5874</v>
      </c>
    </row>
    <row r="8" spans="1:11" x14ac:dyDescent="0.15">
      <c r="B8" s="250" t="s">
        <v>5594</v>
      </c>
      <c r="G8" s="250" t="s">
        <v>5573</v>
      </c>
    </row>
    <row r="9" spans="1:11" x14ac:dyDescent="0.15">
      <c r="B9" s="250" t="s">
        <v>5592</v>
      </c>
      <c r="G9" s="250" t="s">
        <v>5573</v>
      </c>
    </row>
    <row r="10" spans="1:11" x14ac:dyDescent="0.15">
      <c r="B10" s="250" t="s">
        <v>5576</v>
      </c>
      <c r="G10" s="250" t="s">
        <v>5657</v>
      </c>
    </row>
    <row r="11" spans="1:11" x14ac:dyDescent="0.15">
      <c r="B11" s="250" t="s">
        <v>5584</v>
      </c>
      <c r="G11" s="250" t="s">
        <v>5573</v>
      </c>
    </row>
    <row r="12" spans="1:11" x14ac:dyDescent="0.15">
      <c r="B12" s="252" t="s">
        <v>5574</v>
      </c>
      <c r="G12" s="250" t="s">
        <v>5573</v>
      </c>
    </row>
    <row r="13" spans="1:11" x14ac:dyDescent="0.15">
      <c r="B13" s="252" t="s">
        <v>5591</v>
      </c>
    </row>
    <row r="14" spans="1:11" x14ac:dyDescent="0.15">
      <c r="B14" s="252" t="s">
        <v>5659</v>
      </c>
      <c r="G14" s="250" t="s">
        <v>5655</v>
      </c>
    </row>
    <row r="15" spans="1:11" x14ac:dyDescent="0.15">
      <c r="B15" s="252" t="s">
        <v>5622</v>
      </c>
      <c r="G15" s="250" t="s">
        <v>5573</v>
      </c>
    </row>
    <row r="16" spans="1:11" x14ac:dyDescent="0.15">
      <c r="B16" s="250" t="s">
        <v>5417</v>
      </c>
      <c r="E16" s="25" t="s">
        <v>5422</v>
      </c>
      <c r="G16" s="250" t="s">
        <v>5424</v>
      </c>
    </row>
    <row r="17" spans="2:9" x14ac:dyDescent="0.15">
      <c r="B17" s="250" t="s">
        <v>5349</v>
      </c>
      <c r="E17" s="25" t="s">
        <v>5346</v>
      </c>
      <c r="G17" s="250" t="s">
        <v>5350</v>
      </c>
    </row>
    <row r="18" spans="2:9" x14ac:dyDescent="0.15">
      <c r="B18" s="250" t="s">
        <v>5649</v>
      </c>
      <c r="E18" s="25" t="s">
        <v>5650</v>
      </c>
      <c r="G18" s="250" t="s">
        <v>5646</v>
      </c>
    </row>
    <row r="19" spans="2:9" x14ac:dyDescent="0.15">
      <c r="B19" s="250" t="s">
        <v>5660</v>
      </c>
      <c r="E19" s="25"/>
      <c r="G19" s="250" t="s">
        <v>5655</v>
      </c>
    </row>
    <row r="20" spans="2:9" x14ac:dyDescent="0.15">
      <c r="B20" s="250" t="s">
        <v>4996</v>
      </c>
      <c r="E20" s="25"/>
      <c r="G20" s="250" t="s">
        <v>5573</v>
      </c>
    </row>
    <row r="21" spans="2:9" x14ac:dyDescent="0.15">
      <c r="B21" s="250" t="s">
        <v>5572</v>
      </c>
      <c r="E21" s="25"/>
      <c r="G21" s="250" t="s">
        <v>5573</v>
      </c>
    </row>
    <row r="22" spans="2:9" x14ac:dyDescent="0.15">
      <c r="B22" s="250" t="s">
        <v>5663</v>
      </c>
      <c r="E22" s="25"/>
      <c r="G22" s="250" t="s">
        <v>5655</v>
      </c>
    </row>
    <row r="23" spans="2:9" x14ac:dyDescent="0.15">
      <c r="B23" s="250" t="s">
        <v>5651</v>
      </c>
      <c r="E23" s="25" t="s">
        <v>5652</v>
      </c>
      <c r="G23" s="250" t="s">
        <v>5661</v>
      </c>
    </row>
    <row r="24" spans="2:9" x14ac:dyDescent="0.15">
      <c r="B24" s="250" t="s">
        <v>4812</v>
      </c>
      <c r="E24" s="25"/>
      <c r="G24" s="250" t="s">
        <v>5573</v>
      </c>
    </row>
    <row r="25" spans="2:9" x14ac:dyDescent="0.15">
      <c r="B25" s="250" t="s">
        <v>5818</v>
      </c>
    </row>
    <row r="26" spans="2:9" x14ac:dyDescent="0.15">
      <c r="B26" s="250" t="s">
        <v>5611</v>
      </c>
      <c r="E26" s="25"/>
      <c r="G26" s="250" t="s">
        <v>5573</v>
      </c>
    </row>
    <row r="27" spans="2:9" x14ac:dyDescent="0.15">
      <c r="B27" s="250" t="s">
        <v>5636</v>
      </c>
      <c r="E27" s="25" t="s">
        <v>5637</v>
      </c>
      <c r="G27" s="250" t="s">
        <v>5662</v>
      </c>
    </row>
    <row r="28" spans="2:9" s="56" customFormat="1" x14ac:dyDescent="0.15">
      <c r="B28" s="56" t="s">
        <v>3988</v>
      </c>
      <c r="C28" s="108">
        <v>1999</v>
      </c>
      <c r="D28" s="108" t="s">
        <v>4672</v>
      </c>
      <c r="E28" s="25" t="s">
        <v>5638</v>
      </c>
      <c r="G28" s="56" t="s">
        <v>5914</v>
      </c>
      <c r="H28" s="56" t="s">
        <v>5821</v>
      </c>
      <c r="I28" s="56" t="s">
        <v>5820</v>
      </c>
    </row>
    <row r="29" spans="2:9" x14ac:dyDescent="0.15">
      <c r="B29" s="250" t="s">
        <v>5599</v>
      </c>
      <c r="E29" s="25"/>
      <c r="G29" s="250" t="s">
        <v>5573</v>
      </c>
    </row>
    <row r="30" spans="2:9" x14ac:dyDescent="0.15">
      <c r="B30" s="250" t="s">
        <v>5666</v>
      </c>
      <c r="E30" s="25"/>
      <c r="G30" s="250" t="s">
        <v>5655</v>
      </c>
    </row>
    <row r="31" spans="2:9" x14ac:dyDescent="0.15">
      <c r="B31" s="250" t="s">
        <v>5416</v>
      </c>
      <c r="E31" s="25" t="s">
        <v>5423</v>
      </c>
      <c r="G31" s="250" t="s">
        <v>5571</v>
      </c>
    </row>
    <row r="32" spans="2:9" x14ac:dyDescent="0.15">
      <c r="B32" s="250" t="s">
        <v>5620</v>
      </c>
      <c r="E32" s="25"/>
      <c r="G32" s="250" t="s">
        <v>5573</v>
      </c>
    </row>
    <row r="33" spans="2:9" x14ac:dyDescent="0.15">
      <c r="B33" s="256" t="s">
        <v>7625</v>
      </c>
      <c r="E33" s="25" t="s">
        <v>7626</v>
      </c>
      <c r="G33" s="256" t="s">
        <v>7620</v>
      </c>
    </row>
    <row r="34" spans="2:9" x14ac:dyDescent="0.15">
      <c r="B34" s="250" t="s">
        <v>5608</v>
      </c>
      <c r="E34" s="25"/>
      <c r="G34" s="250" t="s">
        <v>5573</v>
      </c>
    </row>
    <row r="35" spans="2:9" x14ac:dyDescent="0.15">
      <c r="B35" s="250" t="s">
        <v>5588</v>
      </c>
      <c r="E35" s="25"/>
      <c r="G35" s="250" t="s">
        <v>5573</v>
      </c>
    </row>
    <row r="36" spans="2:9" x14ac:dyDescent="0.15">
      <c r="B36" s="250" t="s">
        <v>5596</v>
      </c>
      <c r="E36" s="25"/>
      <c r="G36" s="250" t="s">
        <v>5573</v>
      </c>
    </row>
    <row r="37" spans="2:9" x14ac:dyDescent="0.15">
      <c r="B37" s="250" t="s">
        <v>5624</v>
      </c>
      <c r="E37" s="25"/>
      <c r="G37" s="250" t="s">
        <v>5573</v>
      </c>
    </row>
    <row r="38" spans="2:9" x14ac:dyDescent="0.15">
      <c r="B38" s="250" t="s">
        <v>5530</v>
      </c>
      <c r="G38" s="250" t="s">
        <v>5532</v>
      </c>
    </row>
    <row r="39" spans="2:9" x14ac:dyDescent="0.15">
      <c r="B39" s="250" t="s">
        <v>5628</v>
      </c>
      <c r="E39" s="25" t="s">
        <v>5629</v>
      </c>
      <c r="G39" s="250" t="s">
        <v>5573</v>
      </c>
    </row>
    <row r="40" spans="2:9" x14ac:dyDescent="0.15">
      <c r="B40" s="250" t="s">
        <v>5626</v>
      </c>
      <c r="G40" s="250" t="s">
        <v>5573</v>
      </c>
    </row>
    <row r="41" spans="2:9" x14ac:dyDescent="0.15">
      <c r="B41" s="250" t="s">
        <v>5621</v>
      </c>
      <c r="G41" s="250" t="s">
        <v>5573</v>
      </c>
    </row>
    <row r="42" spans="2:9" x14ac:dyDescent="0.15">
      <c r="B42" s="250" t="s">
        <v>5601</v>
      </c>
      <c r="G42" s="250" t="s">
        <v>5573</v>
      </c>
    </row>
    <row r="43" spans="2:9" x14ac:dyDescent="0.15">
      <c r="B43" s="250" t="s">
        <v>5578</v>
      </c>
      <c r="G43" s="250" t="s">
        <v>5573</v>
      </c>
    </row>
    <row r="44" spans="2:9" s="56" customFormat="1" x14ac:dyDescent="0.15">
      <c r="B44" s="56" t="s">
        <v>5598</v>
      </c>
      <c r="C44" s="108">
        <v>1999</v>
      </c>
      <c r="D44" s="108" t="s">
        <v>4672</v>
      </c>
      <c r="E44" s="37" t="s">
        <v>5809</v>
      </c>
      <c r="G44" s="56" t="s">
        <v>5810</v>
      </c>
      <c r="H44" s="56" t="s">
        <v>5817</v>
      </c>
      <c r="I44" s="56" t="s">
        <v>5812</v>
      </c>
    </row>
    <row r="45" spans="2:9" x14ac:dyDescent="0.15">
      <c r="B45" s="250" t="s">
        <v>4535</v>
      </c>
      <c r="G45" s="250" t="s">
        <v>5655</v>
      </c>
      <c r="H45" s="250" t="s">
        <v>5409</v>
      </c>
    </row>
    <row r="46" spans="2:9" x14ac:dyDescent="0.15">
      <c r="B46" s="250" t="s">
        <v>5876</v>
      </c>
      <c r="E46" s="25" t="s">
        <v>7637</v>
      </c>
      <c r="G46" s="256" t="s">
        <v>7636</v>
      </c>
    </row>
    <row r="47" spans="2:9" x14ac:dyDescent="0.15">
      <c r="B47" s="250" t="s">
        <v>5819</v>
      </c>
    </row>
    <row r="48" spans="2:9" x14ac:dyDescent="0.15">
      <c r="B48" s="250" t="s">
        <v>5664</v>
      </c>
      <c r="G48" s="250" t="s">
        <v>5655</v>
      </c>
    </row>
    <row r="49" spans="2:8" x14ac:dyDescent="0.15">
      <c r="B49" s="250" t="s">
        <v>5639</v>
      </c>
      <c r="C49" s="251" t="s">
        <v>5913</v>
      </c>
      <c r="D49" s="251">
        <v>2022</v>
      </c>
      <c r="E49" s="25" t="s">
        <v>5640</v>
      </c>
      <c r="G49" s="250" t="s">
        <v>5912</v>
      </c>
    </row>
    <row r="50" spans="2:8" x14ac:dyDescent="0.15">
      <c r="B50" s="250" t="s">
        <v>5589</v>
      </c>
      <c r="G50" s="250" t="s">
        <v>5573</v>
      </c>
    </row>
    <row r="51" spans="2:8" x14ac:dyDescent="0.15">
      <c r="B51" s="250" t="s">
        <v>5604</v>
      </c>
      <c r="G51" s="250" t="s">
        <v>5573</v>
      </c>
    </row>
    <row r="52" spans="2:8" x14ac:dyDescent="0.15">
      <c r="B52" s="250" t="s">
        <v>5665</v>
      </c>
      <c r="G52" s="250" t="s">
        <v>5655</v>
      </c>
    </row>
    <row r="53" spans="2:8" x14ac:dyDescent="0.15">
      <c r="B53" s="250" t="s">
        <v>5593</v>
      </c>
      <c r="G53" s="250" t="s">
        <v>5657</v>
      </c>
    </row>
    <row r="54" spans="2:8" x14ac:dyDescent="0.15">
      <c r="B54" s="250" t="s">
        <v>5667</v>
      </c>
      <c r="G54" s="250" t="s">
        <v>5655</v>
      </c>
    </row>
    <row r="55" spans="2:8" x14ac:dyDescent="0.15">
      <c r="B55" s="250" t="s">
        <v>5668</v>
      </c>
      <c r="G55" s="250" t="s">
        <v>5655</v>
      </c>
    </row>
    <row r="56" spans="2:8" x14ac:dyDescent="0.15">
      <c r="B56" s="250" t="s">
        <v>4723</v>
      </c>
      <c r="G56" s="250" t="s">
        <v>5655</v>
      </c>
    </row>
    <row r="57" spans="2:8" x14ac:dyDescent="0.15">
      <c r="B57" s="256" t="s">
        <v>7623</v>
      </c>
      <c r="E57" s="25" t="s">
        <v>7624</v>
      </c>
      <c r="G57" s="256" t="s">
        <v>7620</v>
      </c>
    </row>
    <row r="58" spans="2:8" x14ac:dyDescent="0.15">
      <c r="B58" s="250" t="s">
        <v>5016</v>
      </c>
      <c r="E58" s="25" t="s">
        <v>5017</v>
      </c>
      <c r="G58" s="256" t="s">
        <v>7636</v>
      </c>
    </row>
    <row r="59" spans="2:8" x14ac:dyDescent="0.15">
      <c r="B59" s="250" t="s">
        <v>4166</v>
      </c>
      <c r="C59" s="253">
        <v>41334</v>
      </c>
      <c r="D59" s="253">
        <v>42979</v>
      </c>
      <c r="E59" s="147" t="s">
        <v>1</v>
      </c>
      <c r="H59" s="250" t="s">
        <v>6240</v>
      </c>
    </row>
    <row r="60" spans="2:8" x14ac:dyDescent="0.15">
      <c r="B60" s="250" t="s">
        <v>5669</v>
      </c>
      <c r="E60" s="25"/>
      <c r="G60" s="250" t="s">
        <v>5655</v>
      </c>
    </row>
    <row r="61" spans="2:8" x14ac:dyDescent="0.15">
      <c r="B61" s="250" t="s">
        <v>4516</v>
      </c>
      <c r="E61" s="25" t="s">
        <v>5641</v>
      </c>
      <c r="G61" s="250" t="s">
        <v>5634</v>
      </c>
    </row>
    <row r="62" spans="2:8" x14ac:dyDescent="0.15">
      <c r="B62" s="250" t="s">
        <v>5558</v>
      </c>
      <c r="E62" s="25" t="s">
        <v>5559</v>
      </c>
      <c r="G62" s="250" t="s">
        <v>5570</v>
      </c>
    </row>
    <row r="63" spans="2:8" x14ac:dyDescent="0.15">
      <c r="B63" s="250" t="s">
        <v>5418</v>
      </c>
      <c r="E63" s="25" t="s">
        <v>5421</v>
      </c>
      <c r="G63" s="250" t="s">
        <v>5424</v>
      </c>
    </row>
    <row r="64" spans="2:8" x14ac:dyDescent="0.15">
      <c r="B64" s="250" t="s">
        <v>5670</v>
      </c>
      <c r="E64" s="25"/>
      <c r="G64" s="250" t="s">
        <v>5655</v>
      </c>
    </row>
    <row r="65" spans="2:7" x14ac:dyDescent="0.15">
      <c r="B65" s="250" t="s">
        <v>5597</v>
      </c>
      <c r="E65" s="25"/>
      <c r="G65" s="250" t="s">
        <v>5573</v>
      </c>
    </row>
    <row r="66" spans="2:7" x14ac:dyDescent="0.15">
      <c r="B66" s="250" t="s">
        <v>5614</v>
      </c>
      <c r="E66" s="25"/>
      <c r="G66" s="250" t="s">
        <v>5573</v>
      </c>
    </row>
    <row r="67" spans="2:7" x14ac:dyDescent="0.15">
      <c r="B67" s="250" t="s">
        <v>5344</v>
      </c>
      <c r="E67" s="25" t="s">
        <v>5345</v>
      </c>
      <c r="G67" s="250" t="s">
        <v>5350</v>
      </c>
    </row>
    <row r="68" spans="2:7" x14ac:dyDescent="0.15">
      <c r="B68" s="250" t="s">
        <v>5566</v>
      </c>
      <c r="E68" s="25" t="s">
        <v>5567</v>
      </c>
      <c r="G68" s="250" t="s">
        <v>5555</v>
      </c>
    </row>
    <row r="69" spans="2:7" x14ac:dyDescent="0.15">
      <c r="B69" s="250" t="s">
        <v>5605</v>
      </c>
      <c r="E69" s="25"/>
      <c r="G69" s="250" t="s">
        <v>5573</v>
      </c>
    </row>
    <row r="70" spans="2:7" x14ac:dyDescent="0.15">
      <c r="B70" s="250" t="s">
        <v>5568</v>
      </c>
      <c r="E70" s="25" t="s">
        <v>5569</v>
      </c>
      <c r="G70" s="250" t="s">
        <v>5555</v>
      </c>
    </row>
    <row r="71" spans="2:7" x14ac:dyDescent="0.15">
      <c r="B71" s="250" t="s">
        <v>3662</v>
      </c>
      <c r="E71" s="25"/>
      <c r="G71" s="250" t="s">
        <v>5573</v>
      </c>
    </row>
    <row r="72" spans="2:7" x14ac:dyDescent="0.15">
      <c r="B72" s="250" t="s">
        <v>5671</v>
      </c>
      <c r="E72" s="25"/>
      <c r="G72" s="250" t="s">
        <v>5655</v>
      </c>
    </row>
    <row r="73" spans="2:7" x14ac:dyDescent="0.15">
      <c r="B73" s="250" t="s">
        <v>5562</v>
      </c>
      <c r="E73" s="25" t="s">
        <v>5563</v>
      </c>
      <c r="G73" s="250" t="s">
        <v>5555</v>
      </c>
    </row>
    <row r="74" spans="2:7" x14ac:dyDescent="0.15">
      <c r="B74" s="250" t="s">
        <v>5582</v>
      </c>
      <c r="E74" s="25"/>
      <c r="G74" s="250" t="s">
        <v>5573</v>
      </c>
    </row>
    <row r="75" spans="2:7" x14ac:dyDescent="0.15">
      <c r="B75" s="250" t="s">
        <v>5623</v>
      </c>
      <c r="E75" s="25"/>
      <c r="G75" s="250" t="s">
        <v>5573</v>
      </c>
    </row>
    <row r="76" spans="2:7" x14ac:dyDescent="0.15">
      <c r="B76" s="250" t="s">
        <v>5600</v>
      </c>
      <c r="E76" s="25"/>
      <c r="G76" s="250" t="s">
        <v>5573</v>
      </c>
    </row>
    <row r="77" spans="2:7" x14ac:dyDescent="0.15">
      <c r="B77" s="250" t="s">
        <v>5644</v>
      </c>
      <c r="E77" s="25" t="s">
        <v>5645</v>
      </c>
      <c r="G77" s="250" t="s">
        <v>5646</v>
      </c>
    </row>
    <row r="78" spans="2:7" x14ac:dyDescent="0.15">
      <c r="B78" s="250" t="s">
        <v>5633</v>
      </c>
      <c r="E78" s="25" t="s">
        <v>5635</v>
      </c>
      <c r="G78" s="250" t="s">
        <v>5634</v>
      </c>
    </row>
    <row r="79" spans="2:7" x14ac:dyDescent="0.15">
      <c r="B79" s="250" t="s">
        <v>5575</v>
      </c>
      <c r="E79" s="25"/>
      <c r="G79" s="250" t="s">
        <v>5573</v>
      </c>
    </row>
    <row r="80" spans="2:7" x14ac:dyDescent="0.15">
      <c r="B80" s="250" t="s">
        <v>4969</v>
      </c>
      <c r="E80" s="25"/>
      <c r="G80" s="250" t="s">
        <v>5573</v>
      </c>
    </row>
    <row r="81" spans="2:7" x14ac:dyDescent="0.15">
      <c r="B81" s="250" t="s">
        <v>5872</v>
      </c>
      <c r="E81" s="25" t="s">
        <v>5873</v>
      </c>
      <c r="G81" s="250" t="s">
        <v>5874</v>
      </c>
    </row>
    <row r="82" spans="2:7" x14ac:dyDescent="0.15">
      <c r="B82" s="250" t="s">
        <v>5672</v>
      </c>
      <c r="E82" s="25"/>
      <c r="G82" s="250" t="s">
        <v>5655</v>
      </c>
    </row>
    <row r="83" spans="2:7" x14ac:dyDescent="0.15">
      <c r="B83" s="250" t="s">
        <v>5673</v>
      </c>
      <c r="E83" s="25"/>
      <c r="G83" s="250" t="s">
        <v>5655</v>
      </c>
    </row>
    <row r="84" spans="2:7" x14ac:dyDescent="0.15">
      <c r="B84" s="250" t="s">
        <v>5615</v>
      </c>
      <c r="E84" s="25"/>
      <c r="G84" s="250" t="s">
        <v>5573</v>
      </c>
    </row>
    <row r="85" spans="2:7" x14ac:dyDescent="0.15">
      <c r="B85" s="250" t="s">
        <v>5674</v>
      </c>
      <c r="E85" s="25"/>
      <c r="G85" s="250" t="s">
        <v>5655</v>
      </c>
    </row>
    <row r="86" spans="2:7" x14ac:dyDescent="0.15">
      <c r="B86" s="250" t="s">
        <v>5560</v>
      </c>
      <c r="E86" s="25" t="s">
        <v>5561</v>
      </c>
      <c r="G86" s="250" t="s">
        <v>5570</v>
      </c>
    </row>
    <row r="87" spans="2:7" x14ac:dyDescent="0.15">
      <c r="B87" s="250" t="s">
        <v>5675</v>
      </c>
      <c r="E87" s="25"/>
      <c r="G87" s="250" t="s">
        <v>5655</v>
      </c>
    </row>
    <row r="88" spans="2:7" x14ac:dyDescent="0.15">
      <c r="B88" s="250" t="s">
        <v>5610</v>
      </c>
      <c r="E88" s="25"/>
      <c r="G88" s="250" t="s">
        <v>5573</v>
      </c>
    </row>
    <row r="89" spans="2:7" x14ac:dyDescent="0.15">
      <c r="B89" s="250" t="s">
        <v>5015</v>
      </c>
      <c r="D89" s="263" t="s">
        <v>4672</v>
      </c>
      <c r="E89" s="25" t="s">
        <v>5019</v>
      </c>
      <c r="G89" s="256" t="s">
        <v>7620</v>
      </c>
    </row>
    <row r="90" spans="2:7" x14ac:dyDescent="0.15">
      <c r="B90" s="250" t="s">
        <v>5613</v>
      </c>
      <c r="E90" s="25"/>
      <c r="G90" s="250" t="s">
        <v>5573</v>
      </c>
    </row>
    <row r="91" spans="2:7" x14ac:dyDescent="0.15">
      <c r="B91" s="250" t="s">
        <v>5625</v>
      </c>
      <c r="E91" s="25"/>
      <c r="G91" s="250" t="s">
        <v>5573</v>
      </c>
    </row>
    <row r="92" spans="2:7" x14ac:dyDescent="0.15">
      <c r="B92" s="250" t="s">
        <v>5612</v>
      </c>
      <c r="E92" s="25"/>
      <c r="G92" s="250" t="s">
        <v>5573</v>
      </c>
    </row>
    <row r="93" spans="2:7" x14ac:dyDescent="0.15">
      <c r="B93" s="250" t="s">
        <v>5616</v>
      </c>
      <c r="E93" s="25"/>
      <c r="G93" s="250" t="s">
        <v>5573</v>
      </c>
    </row>
    <row r="94" spans="2:7" x14ac:dyDescent="0.15">
      <c r="B94" s="250" t="s">
        <v>5590</v>
      </c>
      <c r="E94" s="25"/>
      <c r="G94" s="250" t="s">
        <v>5573</v>
      </c>
    </row>
    <row r="95" spans="2:7" x14ac:dyDescent="0.15">
      <c r="B95" s="254" t="s">
        <v>5586</v>
      </c>
      <c r="E95" s="25"/>
      <c r="G95" s="250" t="s">
        <v>5573</v>
      </c>
    </row>
    <row r="96" spans="2:7" x14ac:dyDescent="0.15">
      <c r="B96" s="250" t="s">
        <v>5553</v>
      </c>
      <c r="C96" s="250"/>
      <c r="E96" s="25" t="s">
        <v>5554</v>
      </c>
      <c r="G96" s="250" t="s">
        <v>5555</v>
      </c>
    </row>
    <row r="97" spans="2:8" x14ac:dyDescent="0.15">
      <c r="B97" s="250" t="s">
        <v>5583</v>
      </c>
      <c r="E97" s="25"/>
      <c r="G97" s="250" t="s">
        <v>5573</v>
      </c>
    </row>
    <row r="98" spans="2:8" x14ac:dyDescent="0.15">
      <c r="B98" s="250" t="s">
        <v>5587</v>
      </c>
      <c r="E98" s="25"/>
      <c r="G98" s="250" t="s">
        <v>5573</v>
      </c>
    </row>
    <row r="99" spans="2:8" x14ac:dyDescent="0.15">
      <c r="B99" s="250" t="s">
        <v>5881</v>
      </c>
      <c r="E99" s="25" t="s">
        <v>5882</v>
      </c>
      <c r="G99" s="250" t="s">
        <v>5874</v>
      </c>
    </row>
    <row r="100" spans="2:8" x14ac:dyDescent="0.15">
      <c r="B100" s="250" t="s">
        <v>5556</v>
      </c>
      <c r="E100" s="25" t="s">
        <v>5557</v>
      </c>
      <c r="G100" s="250" t="s">
        <v>5570</v>
      </c>
    </row>
    <row r="101" spans="2:8" x14ac:dyDescent="0.15">
      <c r="B101" s="250" t="s">
        <v>5602</v>
      </c>
      <c r="E101" s="25"/>
      <c r="G101" s="250" t="s">
        <v>5573</v>
      </c>
    </row>
    <row r="102" spans="2:8" x14ac:dyDescent="0.15">
      <c r="B102" s="250" t="s">
        <v>5619</v>
      </c>
      <c r="E102" s="25"/>
      <c r="G102" s="250" t="s">
        <v>5573</v>
      </c>
    </row>
    <row r="103" spans="2:8" x14ac:dyDescent="0.15">
      <c r="B103" s="250" t="s">
        <v>5348</v>
      </c>
      <c r="E103" s="25" t="s">
        <v>5347</v>
      </c>
      <c r="G103" s="250" t="s">
        <v>5350</v>
      </c>
    </row>
    <row r="104" spans="2:8" x14ac:dyDescent="0.15">
      <c r="B104" s="250" t="s">
        <v>5402</v>
      </c>
      <c r="H104" s="250" t="s">
        <v>5410</v>
      </c>
    </row>
    <row r="105" spans="2:8" x14ac:dyDescent="0.15">
      <c r="B105" s="250" t="s">
        <v>5579</v>
      </c>
      <c r="G105" s="250" t="s">
        <v>5573</v>
      </c>
    </row>
    <row r="106" spans="2:8" x14ac:dyDescent="0.15">
      <c r="B106" s="250" t="s">
        <v>5676</v>
      </c>
      <c r="G106" s="250" t="s">
        <v>5655</v>
      </c>
    </row>
    <row r="107" spans="2:8" x14ac:dyDescent="0.15">
      <c r="B107" s="256" t="s">
        <v>7631</v>
      </c>
      <c r="E107" s="25" t="s">
        <v>7632</v>
      </c>
      <c r="G107" s="256" t="s">
        <v>7620</v>
      </c>
    </row>
    <row r="108" spans="2:8" x14ac:dyDescent="0.15">
      <c r="B108" s="250" t="s">
        <v>5607</v>
      </c>
      <c r="G108" s="250" t="s">
        <v>5573</v>
      </c>
    </row>
    <row r="109" spans="2:8" x14ac:dyDescent="0.15">
      <c r="B109" s="250" t="s">
        <v>3667</v>
      </c>
      <c r="C109" s="251">
        <v>2001</v>
      </c>
      <c r="D109" s="251" t="s">
        <v>3407</v>
      </c>
      <c r="E109" s="25" t="s">
        <v>5552</v>
      </c>
      <c r="G109" s="250" t="s">
        <v>5632</v>
      </c>
      <c r="H109" s="256" t="s">
        <v>7633</v>
      </c>
    </row>
    <row r="110" spans="2:8" x14ac:dyDescent="0.15">
      <c r="B110" s="250" t="s">
        <v>5580</v>
      </c>
      <c r="E110" s="25"/>
      <c r="G110" s="250" t="s">
        <v>5573</v>
      </c>
    </row>
    <row r="111" spans="2:8" x14ac:dyDescent="0.15">
      <c r="B111" s="250" t="s">
        <v>5677</v>
      </c>
      <c r="E111" s="25"/>
      <c r="G111" s="250" t="s">
        <v>5655</v>
      </c>
    </row>
    <row r="112" spans="2:8" x14ac:dyDescent="0.15">
      <c r="B112" s="250" t="s">
        <v>4544</v>
      </c>
      <c r="E112" s="25" t="s">
        <v>5875</v>
      </c>
      <c r="G112" s="250" t="s">
        <v>5874</v>
      </c>
    </row>
    <row r="113" spans="2:11" x14ac:dyDescent="0.15">
      <c r="B113" s="256" t="s">
        <v>7621</v>
      </c>
      <c r="E113" s="25" t="s">
        <v>7622</v>
      </c>
      <c r="G113" s="256" t="s">
        <v>7620</v>
      </c>
    </row>
    <row r="114" spans="2:11" x14ac:dyDescent="0.15">
      <c r="B114" s="250" t="s">
        <v>5606</v>
      </c>
      <c r="E114" s="25"/>
      <c r="G114" s="250" t="s">
        <v>5573</v>
      </c>
    </row>
    <row r="115" spans="2:11" x14ac:dyDescent="0.15">
      <c r="B115" s="250" t="s">
        <v>5681</v>
      </c>
      <c r="E115" s="25"/>
      <c r="G115" s="250" t="s">
        <v>5655</v>
      </c>
    </row>
    <row r="116" spans="2:11" x14ac:dyDescent="0.15">
      <c r="B116" s="250" t="s">
        <v>4305</v>
      </c>
      <c r="E116" s="25"/>
      <c r="H116" s="250" t="s">
        <v>6328</v>
      </c>
    </row>
    <row r="117" spans="2:11" x14ac:dyDescent="0.15">
      <c r="B117" s="250" t="s">
        <v>4133</v>
      </c>
      <c r="C117" s="251" t="s">
        <v>5647</v>
      </c>
      <c r="D117" s="251">
        <v>2015</v>
      </c>
      <c r="E117" s="25" t="s">
        <v>5648</v>
      </c>
      <c r="G117" s="250" t="s">
        <v>5678</v>
      </c>
      <c r="H117" s="250" t="s">
        <v>5531</v>
      </c>
    </row>
    <row r="118" spans="2:11" x14ac:dyDescent="0.15">
      <c r="B118" s="250" t="s">
        <v>5577</v>
      </c>
      <c r="G118" s="250" t="s">
        <v>5573</v>
      </c>
    </row>
    <row r="119" spans="2:11" x14ac:dyDescent="0.15">
      <c r="B119" s="250" t="s">
        <v>5529</v>
      </c>
      <c r="G119" s="250" t="s">
        <v>5532</v>
      </c>
    </row>
    <row r="120" spans="2:11" x14ac:dyDescent="0.15">
      <c r="B120" s="250" t="s">
        <v>5679</v>
      </c>
      <c r="G120" s="250" t="s">
        <v>5655</v>
      </c>
    </row>
    <row r="121" spans="2:11" x14ac:dyDescent="0.15">
      <c r="B121" s="250" t="s">
        <v>5585</v>
      </c>
      <c r="G121" s="250" t="s">
        <v>5573</v>
      </c>
    </row>
    <row r="122" spans="2:11" x14ac:dyDescent="0.15">
      <c r="B122" s="250" t="s">
        <v>5419</v>
      </c>
      <c r="E122" s="25" t="s">
        <v>5420</v>
      </c>
      <c r="G122" s="250" t="s">
        <v>5424</v>
      </c>
    </row>
    <row r="123" spans="2:11" x14ac:dyDescent="0.15">
      <c r="B123" s="250" t="s">
        <v>5581</v>
      </c>
      <c r="E123" s="25"/>
      <c r="G123" s="250" t="s">
        <v>5573</v>
      </c>
    </row>
    <row r="124" spans="2:11" x14ac:dyDescent="0.15">
      <c r="B124" s="250" t="s">
        <v>5680</v>
      </c>
      <c r="E124" s="25"/>
      <c r="G124" s="250" t="s">
        <v>5655</v>
      </c>
    </row>
    <row r="125" spans="2:11" x14ac:dyDescent="0.15">
      <c r="B125" s="250" t="s">
        <v>5682</v>
      </c>
      <c r="E125" s="25"/>
      <c r="G125" s="250" t="s">
        <v>5655</v>
      </c>
    </row>
    <row r="126" spans="2:11" x14ac:dyDescent="0.15">
      <c r="B126" s="250" t="s">
        <v>5683</v>
      </c>
      <c r="E126" s="25"/>
      <c r="G126" s="250" t="s">
        <v>5655</v>
      </c>
    </row>
    <row r="127" spans="2:11" x14ac:dyDescent="0.15">
      <c r="B127" s="250" t="s">
        <v>5685</v>
      </c>
      <c r="E127" s="25"/>
      <c r="G127" s="250" t="s">
        <v>5655</v>
      </c>
    </row>
    <row r="128" spans="2:11" x14ac:dyDescent="0.15">
      <c r="B128" s="250" t="s">
        <v>4536</v>
      </c>
      <c r="C128" s="263" t="s">
        <v>5913</v>
      </c>
      <c r="D128" s="263" t="s">
        <v>4672</v>
      </c>
      <c r="E128" s="25" t="s">
        <v>5018</v>
      </c>
      <c r="G128" s="256" t="s">
        <v>7627</v>
      </c>
      <c r="H128" s="256" t="s">
        <v>7628</v>
      </c>
      <c r="K128" s="256" t="s">
        <v>7629</v>
      </c>
    </row>
    <row r="129" spans="2:10" x14ac:dyDescent="0.15">
      <c r="B129" s="250" t="s">
        <v>5618</v>
      </c>
      <c r="E129" s="25"/>
      <c r="G129" s="250" t="s">
        <v>5573</v>
      </c>
    </row>
    <row r="130" spans="2:10" x14ac:dyDescent="0.15">
      <c r="B130" s="250" t="s">
        <v>5684</v>
      </c>
      <c r="E130" s="25"/>
      <c r="G130" s="250" t="s">
        <v>5655</v>
      </c>
    </row>
    <row r="131" spans="2:10" x14ac:dyDescent="0.15">
      <c r="B131" s="250" t="s">
        <v>5686</v>
      </c>
      <c r="E131" s="25"/>
      <c r="G131" s="250" t="s">
        <v>5655</v>
      </c>
    </row>
    <row r="132" spans="2:10" x14ac:dyDescent="0.15">
      <c r="B132" s="250" t="s">
        <v>4627</v>
      </c>
      <c r="E132" s="25"/>
      <c r="G132" s="250" t="s">
        <v>5573</v>
      </c>
    </row>
    <row r="133" spans="2:10" x14ac:dyDescent="0.15">
      <c r="B133" s="250" t="s">
        <v>5688</v>
      </c>
      <c r="E133" s="25"/>
      <c r="G133" s="250" t="s">
        <v>5655</v>
      </c>
    </row>
    <row r="134" spans="2:10" x14ac:dyDescent="0.15">
      <c r="B134" s="250" t="s">
        <v>5879</v>
      </c>
      <c r="E134" s="25" t="s">
        <v>5880</v>
      </c>
      <c r="G134" s="250" t="s">
        <v>5874</v>
      </c>
    </row>
    <row r="135" spans="2:10" x14ac:dyDescent="0.15">
      <c r="B135" s="250" t="s">
        <v>5595</v>
      </c>
      <c r="E135" s="25"/>
      <c r="G135" s="250" t="s">
        <v>5573</v>
      </c>
    </row>
    <row r="136" spans="2:10" x14ac:dyDescent="0.15">
      <c r="B136" s="250" t="s">
        <v>5687</v>
      </c>
      <c r="E136" s="25"/>
      <c r="G136" s="250" t="s">
        <v>5655</v>
      </c>
    </row>
    <row r="137" spans="2:10" x14ac:dyDescent="0.15">
      <c r="B137" s="256" t="s">
        <v>7634</v>
      </c>
      <c r="E137" s="25" t="s">
        <v>7635</v>
      </c>
      <c r="G137" s="256" t="s">
        <v>7620</v>
      </c>
    </row>
    <row r="138" spans="2:10" x14ac:dyDescent="0.15">
      <c r="B138" s="250" t="s">
        <v>5689</v>
      </c>
      <c r="E138" s="25"/>
      <c r="G138" s="250" t="s">
        <v>5655</v>
      </c>
    </row>
    <row r="139" spans="2:10" x14ac:dyDescent="0.15">
      <c r="B139" s="250" t="s">
        <v>5603</v>
      </c>
      <c r="E139" s="25"/>
      <c r="G139" s="250" t="s">
        <v>5573</v>
      </c>
    </row>
    <row r="140" spans="2:10" x14ac:dyDescent="0.15">
      <c r="B140" s="250" t="s">
        <v>5564</v>
      </c>
      <c r="E140" s="25" t="s">
        <v>5565</v>
      </c>
      <c r="G140" s="250" t="s">
        <v>5555</v>
      </c>
    </row>
    <row r="141" spans="2:10" x14ac:dyDescent="0.15">
      <c r="B141" s="250" t="s">
        <v>5617</v>
      </c>
      <c r="G141" s="250" t="s">
        <v>5573</v>
      </c>
    </row>
    <row r="142" spans="2:10" x14ac:dyDescent="0.15">
      <c r="B142" s="250" t="s">
        <v>4555</v>
      </c>
      <c r="C142" s="253">
        <v>42522</v>
      </c>
      <c r="D142" s="253">
        <v>44774</v>
      </c>
      <c r="E142" s="25" t="s">
        <v>7113</v>
      </c>
      <c r="F142" s="25" t="s">
        <v>7114</v>
      </c>
      <c r="G142" s="250" t="s">
        <v>5573</v>
      </c>
      <c r="H142" s="250" t="s">
        <v>7111</v>
      </c>
      <c r="J142" s="25"/>
    </row>
    <row r="147" spans="2:4" x14ac:dyDescent="0.15">
      <c r="C147" s="255"/>
      <c r="D147" s="255"/>
    </row>
    <row r="150" spans="2:4" x14ac:dyDescent="0.15">
      <c r="B150" s="250" t="s">
        <v>5813</v>
      </c>
    </row>
    <row r="151" spans="2:4" x14ac:dyDescent="0.15">
      <c r="B151" s="250" t="s">
        <v>5814</v>
      </c>
    </row>
    <row r="152" spans="2:4" x14ac:dyDescent="0.15">
      <c r="B152" s="250" t="s">
        <v>5815</v>
      </c>
    </row>
    <row r="153" spans="2:4" x14ac:dyDescent="0.15">
      <c r="B153" s="250" t="s">
        <v>5816</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1167</v>
      </c>
    </row>
    <row r="2" spans="1:12" x14ac:dyDescent="0.15">
      <c r="B2" s="116" t="s">
        <v>4529</v>
      </c>
      <c r="C2" s="177" t="s">
        <v>4005</v>
      </c>
      <c r="D2" s="177" t="s">
        <v>6624</v>
      </c>
      <c r="E2" s="116" t="s">
        <v>4670</v>
      </c>
      <c r="F2" s="135" t="s">
        <v>4653</v>
      </c>
      <c r="G2" s="135" t="s">
        <v>4532</v>
      </c>
      <c r="H2" s="116" t="s">
        <v>4671</v>
      </c>
      <c r="I2" s="116" t="s">
        <v>1152</v>
      </c>
      <c r="J2" s="116" t="s">
        <v>5002</v>
      </c>
      <c r="K2" s="116" t="s">
        <v>2297</v>
      </c>
      <c r="L2" s="116" t="s">
        <v>4258</v>
      </c>
    </row>
    <row r="3" spans="1:12" x14ac:dyDescent="0.15">
      <c r="B3" s="116">
        <v>1</v>
      </c>
      <c r="C3" s="116" t="s">
        <v>4527</v>
      </c>
      <c r="D3" s="116" t="s">
        <v>4534</v>
      </c>
      <c r="E3" s="116" t="s">
        <v>6324</v>
      </c>
      <c r="F3" s="136">
        <v>42339</v>
      </c>
      <c r="G3" s="135" t="s">
        <v>4672</v>
      </c>
    </row>
    <row r="4" spans="1:12" x14ac:dyDescent="0.15">
      <c r="B4" s="116">
        <v>2</v>
      </c>
      <c r="C4" s="116" t="s">
        <v>4533</v>
      </c>
      <c r="D4" s="116" t="s">
        <v>4690</v>
      </c>
      <c r="E4" s="116" t="s">
        <v>4658</v>
      </c>
      <c r="F4" s="136">
        <v>42339</v>
      </c>
      <c r="G4" s="135" t="s">
        <v>4672</v>
      </c>
    </row>
    <row r="5" spans="1:12" x14ac:dyDescent="0.15">
      <c r="B5" s="116">
        <v>3</v>
      </c>
      <c r="C5" s="116" t="s">
        <v>4513</v>
      </c>
      <c r="D5" s="116" t="s">
        <v>4528</v>
      </c>
      <c r="E5" s="116" t="s">
        <v>6323</v>
      </c>
      <c r="F5" s="136">
        <v>42339</v>
      </c>
      <c r="G5" s="135" t="s">
        <v>4672</v>
      </c>
    </row>
    <row r="6" spans="1:12" x14ac:dyDescent="0.15">
      <c r="B6" s="116">
        <v>4</v>
      </c>
      <c r="C6" s="116" t="s">
        <v>4530</v>
      </c>
      <c r="D6" s="116" t="s">
        <v>4528</v>
      </c>
      <c r="E6" s="116" t="s">
        <v>6323</v>
      </c>
      <c r="F6" s="136">
        <v>42339</v>
      </c>
      <c r="G6" s="158">
        <v>2018</v>
      </c>
      <c r="H6" s="116" t="s">
        <v>1</v>
      </c>
    </row>
    <row r="7" spans="1:12" x14ac:dyDescent="0.15">
      <c r="B7" s="116">
        <v>5</v>
      </c>
      <c r="C7" s="116" t="s">
        <v>4508</v>
      </c>
      <c r="D7" s="116" t="s">
        <v>4509</v>
      </c>
      <c r="E7" s="116" t="s">
        <v>4510</v>
      </c>
      <c r="F7" s="136">
        <v>42339</v>
      </c>
      <c r="G7" s="135" t="s">
        <v>4672</v>
      </c>
      <c r="H7" s="25" t="s">
        <v>4987</v>
      </c>
      <c r="I7" s="116" t="s">
        <v>4981</v>
      </c>
      <c r="J7" s="25" t="s">
        <v>5010</v>
      </c>
    </row>
    <row r="8" spans="1:12" x14ac:dyDescent="0.15">
      <c r="B8" s="116">
        <v>6</v>
      </c>
      <c r="C8" s="117" t="s">
        <v>4133</v>
      </c>
      <c r="D8" s="117" t="s">
        <v>4652</v>
      </c>
      <c r="F8" s="136">
        <v>42339</v>
      </c>
      <c r="G8" s="135" t="s">
        <v>4672</v>
      </c>
      <c r="H8" s="42" t="s">
        <v>4132</v>
      </c>
    </row>
    <row r="9" spans="1:12" x14ac:dyDescent="0.15">
      <c r="B9" s="116">
        <v>7</v>
      </c>
      <c r="C9" s="116" t="s">
        <v>4545</v>
      </c>
      <c r="D9" s="116" t="s">
        <v>4711</v>
      </c>
      <c r="F9" s="136">
        <v>42339</v>
      </c>
      <c r="G9" s="135" t="s">
        <v>4672</v>
      </c>
      <c r="H9" s="25" t="s">
        <v>5401</v>
      </c>
    </row>
    <row r="10" spans="1:12" x14ac:dyDescent="0.15">
      <c r="B10" s="116">
        <v>8</v>
      </c>
      <c r="C10" s="116" t="s">
        <v>4663</v>
      </c>
      <c r="D10" s="116" t="s">
        <v>4665</v>
      </c>
      <c r="E10" s="116" t="s">
        <v>4664</v>
      </c>
      <c r="F10" s="136">
        <v>42339</v>
      </c>
      <c r="G10" s="135" t="s">
        <v>4672</v>
      </c>
      <c r="I10" s="116" t="s">
        <v>6107</v>
      </c>
    </row>
    <row r="11" spans="1:12" s="152" customFormat="1" x14ac:dyDescent="0.15">
      <c r="B11" s="152">
        <v>9</v>
      </c>
      <c r="C11" s="152" t="s">
        <v>5414</v>
      </c>
      <c r="D11" s="152" t="s">
        <v>6313</v>
      </c>
      <c r="E11" s="152" t="s">
        <v>6314</v>
      </c>
      <c r="F11" s="153">
        <v>42339</v>
      </c>
      <c r="G11" s="154">
        <v>43070</v>
      </c>
      <c r="H11" s="153" t="s">
        <v>1</v>
      </c>
      <c r="I11" s="152" t="s">
        <v>5404</v>
      </c>
      <c r="K11" s="152" t="s">
        <v>6315</v>
      </c>
    </row>
    <row r="12" spans="1:12" s="152" customFormat="1" x14ac:dyDescent="0.15">
      <c r="B12" s="152">
        <f>B11+1</f>
        <v>10</v>
      </c>
      <c r="C12" s="152" t="s">
        <v>4535</v>
      </c>
      <c r="D12" s="152" t="s">
        <v>5407</v>
      </c>
      <c r="E12" s="152" t="s">
        <v>5408</v>
      </c>
      <c r="F12" s="153">
        <v>42430</v>
      </c>
      <c r="G12" s="154">
        <v>42795</v>
      </c>
      <c r="H12" s="152" t="s">
        <v>1</v>
      </c>
    </row>
    <row r="13" spans="1:12" s="152" customFormat="1" x14ac:dyDescent="0.15">
      <c r="B13" s="152">
        <f>B12+1</f>
        <v>11</v>
      </c>
      <c r="C13" s="152" t="s">
        <v>5393</v>
      </c>
      <c r="D13" s="152" t="s">
        <v>6322</v>
      </c>
      <c r="E13" s="152" t="s">
        <v>4662</v>
      </c>
      <c r="F13" s="153">
        <v>42461</v>
      </c>
      <c r="G13" s="154">
        <v>43678</v>
      </c>
      <c r="I13" s="152" t="s">
        <v>5389</v>
      </c>
    </row>
    <row r="14" spans="1:12" s="152" customFormat="1" x14ac:dyDescent="0.15">
      <c r="B14" s="152">
        <f>B13+1</f>
        <v>12</v>
      </c>
      <c r="C14" s="152" t="s">
        <v>5402</v>
      </c>
      <c r="D14" s="152" t="s">
        <v>5411</v>
      </c>
      <c r="E14" s="152" t="s">
        <v>5413</v>
      </c>
      <c r="F14" s="153">
        <v>42491</v>
      </c>
      <c r="G14" s="154">
        <v>43282</v>
      </c>
      <c r="H14" s="155" t="s">
        <v>5403</v>
      </c>
      <c r="I14" s="152" t="s">
        <v>5404</v>
      </c>
      <c r="K14" s="152" t="s">
        <v>5412</v>
      </c>
    </row>
    <row r="15" spans="1:12" x14ac:dyDescent="0.15">
      <c r="B15" s="116">
        <f t="shared" ref="B15:B75" si="0">B14+1</f>
        <v>13</v>
      </c>
      <c r="C15" s="116" t="s">
        <v>4612</v>
      </c>
      <c r="D15" s="116" t="s">
        <v>4613</v>
      </c>
      <c r="F15" s="137">
        <v>42491</v>
      </c>
      <c r="G15" s="135" t="s">
        <v>4672</v>
      </c>
      <c r="I15" s="116" t="s">
        <v>6110</v>
      </c>
      <c r="L15" s="116" t="s">
        <v>5001</v>
      </c>
    </row>
    <row r="16" spans="1:12" x14ac:dyDescent="0.15">
      <c r="B16" s="116">
        <f t="shared" si="0"/>
        <v>14</v>
      </c>
      <c r="C16" s="116" t="s">
        <v>5000</v>
      </c>
      <c r="D16" s="116" t="s">
        <v>6117</v>
      </c>
      <c r="E16" s="116" t="s">
        <v>4677</v>
      </c>
      <c r="F16" s="136">
        <v>42795</v>
      </c>
      <c r="G16" s="135" t="s">
        <v>4672</v>
      </c>
      <c r="L16" s="116" t="s">
        <v>4989</v>
      </c>
    </row>
    <row r="17" spans="2:12" x14ac:dyDescent="0.15">
      <c r="B17" s="116">
        <f t="shared" si="0"/>
        <v>15</v>
      </c>
      <c r="C17" s="116" t="s">
        <v>4704</v>
      </c>
      <c r="D17" s="116" t="s">
        <v>4705</v>
      </c>
      <c r="F17" s="137">
        <v>42879</v>
      </c>
      <c r="G17" s="135" t="s">
        <v>4672</v>
      </c>
      <c r="H17" s="25" t="s">
        <v>5004</v>
      </c>
      <c r="J17" s="25" t="s">
        <v>5005</v>
      </c>
      <c r="K17" s="116" t="s">
        <v>6118</v>
      </c>
      <c r="L17" s="116" t="s">
        <v>5003</v>
      </c>
    </row>
    <row r="18" spans="2:12" s="152" customFormat="1" x14ac:dyDescent="0.15">
      <c r="B18" s="152">
        <f t="shared" si="0"/>
        <v>16</v>
      </c>
      <c r="C18" s="152" t="s">
        <v>4985</v>
      </c>
      <c r="D18" s="152" t="s">
        <v>5337</v>
      </c>
      <c r="E18" s="152" t="s">
        <v>5338</v>
      </c>
      <c r="F18" s="153">
        <v>42887</v>
      </c>
      <c r="G18" s="154">
        <v>44440</v>
      </c>
      <c r="H18" s="155" t="s">
        <v>5336</v>
      </c>
      <c r="I18" s="152" t="s">
        <v>6112</v>
      </c>
      <c r="J18" s="155" t="s">
        <v>5335</v>
      </c>
      <c r="L18" s="152" t="s">
        <v>6111</v>
      </c>
    </row>
    <row r="19" spans="2:12" s="152" customFormat="1" x14ac:dyDescent="0.15">
      <c r="B19" s="152">
        <f t="shared" si="0"/>
        <v>17</v>
      </c>
      <c r="C19" s="152" t="s">
        <v>4982</v>
      </c>
      <c r="D19" s="152" t="s">
        <v>5343</v>
      </c>
      <c r="E19" s="152" t="s">
        <v>5339</v>
      </c>
      <c r="F19" s="153">
        <v>42887</v>
      </c>
      <c r="G19" s="154">
        <v>44348</v>
      </c>
      <c r="H19" s="155" t="s">
        <v>5341</v>
      </c>
      <c r="J19" s="155" t="s">
        <v>5342</v>
      </c>
      <c r="L19" s="152" t="s">
        <v>4986</v>
      </c>
    </row>
    <row r="20" spans="2:12" x14ac:dyDescent="0.15">
      <c r="B20" s="116">
        <f t="shared" si="0"/>
        <v>18</v>
      </c>
      <c r="C20" s="116" t="s">
        <v>4734</v>
      </c>
      <c r="D20" s="116" t="s">
        <v>5398</v>
      </c>
      <c r="E20" s="116" t="s">
        <v>5400</v>
      </c>
      <c r="F20" s="137">
        <v>42935</v>
      </c>
      <c r="G20" s="135" t="s">
        <v>4672</v>
      </c>
      <c r="H20" s="25" t="s">
        <v>5415</v>
      </c>
      <c r="I20" s="116" t="s">
        <v>6114</v>
      </c>
      <c r="J20" s="25" t="s">
        <v>5397</v>
      </c>
      <c r="L20" s="116" t="s">
        <v>6113</v>
      </c>
    </row>
    <row r="21" spans="2:12" s="156" customFormat="1" x14ac:dyDescent="0.15">
      <c r="B21" s="156">
        <f t="shared" si="0"/>
        <v>19</v>
      </c>
      <c r="C21" s="156" t="s">
        <v>4970</v>
      </c>
      <c r="D21" s="156" t="s">
        <v>1547</v>
      </c>
      <c r="E21" s="156" t="s">
        <v>5395</v>
      </c>
      <c r="F21" s="157">
        <v>42943</v>
      </c>
      <c r="G21" s="154">
        <v>44531</v>
      </c>
      <c r="H21" s="156" t="s">
        <v>1</v>
      </c>
      <c r="K21" s="156" t="s">
        <v>5396</v>
      </c>
      <c r="L21" s="156" t="s">
        <v>5390</v>
      </c>
    </row>
    <row r="22" spans="2:12" x14ac:dyDescent="0.15">
      <c r="B22" s="116">
        <f t="shared" si="0"/>
        <v>20</v>
      </c>
      <c r="C22" s="116" t="s">
        <v>4692</v>
      </c>
      <c r="D22" s="116" t="s">
        <v>4947</v>
      </c>
      <c r="E22" s="116" t="s">
        <v>4669</v>
      </c>
      <c r="F22" s="136">
        <v>43101</v>
      </c>
      <c r="G22" s="135" t="s">
        <v>4672</v>
      </c>
      <c r="I22" s="116" t="s">
        <v>6108</v>
      </c>
      <c r="K22" s="116" t="s">
        <v>6109</v>
      </c>
    </row>
    <row r="23" spans="2:12" x14ac:dyDescent="0.15">
      <c r="B23" s="116">
        <f t="shared" si="0"/>
        <v>21</v>
      </c>
      <c r="C23" s="116" t="s">
        <v>4693</v>
      </c>
      <c r="D23" s="116" t="s">
        <v>4694</v>
      </c>
      <c r="F23" s="136">
        <v>43125</v>
      </c>
      <c r="G23" s="135" t="s">
        <v>4672</v>
      </c>
      <c r="J23" s="25" t="s">
        <v>5014</v>
      </c>
      <c r="L23" s="116" t="s">
        <v>5011</v>
      </c>
    </row>
    <row r="24" spans="2:12" s="152" customFormat="1" x14ac:dyDescent="0.15">
      <c r="B24" s="116">
        <f t="shared" si="0"/>
        <v>22</v>
      </c>
      <c r="C24" s="152" t="s">
        <v>5391</v>
      </c>
      <c r="E24" s="152" t="s">
        <v>6320</v>
      </c>
      <c r="F24" s="153">
        <v>43132</v>
      </c>
      <c r="G24" s="154">
        <v>44805</v>
      </c>
      <c r="I24" s="152" t="s">
        <v>5389</v>
      </c>
    </row>
    <row r="25" spans="2:12" x14ac:dyDescent="0.15">
      <c r="B25" s="116">
        <f t="shared" si="0"/>
        <v>23</v>
      </c>
      <c r="C25" s="116" t="s">
        <v>4976</v>
      </c>
      <c r="D25" s="116" t="s">
        <v>5331</v>
      </c>
      <c r="E25" s="116" t="s">
        <v>5334</v>
      </c>
      <c r="F25" s="137">
        <v>43167</v>
      </c>
      <c r="G25" s="135" t="s">
        <v>4672</v>
      </c>
      <c r="H25" s="25" t="s">
        <v>5330</v>
      </c>
      <c r="I25" s="25" t="s">
        <v>6115</v>
      </c>
      <c r="J25" s="25" t="s">
        <v>5329</v>
      </c>
      <c r="L25" s="116" t="s">
        <v>6116</v>
      </c>
    </row>
    <row r="26" spans="2:12" x14ac:dyDescent="0.15">
      <c r="B26" s="116">
        <f t="shared" si="0"/>
        <v>24</v>
      </c>
      <c r="C26" s="116" t="s">
        <v>4953</v>
      </c>
      <c r="E26" s="116" t="s">
        <v>6146</v>
      </c>
      <c r="F26" s="136">
        <v>43191</v>
      </c>
      <c r="G26" s="135" t="s">
        <v>4672</v>
      </c>
      <c r="I26" s="116" t="s">
        <v>4952</v>
      </c>
      <c r="K26" s="116" t="s">
        <v>6312</v>
      </c>
    </row>
    <row r="27" spans="2:12" x14ac:dyDescent="0.15">
      <c r="B27" s="116">
        <f t="shared" si="0"/>
        <v>25</v>
      </c>
      <c r="C27" s="116" t="s">
        <v>4700</v>
      </c>
      <c r="D27" s="116" t="s">
        <v>4701</v>
      </c>
      <c r="E27" s="116" t="s">
        <v>6146</v>
      </c>
      <c r="F27" s="136">
        <v>43221</v>
      </c>
      <c r="G27" s="135" t="s">
        <v>4672</v>
      </c>
      <c r="I27" s="25" t="s">
        <v>6148</v>
      </c>
      <c r="K27" s="116" t="s">
        <v>6147</v>
      </c>
      <c r="L27" s="116" t="s">
        <v>4952</v>
      </c>
    </row>
    <row r="28" spans="2:12" x14ac:dyDescent="0.15">
      <c r="B28" s="116">
        <f t="shared" si="0"/>
        <v>26</v>
      </c>
      <c r="C28" s="116" t="s">
        <v>4646</v>
      </c>
      <c r="D28" s="116" t="s">
        <v>4613</v>
      </c>
      <c r="F28" s="136">
        <v>43252</v>
      </c>
      <c r="G28" s="135" t="s">
        <v>4672</v>
      </c>
      <c r="H28" s="25" t="s">
        <v>4984</v>
      </c>
      <c r="L28" s="116" t="s">
        <v>4981</v>
      </c>
    </row>
    <row r="29" spans="2:12" x14ac:dyDescent="0.15">
      <c r="B29" s="116">
        <f t="shared" si="0"/>
        <v>27</v>
      </c>
      <c r="C29" s="116" t="s">
        <v>4548</v>
      </c>
      <c r="D29" s="116" t="s">
        <v>4660</v>
      </c>
      <c r="E29" s="116" t="s">
        <v>4661</v>
      </c>
      <c r="F29" s="136">
        <v>43252</v>
      </c>
      <c r="G29" s="135" t="s">
        <v>4672</v>
      </c>
    </row>
    <row r="30" spans="2:12" x14ac:dyDescent="0.15">
      <c r="B30" s="116">
        <f t="shared" si="0"/>
        <v>28</v>
      </c>
      <c r="C30" s="116" t="s">
        <v>4547</v>
      </c>
      <c r="D30" s="116" t="s">
        <v>4657</v>
      </c>
      <c r="E30" s="116" t="s">
        <v>4656</v>
      </c>
      <c r="F30" s="136">
        <v>43313</v>
      </c>
      <c r="G30" s="135" t="s">
        <v>4672</v>
      </c>
    </row>
    <row r="31" spans="2:12" s="152" customFormat="1" x14ac:dyDescent="0.15">
      <c r="B31" s="116">
        <f t="shared" si="0"/>
        <v>29</v>
      </c>
      <c r="C31" s="152" t="s">
        <v>5392</v>
      </c>
      <c r="E31" s="152" t="s">
        <v>6321</v>
      </c>
      <c r="F31" s="153">
        <v>43344</v>
      </c>
      <c r="G31" s="154">
        <v>43525</v>
      </c>
      <c r="I31" s="152" t="s">
        <v>5389</v>
      </c>
    </row>
    <row r="32" spans="2:12" s="152" customFormat="1" ht="15" x14ac:dyDescent="0.2">
      <c r="B32" s="116">
        <f t="shared" si="0"/>
        <v>30</v>
      </c>
      <c r="C32" s="152" t="s">
        <v>5394</v>
      </c>
      <c r="E32" s="152" t="s">
        <v>6327</v>
      </c>
      <c r="F32" s="153">
        <v>43374</v>
      </c>
      <c r="G32" s="153">
        <v>43891</v>
      </c>
      <c r="I32" s="152" t="s">
        <v>6325</v>
      </c>
      <c r="J32" s="159" t="s">
        <v>6326</v>
      </c>
    </row>
    <row r="33" spans="2:12" x14ac:dyDescent="0.15">
      <c r="B33" s="116">
        <f t="shared" si="0"/>
        <v>31</v>
      </c>
      <c r="C33" s="116" t="s">
        <v>4710</v>
      </c>
      <c r="D33" s="116" t="s">
        <v>4951</v>
      </c>
      <c r="E33" s="116" t="s">
        <v>6146</v>
      </c>
      <c r="F33" s="136">
        <v>43435</v>
      </c>
      <c r="G33" s="135" t="s">
        <v>4672</v>
      </c>
      <c r="H33" s="25" t="s">
        <v>4979</v>
      </c>
      <c r="I33" s="116" t="s">
        <v>5387</v>
      </c>
    </row>
    <row r="34" spans="2:12" x14ac:dyDescent="0.15">
      <c r="B34" s="116">
        <f t="shared" si="0"/>
        <v>32</v>
      </c>
      <c r="C34" s="116" t="s">
        <v>4549</v>
      </c>
      <c r="D34" s="116" t="s">
        <v>4550</v>
      </c>
      <c r="F34" s="135">
        <v>2018</v>
      </c>
      <c r="G34" s="135" t="s">
        <v>4672</v>
      </c>
    </row>
    <row r="35" spans="2:12" x14ac:dyDescent="0.15">
      <c r="B35" s="116">
        <f t="shared" si="0"/>
        <v>33</v>
      </c>
      <c r="C35" s="116" t="s">
        <v>4569</v>
      </c>
      <c r="D35" s="116" t="s">
        <v>4827</v>
      </c>
      <c r="E35" s="116" t="s">
        <v>5376</v>
      </c>
      <c r="F35" s="136">
        <v>43525</v>
      </c>
      <c r="G35" s="135" t="s">
        <v>4672</v>
      </c>
      <c r="H35" s="25" t="s">
        <v>4949</v>
      </c>
      <c r="I35" s="116" t="s">
        <v>5387</v>
      </c>
      <c r="K35" s="116" t="s">
        <v>5377</v>
      </c>
    </row>
    <row r="36" spans="2:12" x14ac:dyDescent="0.15">
      <c r="B36" s="116">
        <f t="shared" si="0"/>
        <v>34</v>
      </c>
      <c r="C36" s="116" t="s">
        <v>4697</v>
      </c>
      <c r="D36" s="116" t="s">
        <v>5380</v>
      </c>
      <c r="E36" s="116" t="s">
        <v>5381</v>
      </c>
      <c r="F36" s="136">
        <v>43525</v>
      </c>
      <c r="G36" s="135" t="s">
        <v>4672</v>
      </c>
      <c r="I36" s="116" t="s">
        <v>5387</v>
      </c>
      <c r="K36" s="116" t="s">
        <v>5382</v>
      </c>
    </row>
    <row r="37" spans="2:12" x14ac:dyDescent="0.15">
      <c r="B37" s="116">
        <f t="shared" si="0"/>
        <v>35</v>
      </c>
      <c r="C37" s="116" t="s">
        <v>4706</v>
      </c>
      <c r="D37" s="116" t="s">
        <v>6307</v>
      </c>
      <c r="E37" s="116" t="s">
        <v>6308</v>
      </c>
      <c r="F37" s="136">
        <v>43525</v>
      </c>
      <c r="G37" s="135" t="s">
        <v>4672</v>
      </c>
      <c r="I37" s="116" t="s">
        <v>5387</v>
      </c>
      <c r="K37" s="116" t="s">
        <v>6309</v>
      </c>
    </row>
    <row r="38" spans="2:12" x14ac:dyDescent="0.15">
      <c r="B38" s="116">
        <f t="shared" si="0"/>
        <v>36</v>
      </c>
      <c r="C38" s="116" t="s">
        <v>4719</v>
      </c>
      <c r="D38" s="116" t="s">
        <v>6138</v>
      </c>
      <c r="E38" s="116" t="s">
        <v>6139</v>
      </c>
      <c r="F38" s="136">
        <v>43586</v>
      </c>
      <c r="G38" s="135" t="s">
        <v>4672</v>
      </c>
    </row>
    <row r="39" spans="2:12" x14ac:dyDescent="0.15">
      <c r="B39" s="116">
        <f t="shared" si="0"/>
        <v>37</v>
      </c>
      <c r="C39" s="116" t="s">
        <v>4702</v>
      </c>
      <c r="D39" s="116" t="s">
        <v>4703</v>
      </c>
      <c r="E39" s="116" t="s">
        <v>5375</v>
      </c>
      <c r="F39" s="136">
        <v>43647</v>
      </c>
      <c r="G39" s="135" t="s">
        <v>4672</v>
      </c>
      <c r="I39" s="116" t="s">
        <v>4991</v>
      </c>
      <c r="K39" s="116" t="s">
        <v>5374</v>
      </c>
    </row>
    <row r="40" spans="2:12" x14ac:dyDescent="0.15">
      <c r="B40" s="116">
        <f t="shared" si="0"/>
        <v>38</v>
      </c>
      <c r="C40" s="116" t="s">
        <v>4622</v>
      </c>
      <c r="D40" s="116" t="s">
        <v>4623</v>
      </c>
      <c r="E40" s="116" t="s">
        <v>4669</v>
      </c>
      <c r="F40" s="136">
        <v>43862</v>
      </c>
      <c r="G40" s="135" t="s">
        <v>4672</v>
      </c>
      <c r="I40" s="116" t="s">
        <v>4989</v>
      </c>
    </row>
    <row r="41" spans="2:12" x14ac:dyDescent="0.15">
      <c r="B41" s="116">
        <f t="shared" si="0"/>
        <v>39</v>
      </c>
      <c r="C41" s="116" t="s">
        <v>4708</v>
      </c>
      <c r="D41" s="116" t="s">
        <v>4709</v>
      </c>
      <c r="E41" s="116" t="s">
        <v>6316</v>
      </c>
      <c r="F41" s="136">
        <v>43952</v>
      </c>
      <c r="G41" s="135" t="s">
        <v>4672</v>
      </c>
      <c r="K41" s="116" t="s">
        <v>6317</v>
      </c>
    </row>
    <row r="42" spans="2:12" x14ac:dyDescent="0.15">
      <c r="B42" s="116">
        <f t="shared" si="0"/>
        <v>40</v>
      </c>
      <c r="C42" s="116" t="s">
        <v>4678</v>
      </c>
      <c r="D42" s="116" t="s">
        <v>4613</v>
      </c>
      <c r="E42" s="116" t="s">
        <v>4679</v>
      </c>
      <c r="F42" s="136">
        <v>43952</v>
      </c>
      <c r="G42" s="135" t="s">
        <v>4672</v>
      </c>
    </row>
    <row r="43" spans="2:12" x14ac:dyDescent="0.15">
      <c r="B43" s="116">
        <f t="shared" si="0"/>
        <v>41</v>
      </c>
      <c r="C43" s="116" t="s">
        <v>4695</v>
      </c>
      <c r="D43" s="116" t="s">
        <v>4694</v>
      </c>
      <c r="E43" s="116" t="s">
        <v>5367</v>
      </c>
      <c r="F43" s="136">
        <v>43983</v>
      </c>
      <c r="G43" s="135" t="s">
        <v>4672</v>
      </c>
      <c r="I43" s="116" t="s">
        <v>4952</v>
      </c>
    </row>
    <row r="44" spans="2:12" x14ac:dyDescent="0.15">
      <c r="B44" s="116">
        <f t="shared" si="0"/>
        <v>42</v>
      </c>
      <c r="C44" s="116" t="s">
        <v>4765</v>
      </c>
      <c r="F44" s="136">
        <v>44013</v>
      </c>
      <c r="H44" s="25" t="s">
        <v>6144</v>
      </c>
      <c r="I44" s="116" t="s">
        <v>6143</v>
      </c>
    </row>
    <row r="45" spans="2:12" x14ac:dyDescent="0.15">
      <c r="B45" s="116">
        <f t="shared" si="0"/>
        <v>43</v>
      </c>
      <c r="C45" s="116" t="s">
        <v>4964</v>
      </c>
      <c r="D45" s="116" t="s">
        <v>4832</v>
      </c>
      <c r="E45" s="116" t="s">
        <v>6128</v>
      </c>
      <c r="F45" s="136">
        <v>44075</v>
      </c>
      <c r="G45" s="135" t="s">
        <v>4672</v>
      </c>
      <c r="I45" s="25" t="s">
        <v>6127</v>
      </c>
      <c r="K45" s="116" t="s">
        <v>6129</v>
      </c>
      <c r="L45" s="116" t="s">
        <v>4952</v>
      </c>
    </row>
    <row r="46" spans="2:12" x14ac:dyDescent="0.15">
      <c r="B46" s="116">
        <f t="shared" si="0"/>
        <v>44</v>
      </c>
      <c r="C46" s="116" t="s">
        <v>4965</v>
      </c>
      <c r="D46" s="116" t="s">
        <v>4707</v>
      </c>
      <c r="E46" s="116" t="s">
        <v>6310</v>
      </c>
      <c r="F46" s="136">
        <v>44105</v>
      </c>
      <c r="G46" s="135" t="s">
        <v>4672</v>
      </c>
      <c r="I46" s="116" t="s">
        <v>4952</v>
      </c>
      <c r="K46" s="116" t="s">
        <v>6311</v>
      </c>
    </row>
    <row r="47" spans="2:12" x14ac:dyDescent="0.15">
      <c r="B47" s="116">
        <f t="shared" si="0"/>
        <v>45</v>
      </c>
      <c r="C47" s="116" t="s">
        <v>4718</v>
      </c>
      <c r="D47" s="116" t="s">
        <v>4713</v>
      </c>
      <c r="E47" s="116" t="s">
        <v>6136</v>
      </c>
      <c r="F47" s="136">
        <v>44166</v>
      </c>
      <c r="G47" s="135" t="s">
        <v>4672</v>
      </c>
      <c r="K47" s="116" t="s">
        <v>6137</v>
      </c>
    </row>
    <row r="48" spans="2:12" x14ac:dyDescent="0.15">
      <c r="B48" s="116">
        <f t="shared" si="0"/>
        <v>46</v>
      </c>
      <c r="C48" s="116" t="s">
        <v>4605</v>
      </c>
      <c r="D48" s="116" t="s">
        <v>4606</v>
      </c>
      <c r="E48" s="116" t="s">
        <v>4668</v>
      </c>
      <c r="F48" s="135">
        <v>2021</v>
      </c>
      <c r="G48" s="135" t="s">
        <v>4672</v>
      </c>
    </row>
    <row r="49" spans="2:12" x14ac:dyDescent="0.15">
      <c r="B49" s="116">
        <f t="shared" si="0"/>
        <v>47</v>
      </c>
      <c r="C49" s="116" t="s">
        <v>6318</v>
      </c>
      <c r="D49" s="116" t="s">
        <v>4574</v>
      </c>
      <c r="E49" s="116" t="s">
        <v>6319</v>
      </c>
      <c r="F49" s="135">
        <v>2021</v>
      </c>
      <c r="G49" s="135" t="s">
        <v>4672</v>
      </c>
    </row>
    <row r="50" spans="2:12" x14ac:dyDescent="0.15">
      <c r="B50" s="116">
        <f t="shared" si="0"/>
        <v>48</v>
      </c>
      <c r="C50" s="116" t="s">
        <v>4715</v>
      </c>
      <c r="D50" s="116" t="s">
        <v>6130</v>
      </c>
      <c r="E50" s="116" t="s">
        <v>6131</v>
      </c>
      <c r="F50" s="139" t="s">
        <v>6132</v>
      </c>
      <c r="G50" s="135" t="s">
        <v>4672</v>
      </c>
    </row>
    <row r="51" spans="2:12" x14ac:dyDescent="0.15">
      <c r="B51" s="116">
        <f t="shared" si="0"/>
        <v>49</v>
      </c>
      <c r="C51" s="116" t="s">
        <v>4720</v>
      </c>
      <c r="D51" s="116" t="s">
        <v>5368</v>
      </c>
      <c r="E51" s="116" t="s">
        <v>5369</v>
      </c>
      <c r="F51" s="136">
        <v>44197</v>
      </c>
      <c r="G51" s="135" t="s">
        <v>4672</v>
      </c>
      <c r="K51" s="116" t="s">
        <v>5370</v>
      </c>
    </row>
    <row r="52" spans="2:12" x14ac:dyDescent="0.15">
      <c r="B52" s="116">
        <f t="shared" si="0"/>
        <v>50</v>
      </c>
      <c r="C52" s="116" t="s">
        <v>4698</v>
      </c>
      <c r="D52" s="116" t="s">
        <v>4699</v>
      </c>
      <c r="E52" s="116" t="s">
        <v>4669</v>
      </c>
      <c r="F52" s="136">
        <v>44228</v>
      </c>
      <c r="G52" s="135" t="s">
        <v>4672</v>
      </c>
      <c r="I52" s="25" t="s">
        <v>6140</v>
      </c>
      <c r="J52" s="25" t="s">
        <v>6141</v>
      </c>
      <c r="L52" s="116" t="s">
        <v>6142</v>
      </c>
    </row>
    <row r="53" spans="2:12" x14ac:dyDescent="0.15">
      <c r="B53" s="116">
        <f t="shared" si="0"/>
        <v>51</v>
      </c>
      <c r="C53" s="116" t="s">
        <v>4556</v>
      </c>
      <c r="D53" s="116" t="s">
        <v>4557</v>
      </c>
      <c r="F53" s="136">
        <v>44256</v>
      </c>
      <c r="G53" s="135" t="s">
        <v>4672</v>
      </c>
    </row>
    <row r="54" spans="2:12" x14ac:dyDescent="0.15">
      <c r="B54" s="116">
        <f t="shared" si="0"/>
        <v>52</v>
      </c>
      <c r="C54" s="116" t="s">
        <v>4696</v>
      </c>
      <c r="D54" s="116" t="s">
        <v>4822</v>
      </c>
      <c r="E54" s="116" t="s">
        <v>5379</v>
      </c>
      <c r="F54" s="136">
        <v>44287</v>
      </c>
      <c r="G54" s="136">
        <v>45047</v>
      </c>
      <c r="K54" s="116" t="s">
        <v>5378</v>
      </c>
    </row>
    <row r="55" spans="2:12" x14ac:dyDescent="0.15">
      <c r="B55" s="56">
        <f t="shared" si="0"/>
        <v>53</v>
      </c>
      <c r="C55" s="56" t="s">
        <v>4546</v>
      </c>
      <c r="D55" s="56" t="s">
        <v>4655</v>
      </c>
      <c r="E55" s="56" t="s">
        <v>4654</v>
      </c>
      <c r="F55" s="138">
        <v>44287</v>
      </c>
      <c r="G55" s="108" t="s">
        <v>4672</v>
      </c>
    </row>
    <row r="56" spans="2:12" x14ac:dyDescent="0.15">
      <c r="B56" s="116">
        <f t="shared" si="0"/>
        <v>54</v>
      </c>
      <c r="C56" s="116" t="s">
        <v>4575</v>
      </c>
      <c r="D56" s="116" t="s">
        <v>4571</v>
      </c>
      <c r="F56" s="136">
        <v>44287</v>
      </c>
      <c r="G56" s="135" t="s">
        <v>4672</v>
      </c>
    </row>
    <row r="57" spans="2:12" x14ac:dyDescent="0.15">
      <c r="B57" s="116">
        <f t="shared" si="0"/>
        <v>55</v>
      </c>
      <c r="C57" s="116" t="s">
        <v>4712</v>
      </c>
      <c r="D57" s="116" t="s">
        <v>4713</v>
      </c>
      <c r="E57" s="116" t="s">
        <v>6123</v>
      </c>
      <c r="F57" s="136">
        <v>44317</v>
      </c>
      <c r="G57" s="135" t="s">
        <v>4672</v>
      </c>
      <c r="K57" s="116" t="s">
        <v>6124</v>
      </c>
    </row>
    <row r="58" spans="2:12" x14ac:dyDescent="0.15">
      <c r="B58" s="116">
        <f t="shared" si="0"/>
        <v>56</v>
      </c>
      <c r="C58" s="116" t="s">
        <v>4564</v>
      </c>
      <c r="D58" s="116" t="s">
        <v>4001</v>
      </c>
      <c r="E58" s="116" t="s">
        <v>4669</v>
      </c>
      <c r="F58" s="136">
        <v>44531</v>
      </c>
      <c r="G58" s="135" t="s">
        <v>4672</v>
      </c>
    </row>
    <row r="59" spans="2:12" x14ac:dyDescent="0.15">
      <c r="B59" s="116">
        <f t="shared" si="0"/>
        <v>57</v>
      </c>
      <c r="C59" s="216" t="s">
        <v>7118</v>
      </c>
      <c r="D59" s="216" t="s">
        <v>7119</v>
      </c>
      <c r="E59" s="216" t="s">
        <v>4668</v>
      </c>
      <c r="F59" s="136">
        <v>44531</v>
      </c>
      <c r="G59" s="217" t="s">
        <v>4672</v>
      </c>
    </row>
    <row r="60" spans="2:12" s="56" customFormat="1" x14ac:dyDescent="0.15">
      <c r="B60" s="56">
        <f t="shared" si="0"/>
        <v>58</v>
      </c>
      <c r="C60" s="56" t="s">
        <v>4691</v>
      </c>
      <c r="D60" s="56" t="s">
        <v>4757</v>
      </c>
      <c r="E60" s="56" t="s">
        <v>4945</v>
      </c>
      <c r="F60" s="138">
        <v>44621</v>
      </c>
      <c r="G60" s="108" t="s">
        <v>4672</v>
      </c>
      <c r="I60" s="56" t="s">
        <v>4946</v>
      </c>
    </row>
    <row r="61" spans="2:12" x14ac:dyDescent="0.15">
      <c r="B61" s="116">
        <f t="shared" si="0"/>
        <v>59</v>
      </c>
      <c r="C61" s="116" t="s">
        <v>4716</v>
      </c>
      <c r="D61" s="116" t="s">
        <v>4860</v>
      </c>
      <c r="E61" s="116" t="s">
        <v>6133</v>
      </c>
      <c r="F61" s="136">
        <v>44621</v>
      </c>
      <c r="G61" s="135" t="s">
        <v>4672</v>
      </c>
    </row>
    <row r="62" spans="2:12" x14ac:dyDescent="0.15">
      <c r="B62" s="116">
        <f t="shared" si="0"/>
        <v>60</v>
      </c>
      <c r="C62" s="116" t="s">
        <v>4553</v>
      </c>
      <c r="D62" s="116" t="s">
        <v>4554</v>
      </c>
      <c r="F62" s="136">
        <v>44713</v>
      </c>
      <c r="G62" s="135" t="s">
        <v>4672</v>
      </c>
    </row>
    <row r="63" spans="2:12" x14ac:dyDescent="0.15">
      <c r="B63" s="116">
        <f t="shared" si="0"/>
        <v>61</v>
      </c>
      <c r="C63" s="116" t="s">
        <v>4714</v>
      </c>
      <c r="D63" s="116" t="s">
        <v>4713</v>
      </c>
      <c r="E63" s="116" t="s">
        <v>6125</v>
      </c>
      <c r="F63" s="136">
        <v>44713</v>
      </c>
      <c r="G63" s="135" t="s">
        <v>4672</v>
      </c>
      <c r="K63" s="116" t="s">
        <v>6126</v>
      </c>
    </row>
    <row r="64" spans="2:12" s="216" customFormat="1" ht="14" x14ac:dyDescent="0.2">
      <c r="B64" s="216">
        <f t="shared" si="0"/>
        <v>62</v>
      </c>
      <c r="C64" s="216" t="s">
        <v>4579</v>
      </c>
      <c r="D64" s="216" t="s">
        <v>4578</v>
      </c>
      <c r="E64" s="216" t="s">
        <v>7120</v>
      </c>
      <c r="F64" s="218">
        <v>44774</v>
      </c>
      <c r="G64" s="217" t="s">
        <v>4672</v>
      </c>
      <c r="H64" s="28" t="s">
        <v>7124</v>
      </c>
      <c r="I64" s="28" t="s">
        <v>7121</v>
      </c>
      <c r="J64" s="28" t="s">
        <v>7122</v>
      </c>
      <c r="K64" s="216" t="s">
        <v>7123</v>
      </c>
    </row>
    <row r="65" spans="2:11" x14ac:dyDescent="0.15">
      <c r="B65" s="116">
        <f t="shared" si="0"/>
        <v>63</v>
      </c>
      <c r="C65" s="116" t="s">
        <v>4555</v>
      </c>
      <c r="D65" s="116" t="s">
        <v>2935</v>
      </c>
      <c r="E65" s="116" t="s">
        <v>4669</v>
      </c>
      <c r="F65" s="136">
        <v>44805</v>
      </c>
      <c r="G65" s="135" t="s">
        <v>4672</v>
      </c>
    </row>
    <row r="66" spans="2:11" x14ac:dyDescent="0.15">
      <c r="B66" s="116">
        <f t="shared" si="0"/>
        <v>64</v>
      </c>
      <c r="C66" s="116" t="s">
        <v>4558</v>
      </c>
      <c r="D66" s="116" t="s">
        <v>4559</v>
      </c>
      <c r="E66" s="116" t="s">
        <v>4662</v>
      </c>
      <c r="F66" s="136">
        <v>44866</v>
      </c>
      <c r="G66" s="135" t="s">
        <v>4672</v>
      </c>
    </row>
    <row r="67" spans="2:11" x14ac:dyDescent="0.15">
      <c r="B67" s="116">
        <f t="shared" si="0"/>
        <v>65</v>
      </c>
      <c r="C67" s="116" t="s">
        <v>4570</v>
      </c>
      <c r="D67" s="116" t="s">
        <v>4571</v>
      </c>
      <c r="E67" s="116" t="s">
        <v>4677</v>
      </c>
      <c r="F67" s="136">
        <v>44866</v>
      </c>
      <c r="G67" s="135" t="s">
        <v>4672</v>
      </c>
      <c r="I67" s="116" t="s">
        <v>4878</v>
      </c>
    </row>
    <row r="68" spans="2:11" x14ac:dyDescent="0.15">
      <c r="B68" s="116">
        <f t="shared" si="0"/>
        <v>66</v>
      </c>
      <c r="C68" s="116" t="s">
        <v>6119</v>
      </c>
      <c r="D68" s="216" t="s">
        <v>7115</v>
      </c>
      <c r="E68" s="216" t="s">
        <v>7116</v>
      </c>
      <c r="F68" s="136">
        <v>44927</v>
      </c>
      <c r="G68" s="217" t="s">
        <v>4672</v>
      </c>
      <c r="I68" s="25" t="s">
        <v>7117</v>
      </c>
    </row>
    <row r="69" spans="2:11" x14ac:dyDescent="0.15">
      <c r="B69" s="116">
        <f t="shared" si="0"/>
        <v>67</v>
      </c>
      <c r="C69" s="116" t="s">
        <v>4551</v>
      </c>
      <c r="D69" s="116" t="s">
        <v>4552</v>
      </c>
      <c r="E69" s="116" t="s">
        <v>4662</v>
      </c>
      <c r="F69" s="136">
        <v>44958</v>
      </c>
      <c r="G69" s="135" t="s">
        <v>4672</v>
      </c>
    </row>
    <row r="70" spans="2:11" x14ac:dyDescent="0.15">
      <c r="B70" s="116">
        <f t="shared" si="0"/>
        <v>68</v>
      </c>
      <c r="C70" s="116" t="s">
        <v>4572</v>
      </c>
      <c r="D70" s="116" t="s">
        <v>4573</v>
      </c>
      <c r="E70" s="116" t="s">
        <v>4677</v>
      </c>
      <c r="F70" s="136">
        <v>44958</v>
      </c>
      <c r="G70" s="135" t="s">
        <v>4672</v>
      </c>
    </row>
    <row r="71" spans="2:11" x14ac:dyDescent="0.15">
      <c r="B71" s="116">
        <f t="shared" si="0"/>
        <v>69</v>
      </c>
      <c r="C71" s="116" t="s">
        <v>4567</v>
      </c>
      <c r="D71" s="116" t="s">
        <v>4566</v>
      </c>
      <c r="E71" s="116" t="s">
        <v>4662</v>
      </c>
      <c r="F71" s="136">
        <v>44986</v>
      </c>
      <c r="G71" s="135" t="s">
        <v>4672</v>
      </c>
      <c r="K71" s="116" t="s">
        <v>6305</v>
      </c>
    </row>
    <row r="72" spans="2:11" x14ac:dyDescent="0.15">
      <c r="B72" s="116">
        <f t="shared" si="0"/>
        <v>70</v>
      </c>
      <c r="C72" s="116" t="s">
        <v>4562</v>
      </c>
      <c r="D72" s="116" t="s">
        <v>4563</v>
      </c>
      <c r="E72" s="116" t="s">
        <v>4677</v>
      </c>
      <c r="F72" s="136">
        <v>45017</v>
      </c>
      <c r="G72" s="135" t="s">
        <v>4672</v>
      </c>
    </row>
    <row r="73" spans="2:11" x14ac:dyDescent="0.15">
      <c r="B73" s="116">
        <f t="shared" si="0"/>
        <v>71</v>
      </c>
      <c r="C73" s="116" t="s">
        <v>4568</v>
      </c>
      <c r="D73" s="116" t="s">
        <v>4566</v>
      </c>
      <c r="E73" s="116" t="s">
        <v>4662</v>
      </c>
      <c r="F73" s="136">
        <v>45017</v>
      </c>
      <c r="G73" s="135" t="s">
        <v>4672</v>
      </c>
      <c r="K73" s="116" t="s">
        <v>6306</v>
      </c>
    </row>
    <row r="74" spans="2:11" x14ac:dyDescent="0.15">
      <c r="B74" s="116">
        <f t="shared" si="0"/>
        <v>72</v>
      </c>
      <c r="C74" s="116" t="s">
        <v>4565</v>
      </c>
      <c r="D74" s="116" t="s">
        <v>4566</v>
      </c>
      <c r="E74" s="116" t="s">
        <v>4662</v>
      </c>
      <c r="F74" s="136">
        <v>45047</v>
      </c>
      <c r="G74" s="135" t="s">
        <v>4672</v>
      </c>
      <c r="K74" s="116" t="s">
        <v>6149</v>
      </c>
    </row>
    <row r="75" spans="2:11" x14ac:dyDescent="0.15">
      <c r="B75" s="116">
        <f t="shared" si="0"/>
        <v>73</v>
      </c>
      <c r="C75" s="116" t="s">
        <v>4560</v>
      </c>
      <c r="D75" s="116" t="s">
        <v>4561</v>
      </c>
      <c r="E75" s="116" t="s">
        <v>4662</v>
      </c>
      <c r="F75" s="136">
        <v>45078</v>
      </c>
      <c r="G75" s="135" t="s">
        <v>4672</v>
      </c>
    </row>
    <row r="76" spans="2:11" x14ac:dyDescent="0.15">
      <c r="B76" s="116">
        <f>B75+1</f>
        <v>74</v>
      </c>
      <c r="C76" s="116" t="s">
        <v>4717</v>
      </c>
      <c r="D76" s="116" t="s">
        <v>4713</v>
      </c>
      <c r="E76" s="116" t="s">
        <v>4669</v>
      </c>
      <c r="F76" s="116"/>
      <c r="G76" s="116"/>
      <c r="I76" s="25" t="s">
        <v>6134</v>
      </c>
      <c r="J76" s="25" t="s">
        <v>6135</v>
      </c>
    </row>
    <row r="77" spans="2:11" x14ac:dyDescent="0.15">
      <c r="C77" s="116" t="s">
        <v>4601</v>
      </c>
      <c r="D77" s="116" t="s">
        <v>4846</v>
      </c>
      <c r="I77" s="238" t="s">
        <v>7344</v>
      </c>
    </row>
    <row r="78" spans="2:11" x14ac:dyDescent="0.15">
      <c r="C78" s="116" t="s">
        <v>4576</v>
      </c>
      <c r="D78" s="116" t="s">
        <v>4577</v>
      </c>
      <c r="I78" s="116" t="s">
        <v>5387</v>
      </c>
    </row>
    <row r="79" spans="2:11" x14ac:dyDescent="0.15">
      <c r="C79" s="116" t="s">
        <v>4580</v>
      </c>
      <c r="D79" s="116" t="s">
        <v>4581</v>
      </c>
    </row>
    <row r="80" spans="2:11" x14ac:dyDescent="0.15">
      <c r="C80" s="116" t="s">
        <v>4582</v>
      </c>
      <c r="D80" s="116" t="s">
        <v>4583</v>
      </c>
      <c r="I80" s="116" t="s">
        <v>4952</v>
      </c>
    </row>
    <row r="81" spans="3:9" x14ac:dyDescent="0.15">
      <c r="C81" s="116" t="s">
        <v>4584</v>
      </c>
    </row>
    <row r="82" spans="3:9" x14ac:dyDescent="0.15">
      <c r="C82" s="116" t="s">
        <v>4585</v>
      </c>
    </row>
    <row r="83" spans="3:9" x14ac:dyDescent="0.15">
      <c r="C83" s="116" t="s">
        <v>4586</v>
      </c>
      <c r="D83" s="116" t="s">
        <v>4587</v>
      </c>
    </row>
    <row r="84" spans="3:9" x14ac:dyDescent="0.15">
      <c r="C84" s="116" t="s">
        <v>4588</v>
      </c>
      <c r="D84" s="116" t="s">
        <v>4589</v>
      </c>
    </row>
    <row r="85" spans="3:9" x14ac:dyDescent="0.15">
      <c r="C85" s="116" t="s">
        <v>4590</v>
      </c>
      <c r="D85" s="116" t="s">
        <v>4571</v>
      </c>
      <c r="I85" s="116" t="s">
        <v>4991</v>
      </c>
    </row>
    <row r="86" spans="3:9" x14ac:dyDescent="0.15">
      <c r="C86" s="116" t="s">
        <v>4591</v>
      </c>
      <c r="D86" s="116" t="s">
        <v>4592</v>
      </c>
    </row>
    <row r="87" spans="3:9" x14ac:dyDescent="0.15">
      <c r="C87" s="116" t="s">
        <v>4593</v>
      </c>
      <c r="D87" s="116" t="s">
        <v>3108</v>
      </c>
    </row>
    <row r="88" spans="3:9" x14ac:dyDescent="0.15">
      <c r="C88" s="116" t="s">
        <v>4594</v>
      </c>
      <c r="D88" s="116" t="s">
        <v>3108</v>
      </c>
    </row>
    <row r="89" spans="3:9" x14ac:dyDescent="0.15">
      <c r="C89" s="116" t="s">
        <v>4595</v>
      </c>
      <c r="D89" s="116" t="s">
        <v>4596</v>
      </c>
      <c r="I89" s="116" t="s">
        <v>5389</v>
      </c>
    </row>
    <row r="90" spans="3:9" x14ac:dyDescent="0.15">
      <c r="C90" s="116" t="s">
        <v>4597</v>
      </c>
      <c r="D90" s="116" t="s">
        <v>4598</v>
      </c>
    </row>
    <row r="91" spans="3:9" x14ac:dyDescent="0.15">
      <c r="C91" s="116" t="s">
        <v>4599</v>
      </c>
      <c r="D91" s="116" t="s">
        <v>4600</v>
      </c>
    </row>
    <row r="92" spans="3:9" x14ac:dyDescent="0.15">
      <c r="C92" s="116" t="s">
        <v>4602</v>
      </c>
      <c r="D92" s="116" t="s">
        <v>4845</v>
      </c>
      <c r="I92" s="116" t="s">
        <v>4952</v>
      </c>
    </row>
    <row r="93" spans="3:9" x14ac:dyDescent="0.15">
      <c r="C93" s="116" t="s">
        <v>4603</v>
      </c>
      <c r="D93" s="116" t="s">
        <v>4604</v>
      </c>
    </row>
    <row r="94" spans="3:9" x14ac:dyDescent="0.15">
      <c r="C94" s="116" t="s">
        <v>4607</v>
      </c>
      <c r="D94" s="116" t="s">
        <v>4608</v>
      </c>
    </row>
    <row r="95" spans="3:9" x14ac:dyDescent="0.15">
      <c r="C95" s="116" t="s">
        <v>4609</v>
      </c>
      <c r="D95" s="116" t="s">
        <v>4571</v>
      </c>
    </row>
    <row r="96" spans="3:9" x14ac:dyDescent="0.15">
      <c r="C96" s="116" t="s">
        <v>4610</v>
      </c>
      <c r="D96" s="116" t="s">
        <v>4611</v>
      </c>
      <c r="I96" s="116" t="s">
        <v>5387</v>
      </c>
    </row>
    <row r="97" spans="3:9" x14ac:dyDescent="0.15">
      <c r="C97" s="116" t="s">
        <v>4614</v>
      </c>
      <c r="D97" s="116" t="s">
        <v>4615</v>
      </c>
    </row>
    <row r="98" spans="3:9" x14ac:dyDescent="0.15">
      <c r="C98" s="116" t="s">
        <v>4616</v>
      </c>
      <c r="D98" s="116" t="s">
        <v>4617</v>
      </c>
    </row>
    <row r="99" spans="3:9" x14ac:dyDescent="0.15">
      <c r="C99" s="116" t="s">
        <v>4618</v>
      </c>
      <c r="D99" s="116" t="s">
        <v>4592</v>
      </c>
    </row>
    <row r="100" spans="3:9" x14ac:dyDescent="0.15">
      <c r="C100" s="116" t="s">
        <v>4619</v>
      </c>
      <c r="D100" s="116" t="s">
        <v>4561</v>
      </c>
    </row>
    <row r="101" spans="3:9" x14ac:dyDescent="0.15">
      <c r="C101" s="116" t="s">
        <v>4620</v>
      </c>
      <c r="D101" s="116" t="s">
        <v>4571</v>
      </c>
    </row>
    <row r="102" spans="3:9" x14ac:dyDescent="0.15">
      <c r="C102" s="116" t="s">
        <v>4621</v>
      </c>
      <c r="D102" s="116" t="s">
        <v>4828</v>
      </c>
    </row>
    <row r="103" spans="3:9" x14ac:dyDescent="0.15">
      <c r="C103" s="116" t="s">
        <v>4624</v>
      </c>
      <c r="D103" s="116" t="s">
        <v>4571</v>
      </c>
    </row>
    <row r="104" spans="3:9" x14ac:dyDescent="0.15">
      <c r="C104" s="116" t="s">
        <v>4625</v>
      </c>
      <c r="D104" s="116" t="s">
        <v>4626</v>
      </c>
    </row>
    <row r="105" spans="3:9" x14ac:dyDescent="0.15">
      <c r="C105" s="116" t="s">
        <v>4627</v>
      </c>
      <c r="D105" s="116" t="s">
        <v>4571</v>
      </c>
    </row>
    <row r="106" spans="3:9" x14ac:dyDescent="0.15">
      <c r="C106" s="116" t="s">
        <v>4628</v>
      </c>
      <c r="D106" s="116" t="s">
        <v>4844</v>
      </c>
    </row>
    <row r="107" spans="3:9" x14ac:dyDescent="0.15">
      <c r="C107" s="116" t="s">
        <v>4629</v>
      </c>
      <c r="D107" s="116" t="s">
        <v>4630</v>
      </c>
    </row>
    <row r="108" spans="3:9" x14ac:dyDescent="0.15">
      <c r="C108" s="116" t="s">
        <v>4631</v>
      </c>
      <c r="D108" s="116" t="s">
        <v>4571</v>
      </c>
    </row>
    <row r="109" spans="3:9" x14ac:dyDescent="0.15">
      <c r="C109" s="116" t="s">
        <v>4632</v>
      </c>
      <c r="D109" s="116" t="s">
        <v>4633</v>
      </c>
    </row>
    <row r="110" spans="3:9" x14ac:dyDescent="0.15">
      <c r="C110" s="116" t="s">
        <v>4634</v>
      </c>
      <c r="D110" s="116" t="s">
        <v>4635</v>
      </c>
      <c r="I110" s="116" t="s">
        <v>4952</v>
      </c>
    </row>
    <row r="111" spans="3:9" x14ac:dyDescent="0.15">
      <c r="C111" s="116" t="s">
        <v>4636</v>
      </c>
      <c r="D111" s="116" t="s">
        <v>2133</v>
      </c>
    </row>
    <row r="112" spans="3:9" x14ac:dyDescent="0.15">
      <c r="C112" s="116" t="s">
        <v>4637</v>
      </c>
      <c r="D112" s="116" t="s">
        <v>2133</v>
      </c>
    </row>
    <row r="113" spans="3:7" x14ac:dyDescent="0.15">
      <c r="C113" s="116" t="s">
        <v>4638</v>
      </c>
      <c r="D113" s="116" t="s">
        <v>2133</v>
      </c>
    </row>
    <row r="114" spans="3:7" x14ac:dyDescent="0.15">
      <c r="C114" s="116" t="s">
        <v>4639</v>
      </c>
      <c r="D114" s="116" t="s">
        <v>4559</v>
      </c>
    </row>
    <row r="115" spans="3:7" x14ac:dyDescent="0.15">
      <c r="C115" s="116" t="s">
        <v>4640</v>
      </c>
      <c r="D115" s="116" t="s">
        <v>4854</v>
      </c>
    </row>
    <row r="116" spans="3:7" x14ac:dyDescent="0.15">
      <c r="C116" s="116" t="s">
        <v>4641</v>
      </c>
      <c r="D116" s="116" t="s">
        <v>2133</v>
      </c>
    </row>
    <row r="117" spans="3:7" x14ac:dyDescent="0.15">
      <c r="C117" s="116" t="s">
        <v>4642</v>
      </c>
      <c r="D117" s="116" t="s">
        <v>4613</v>
      </c>
    </row>
    <row r="118" spans="3:7" x14ac:dyDescent="0.15">
      <c r="C118" s="116" t="s">
        <v>4643</v>
      </c>
      <c r="D118" s="116" t="s">
        <v>4613</v>
      </c>
    </row>
    <row r="119" spans="3:7" x14ac:dyDescent="0.15">
      <c r="C119" s="116" t="s">
        <v>4644</v>
      </c>
      <c r="D119" s="116" t="s">
        <v>4645</v>
      </c>
    </row>
    <row r="120" spans="3:7" x14ac:dyDescent="0.15">
      <c r="C120" s="116" t="s">
        <v>4650</v>
      </c>
      <c r="D120" s="116" t="s">
        <v>4651</v>
      </c>
      <c r="F120" s="136"/>
      <c r="G120" s="136">
        <v>45108</v>
      </c>
    </row>
    <row r="121" spans="3:7" x14ac:dyDescent="0.15">
      <c r="C121" s="116" t="s">
        <v>4659</v>
      </c>
    </row>
    <row r="122" spans="3:7" x14ac:dyDescent="0.15">
      <c r="C122" s="116" t="s">
        <v>4666</v>
      </c>
      <c r="D122" s="116" t="s">
        <v>4566</v>
      </c>
    </row>
    <row r="123" spans="3:7" x14ac:dyDescent="0.15">
      <c r="C123" s="116" t="s">
        <v>4667</v>
      </c>
    </row>
    <row r="124" spans="3:7" x14ac:dyDescent="0.15">
      <c r="C124" s="116" t="s">
        <v>4673</v>
      </c>
    </row>
    <row r="125" spans="3:7" x14ac:dyDescent="0.15">
      <c r="C125" s="116" t="s">
        <v>4674</v>
      </c>
    </row>
    <row r="126" spans="3:7" x14ac:dyDescent="0.15">
      <c r="C126" s="116" t="s">
        <v>4675</v>
      </c>
      <c r="D126" s="116" t="s">
        <v>4835</v>
      </c>
    </row>
    <row r="127" spans="3:7" x14ac:dyDescent="0.15">
      <c r="C127" s="116" t="s">
        <v>4721</v>
      </c>
      <c r="D127" s="116" t="s">
        <v>4821</v>
      </c>
    </row>
    <row r="128" spans="3:7" x14ac:dyDescent="0.15">
      <c r="C128" s="116" t="s">
        <v>4676</v>
      </c>
    </row>
    <row r="129" spans="3:9" x14ac:dyDescent="0.15">
      <c r="C129" s="116" t="s">
        <v>4722</v>
      </c>
      <c r="D129" s="116" t="s">
        <v>5332</v>
      </c>
      <c r="G129" s="135" t="s">
        <v>5333</v>
      </c>
      <c r="H129" s="25" t="s">
        <v>4980</v>
      </c>
    </row>
    <row r="130" spans="3:9" x14ac:dyDescent="0.15">
      <c r="C130" s="116" t="s">
        <v>4723</v>
      </c>
      <c r="D130" s="116" t="s">
        <v>4755</v>
      </c>
      <c r="I130" s="116" t="s">
        <v>4952</v>
      </c>
    </row>
    <row r="131" spans="3:9" x14ac:dyDescent="0.15">
      <c r="C131" s="116" t="s">
        <v>4724</v>
      </c>
    </row>
    <row r="132" spans="3:9" x14ac:dyDescent="0.15">
      <c r="C132" s="116" t="s">
        <v>4725</v>
      </c>
    </row>
    <row r="133" spans="3:9" x14ac:dyDescent="0.15">
      <c r="C133" s="116" t="s">
        <v>4726</v>
      </c>
    </row>
    <row r="134" spans="3:9" x14ac:dyDescent="0.15">
      <c r="C134" s="116" t="s">
        <v>4727</v>
      </c>
      <c r="D134" s="116" t="s">
        <v>4823</v>
      </c>
    </row>
    <row r="135" spans="3:9" x14ac:dyDescent="0.15">
      <c r="C135" s="116" t="s">
        <v>4728</v>
      </c>
      <c r="D135" s="116" t="s">
        <v>2935</v>
      </c>
    </row>
    <row r="136" spans="3:9" x14ac:dyDescent="0.15">
      <c r="C136" s="116" t="s">
        <v>4729</v>
      </c>
    </row>
    <row r="137" spans="3:9" x14ac:dyDescent="0.15">
      <c r="C137" s="116" t="s">
        <v>4730</v>
      </c>
      <c r="D137" s="116" t="s">
        <v>4823</v>
      </c>
    </row>
    <row r="138" spans="3:9" x14ac:dyDescent="0.15">
      <c r="C138" s="116" t="s">
        <v>4731</v>
      </c>
    </row>
    <row r="139" spans="3:9" x14ac:dyDescent="0.15">
      <c r="C139" s="116" t="s">
        <v>4732</v>
      </c>
      <c r="D139" s="116" t="s">
        <v>4815</v>
      </c>
    </row>
    <row r="140" spans="3:9" x14ac:dyDescent="0.15">
      <c r="C140" s="116" t="s">
        <v>4733</v>
      </c>
      <c r="D140" s="116" t="s">
        <v>4823</v>
      </c>
    </row>
    <row r="141" spans="3:9" x14ac:dyDescent="0.15">
      <c r="C141" s="116" t="s">
        <v>4735</v>
      </c>
    </row>
    <row r="142" spans="3:9" x14ac:dyDescent="0.15">
      <c r="C142" s="116" t="s">
        <v>4736</v>
      </c>
    </row>
    <row r="143" spans="3:9" x14ac:dyDescent="0.15">
      <c r="C143" s="116" t="s">
        <v>4737</v>
      </c>
      <c r="D143" s="116" t="s">
        <v>4842</v>
      </c>
    </row>
    <row r="144" spans="3:9" x14ac:dyDescent="0.15">
      <c r="C144" s="116" t="s">
        <v>4974</v>
      </c>
      <c r="I144" s="116" t="s">
        <v>4991</v>
      </c>
    </row>
    <row r="145" spans="3:9" x14ac:dyDescent="0.15">
      <c r="C145" s="116" t="s">
        <v>4738</v>
      </c>
      <c r="D145" s="116" t="s">
        <v>4755</v>
      </c>
      <c r="I145" s="116" t="s">
        <v>4991</v>
      </c>
    </row>
    <row r="146" spans="3:9" x14ac:dyDescent="0.15">
      <c r="C146" s="116" t="s">
        <v>4739</v>
      </c>
    </row>
    <row r="147" spans="3:9" x14ac:dyDescent="0.15">
      <c r="C147" s="116" t="s">
        <v>4740</v>
      </c>
      <c r="I147" s="116" t="s">
        <v>4989</v>
      </c>
    </row>
    <row r="148" spans="3:9" x14ac:dyDescent="0.15">
      <c r="C148" s="116" t="s">
        <v>4741</v>
      </c>
    </row>
    <row r="149" spans="3:9" x14ac:dyDescent="0.15">
      <c r="C149" s="116" t="s">
        <v>4742</v>
      </c>
    </row>
    <row r="150" spans="3:9" x14ac:dyDescent="0.15">
      <c r="C150" s="116" t="s">
        <v>4743</v>
      </c>
      <c r="I150" s="116" t="s">
        <v>5386</v>
      </c>
    </row>
    <row r="151" spans="3:9" x14ac:dyDescent="0.15">
      <c r="C151" s="116" t="s">
        <v>4744</v>
      </c>
    </row>
    <row r="152" spans="3:9" x14ac:dyDescent="0.15">
      <c r="C152" s="116" t="s">
        <v>4745</v>
      </c>
      <c r="I152" s="116" t="s">
        <v>4989</v>
      </c>
    </row>
    <row r="153" spans="3:9" x14ac:dyDescent="0.15">
      <c r="C153" s="116" t="s">
        <v>4746</v>
      </c>
      <c r="D153" s="116" t="s">
        <v>4829</v>
      </c>
      <c r="I153" s="116" t="s">
        <v>4989</v>
      </c>
    </row>
    <row r="154" spans="3:9" x14ac:dyDescent="0.15">
      <c r="C154" s="116" t="s">
        <v>4747</v>
      </c>
      <c r="I154" s="116" t="s">
        <v>4952</v>
      </c>
    </row>
    <row r="155" spans="3:9" x14ac:dyDescent="0.15">
      <c r="C155" s="116" t="s">
        <v>4983</v>
      </c>
      <c r="I155" s="116" t="s">
        <v>4981</v>
      </c>
    </row>
    <row r="156" spans="3:9" x14ac:dyDescent="0.15">
      <c r="C156" s="116" t="s">
        <v>4748</v>
      </c>
    </row>
    <row r="157" spans="3:9" x14ac:dyDescent="0.15">
      <c r="C157" s="116" t="s">
        <v>4749</v>
      </c>
    </row>
    <row r="158" spans="3:9" x14ac:dyDescent="0.15">
      <c r="C158" s="116" t="s">
        <v>4762</v>
      </c>
      <c r="I158" s="116" t="s">
        <v>4952</v>
      </c>
    </row>
    <row r="159" spans="3:9" x14ac:dyDescent="0.15">
      <c r="C159" s="116" t="s">
        <v>4750</v>
      </c>
    </row>
    <row r="160" spans="3:9" x14ac:dyDescent="0.15">
      <c r="C160" s="116" t="s">
        <v>4751</v>
      </c>
    </row>
    <row r="161" spans="3:9" x14ac:dyDescent="0.15">
      <c r="C161" s="116" t="s">
        <v>4752</v>
      </c>
      <c r="I161" s="116" t="s">
        <v>4952</v>
      </c>
    </row>
    <row r="162" spans="3:9" x14ac:dyDescent="0.15">
      <c r="C162" s="116" t="s">
        <v>4753</v>
      </c>
      <c r="D162" s="116" t="s">
        <v>4756</v>
      </c>
    </row>
    <row r="163" spans="3:9" x14ac:dyDescent="0.15">
      <c r="C163" s="116" t="s">
        <v>4754</v>
      </c>
      <c r="D163" s="116" t="s">
        <v>4755</v>
      </c>
      <c r="I163" s="116" t="s">
        <v>6145</v>
      </c>
    </row>
    <row r="164" spans="3:9" x14ac:dyDescent="0.15">
      <c r="C164" s="116" t="s">
        <v>5405</v>
      </c>
      <c r="H164" s="25" t="s">
        <v>5406</v>
      </c>
      <c r="I164" s="116" t="s">
        <v>5404</v>
      </c>
    </row>
    <row r="165" spans="3:9" x14ac:dyDescent="0.15">
      <c r="C165" s="116" t="s">
        <v>4758</v>
      </c>
      <c r="D165" s="116" t="s">
        <v>4950</v>
      </c>
      <c r="H165" s="25" t="s">
        <v>4948</v>
      </c>
      <c r="I165" s="116" t="s">
        <v>4991</v>
      </c>
    </row>
    <row r="166" spans="3:9" x14ac:dyDescent="0.15">
      <c r="C166" s="116" t="s">
        <v>4759</v>
      </c>
    </row>
    <row r="167" spans="3:9" x14ac:dyDescent="0.15">
      <c r="C167" s="116" t="s">
        <v>4760</v>
      </c>
    </row>
    <row r="168" spans="3:9" x14ac:dyDescent="0.15">
      <c r="C168" s="116" t="s">
        <v>4761</v>
      </c>
    </row>
    <row r="169" spans="3:9" x14ac:dyDescent="0.15">
      <c r="C169" s="116" t="s">
        <v>4763</v>
      </c>
    </row>
    <row r="170" spans="3:9" x14ac:dyDescent="0.15">
      <c r="C170" s="116" t="s">
        <v>4764</v>
      </c>
      <c r="I170" s="116" t="s">
        <v>4952</v>
      </c>
    </row>
    <row r="171" spans="3:9" x14ac:dyDescent="0.15">
      <c r="C171" s="116" t="s">
        <v>4766</v>
      </c>
    </row>
    <row r="172" spans="3:9" x14ac:dyDescent="0.15">
      <c r="C172" s="116" t="s">
        <v>4767</v>
      </c>
    </row>
    <row r="173" spans="3:9" x14ac:dyDescent="0.15">
      <c r="C173" s="116" t="s">
        <v>4768</v>
      </c>
    </row>
    <row r="174" spans="3:9" x14ac:dyDescent="0.15">
      <c r="C174" s="116" t="s">
        <v>4769</v>
      </c>
    </row>
    <row r="175" spans="3:9" x14ac:dyDescent="0.15">
      <c r="C175" s="116" t="s">
        <v>4770</v>
      </c>
    </row>
    <row r="176" spans="3:9" x14ac:dyDescent="0.15">
      <c r="C176" s="116" t="s">
        <v>4771</v>
      </c>
      <c r="I176" s="116" t="s">
        <v>4952</v>
      </c>
    </row>
    <row r="177" spans="3:9" x14ac:dyDescent="0.15">
      <c r="C177" s="116" t="s">
        <v>4772</v>
      </c>
    </row>
    <row r="178" spans="3:9" x14ac:dyDescent="0.15">
      <c r="C178" s="116" t="s">
        <v>4773</v>
      </c>
      <c r="I178" s="116" t="s">
        <v>4989</v>
      </c>
    </row>
    <row r="179" spans="3:9" x14ac:dyDescent="0.15">
      <c r="C179" s="116" t="s">
        <v>4774</v>
      </c>
      <c r="D179" s="116" t="s">
        <v>4823</v>
      </c>
      <c r="I179" s="116" t="s">
        <v>5383</v>
      </c>
    </row>
    <row r="180" spans="3:9" x14ac:dyDescent="0.15">
      <c r="C180" s="116" t="s">
        <v>5384</v>
      </c>
      <c r="I180" s="116" t="s">
        <v>5383</v>
      </c>
    </row>
    <row r="181" spans="3:9" x14ac:dyDescent="0.15">
      <c r="C181" s="116" t="s">
        <v>5385</v>
      </c>
      <c r="I181" s="116" t="s">
        <v>5383</v>
      </c>
    </row>
    <row r="182" spans="3:9" x14ac:dyDescent="0.15">
      <c r="C182" s="116" t="s">
        <v>4775</v>
      </c>
    </row>
    <row r="183" spans="3:9" x14ac:dyDescent="0.15">
      <c r="C183" s="116" t="s">
        <v>4776</v>
      </c>
      <c r="D183" s="116" t="s">
        <v>4819</v>
      </c>
    </row>
    <row r="184" spans="3:9" x14ac:dyDescent="0.15">
      <c r="C184" s="116" t="s">
        <v>4777</v>
      </c>
    </row>
    <row r="185" spans="3:9" x14ac:dyDescent="0.15">
      <c r="C185" s="116" t="s">
        <v>4778</v>
      </c>
      <c r="D185" s="116" t="s">
        <v>4819</v>
      </c>
    </row>
    <row r="186" spans="3:9" x14ac:dyDescent="0.15">
      <c r="C186" s="116" t="s">
        <v>4779</v>
      </c>
      <c r="D186" s="116" t="s">
        <v>2935</v>
      </c>
    </row>
    <row r="187" spans="3:9" x14ac:dyDescent="0.15">
      <c r="C187" s="116" t="s">
        <v>4780</v>
      </c>
      <c r="D187" s="116" t="s">
        <v>4820</v>
      </c>
    </row>
    <row r="188" spans="3:9" x14ac:dyDescent="0.15">
      <c r="C188" s="116" t="s">
        <v>4781</v>
      </c>
      <c r="D188" s="116" t="s">
        <v>4816</v>
      </c>
    </row>
    <row r="189" spans="3:9" x14ac:dyDescent="0.15">
      <c r="C189" s="116" t="s">
        <v>4782</v>
      </c>
      <c r="D189" s="116" t="s">
        <v>4824</v>
      </c>
    </row>
    <row r="190" spans="3:9" x14ac:dyDescent="0.15">
      <c r="C190" s="116" t="s">
        <v>4783</v>
      </c>
      <c r="D190" s="116" t="s">
        <v>4784</v>
      </c>
    </row>
    <row r="191" spans="3:9" x14ac:dyDescent="0.15">
      <c r="C191" s="116" t="s">
        <v>4785</v>
      </c>
      <c r="D191" s="116" t="s">
        <v>4820</v>
      </c>
      <c r="E191" s="116" t="s">
        <v>5399</v>
      </c>
    </row>
    <row r="192" spans="3:9" x14ac:dyDescent="0.15">
      <c r="C192" s="116" t="s">
        <v>4786</v>
      </c>
      <c r="D192" s="116" t="s">
        <v>2935</v>
      </c>
    </row>
    <row r="193" spans="3:9" x14ac:dyDescent="0.15">
      <c r="C193" s="116" t="s">
        <v>4787</v>
      </c>
    </row>
    <row r="194" spans="3:9" x14ac:dyDescent="0.15">
      <c r="C194" s="116" t="s">
        <v>4788</v>
      </c>
      <c r="D194" s="116" t="s">
        <v>4823</v>
      </c>
    </row>
    <row r="195" spans="3:9" x14ac:dyDescent="0.15">
      <c r="C195" s="116" t="s">
        <v>4789</v>
      </c>
      <c r="D195" s="116" t="s">
        <v>2935</v>
      </c>
    </row>
    <row r="196" spans="3:9" x14ac:dyDescent="0.15">
      <c r="C196" s="116" t="s">
        <v>4790</v>
      </c>
      <c r="D196" s="116" t="s">
        <v>4819</v>
      </c>
    </row>
    <row r="197" spans="3:9" x14ac:dyDescent="0.15">
      <c r="C197" s="116" t="s">
        <v>4791</v>
      </c>
      <c r="D197" s="116" t="s">
        <v>4815</v>
      </c>
    </row>
    <row r="198" spans="3:9" x14ac:dyDescent="0.15">
      <c r="C198" s="116" t="s">
        <v>4792</v>
      </c>
      <c r="D198" s="116" t="s">
        <v>2935</v>
      </c>
    </row>
    <row r="199" spans="3:9" x14ac:dyDescent="0.15">
      <c r="C199" s="116" t="s">
        <v>4793</v>
      </c>
      <c r="D199" s="116" t="s">
        <v>4833</v>
      </c>
    </row>
    <row r="200" spans="3:9" x14ac:dyDescent="0.15">
      <c r="C200" s="116" t="s">
        <v>4794</v>
      </c>
    </row>
    <row r="201" spans="3:9" x14ac:dyDescent="0.15">
      <c r="C201" s="116" t="s">
        <v>4795</v>
      </c>
      <c r="D201" s="116" t="s">
        <v>2935</v>
      </c>
    </row>
    <row r="202" spans="3:9" x14ac:dyDescent="0.15">
      <c r="C202" s="116" t="s">
        <v>4796</v>
      </c>
    </row>
    <row r="203" spans="3:9" x14ac:dyDescent="0.15">
      <c r="C203" s="116" t="s">
        <v>4797</v>
      </c>
      <c r="D203" s="116" t="s">
        <v>2935</v>
      </c>
    </row>
    <row r="204" spans="3:9" x14ac:dyDescent="0.15">
      <c r="C204" s="116" t="s">
        <v>4798</v>
      </c>
      <c r="D204" s="116" t="s">
        <v>4825</v>
      </c>
    </row>
    <row r="205" spans="3:9" x14ac:dyDescent="0.15">
      <c r="C205" s="116" t="s">
        <v>4799</v>
      </c>
    </row>
    <row r="206" spans="3:9" x14ac:dyDescent="0.15">
      <c r="C206" s="116" t="s">
        <v>4800</v>
      </c>
    </row>
    <row r="207" spans="3:9" x14ac:dyDescent="0.15">
      <c r="C207" s="116" t="s">
        <v>5388</v>
      </c>
      <c r="I207" s="116" t="s">
        <v>5389</v>
      </c>
    </row>
    <row r="208" spans="3:9" x14ac:dyDescent="0.15">
      <c r="C208" s="116" t="s">
        <v>4852</v>
      </c>
      <c r="D208" s="116" t="s">
        <v>2935</v>
      </c>
    </row>
    <row r="209" spans="3:9" x14ac:dyDescent="0.15">
      <c r="C209" s="116" t="s">
        <v>4801</v>
      </c>
    </row>
    <row r="210" spans="3:9" x14ac:dyDescent="0.15">
      <c r="C210" s="116" t="s">
        <v>4998</v>
      </c>
      <c r="I210" s="116" t="s">
        <v>4989</v>
      </c>
    </row>
    <row r="211" spans="3:9" x14ac:dyDescent="0.15">
      <c r="C211" s="116" t="s">
        <v>5012</v>
      </c>
      <c r="F211" s="137">
        <v>43125</v>
      </c>
      <c r="I211" s="116" t="s">
        <v>5013</v>
      </c>
    </row>
    <row r="212" spans="3:9" x14ac:dyDescent="0.15">
      <c r="C212" s="116" t="s">
        <v>4802</v>
      </c>
      <c r="D212" s="116" t="s">
        <v>4833</v>
      </c>
    </row>
    <row r="213" spans="3:9" x14ac:dyDescent="0.15">
      <c r="C213" s="116" t="s">
        <v>4803</v>
      </c>
      <c r="D213" s="116" t="s">
        <v>4823</v>
      </c>
    </row>
    <row r="214" spans="3:9" x14ac:dyDescent="0.15">
      <c r="C214" s="116" t="s">
        <v>4804</v>
      </c>
      <c r="D214" s="116" t="s">
        <v>4843</v>
      </c>
    </row>
    <row r="215" spans="3:9" x14ac:dyDescent="0.15">
      <c r="C215" s="116" t="s">
        <v>4805</v>
      </c>
      <c r="D215" s="116" t="s">
        <v>4823</v>
      </c>
    </row>
    <row r="216" spans="3:9" x14ac:dyDescent="0.15">
      <c r="C216" s="116" t="s">
        <v>4806</v>
      </c>
      <c r="D216" s="116" t="s">
        <v>4853</v>
      </c>
    </row>
    <row r="217" spans="3:9" x14ac:dyDescent="0.15">
      <c r="C217" s="116" t="s">
        <v>4807</v>
      </c>
      <c r="D217" s="116" t="s">
        <v>4853</v>
      </c>
    </row>
    <row r="218" spans="3:9" x14ac:dyDescent="0.15">
      <c r="C218" s="116" t="s">
        <v>4808</v>
      </c>
      <c r="D218" s="116" t="s">
        <v>4823</v>
      </c>
      <c r="I218" s="116" t="s">
        <v>4952</v>
      </c>
    </row>
    <row r="219" spans="3:9" x14ac:dyDescent="0.15">
      <c r="C219" s="116" t="s">
        <v>4809</v>
      </c>
    </row>
    <row r="220" spans="3:9" x14ac:dyDescent="0.15">
      <c r="C220" s="116" t="s">
        <v>4810</v>
      </c>
    </row>
    <row r="221" spans="3:9" x14ac:dyDescent="0.15">
      <c r="C221" s="116" t="s">
        <v>4811</v>
      </c>
      <c r="D221" s="116" t="s">
        <v>2935</v>
      </c>
      <c r="I221" s="116" t="s">
        <v>4952</v>
      </c>
    </row>
    <row r="222" spans="3:9" x14ac:dyDescent="0.15">
      <c r="C222" s="116" t="s">
        <v>4812</v>
      </c>
      <c r="D222" s="116" t="s">
        <v>2935</v>
      </c>
    </row>
    <row r="223" spans="3:9" x14ac:dyDescent="0.15">
      <c r="C223" s="116" t="s">
        <v>4813</v>
      </c>
      <c r="D223" s="116" t="s">
        <v>4843</v>
      </c>
    </row>
    <row r="224" spans="3:9" x14ac:dyDescent="0.15">
      <c r="C224" s="116" t="s">
        <v>4814</v>
      </c>
      <c r="D224" s="116" t="s">
        <v>2935</v>
      </c>
    </row>
    <row r="225" spans="3:11" x14ac:dyDescent="0.15">
      <c r="C225" s="116" t="s">
        <v>4817</v>
      </c>
      <c r="D225" s="116" t="s">
        <v>4815</v>
      </c>
    </row>
    <row r="226" spans="3:11" x14ac:dyDescent="0.15">
      <c r="C226" s="116" t="s">
        <v>4818</v>
      </c>
      <c r="D226" s="116" t="s">
        <v>4815</v>
      </c>
    </row>
    <row r="227" spans="3:11" x14ac:dyDescent="0.15">
      <c r="C227" s="116" t="s">
        <v>4826</v>
      </c>
      <c r="D227" s="116" t="s">
        <v>4839</v>
      </c>
    </row>
    <row r="228" spans="3:11" x14ac:dyDescent="0.15">
      <c r="C228" s="116" t="s">
        <v>4830</v>
      </c>
      <c r="D228" s="116" t="s">
        <v>4831</v>
      </c>
    </row>
    <row r="229" spans="3:11" x14ac:dyDescent="0.15">
      <c r="C229" s="116" t="s">
        <v>4834</v>
      </c>
      <c r="D229" s="116" t="s">
        <v>4835</v>
      </c>
    </row>
    <row r="230" spans="3:11" x14ac:dyDescent="0.15">
      <c r="C230" s="116" t="s">
        <v>5371</v>
      </c>
      <c r="D230" s="116" t="s">
        <v>4571</v>
      </c>
      <c r="E230" s="116" t="s">
        <v>5372</v>
      </c>
      <c r="F230" s="135">
        <v>2022</v>
      </c>
      <c r="G230" s="135" t="s">
        <v>4672</v>
      </c>
      <c r="K230" s="116" t="s">
        <v>5373</v>
      </c>
    </row>
    <row r="231" spans="3:11" x14ac:dyDescent="0.15">
      <c r="C231" s="116" t="s">
        <v>4836</v>
      </c>
      <c r="D231" s="116" t="s">
        <v>4829</v>
      </c>
      <c r="I231" s="116" t="s">
        <v>4991</v>
      </c>
    </row>
    <row r="232" spans="3:11" x14ac:dyDescent="0.15">
      <c r="C232" s="116" t="s">
        <v>4837</v>
      </c>
      <c r="D232" s="116" t="s">
        <v>4838</v>
      </c>
    </row>
    <row r="233" spans="3:11" x14ac:dyDescent="0.15">
      <c r="C233" s="116" t="s">
        <v>4840</v>
      </c>
      <c r="D233" s="116" t="s">
        <v>4841</v>
      </c>
    </row>
    <row r="234" spans="3:11" x14ac:dyDescent="0.15">
      <c r="C234" s="116" t="s">
        <v>4847</v>
      </c>
      <c r="D234" s="116" t="s">
        <v>4848</v>
      </c>
    </row>
    <row r="235" spans="3:11" x14ac:dyDescent="0.15">
      <c r="C235" s="116" t="s">
        <v>4849</v>
      </c>
      <c r="D235" s="116" t="s">
        <v>4850</v>
      </c>
    </row>
    <row r="236" spans="3:11" x14ac:dyDescent="0.15">
      <c r="C236" s="116" t="s">
        <v>4851</v>
      </c>
    </row>
    <row r="237" spans="3:11" x14ac:dyDescent="0.15">
      <c r="C237" s="116" t="s">
        <v>4855</v>
      </c>
      <c r="I237" s="116" t="s">
        <v>4952</v>
      </c>
    </row>
    <row r="238" spans="3:11" x14ac:dyDescent="0.15">
      <c r="C238" s="116" t="s">
        <v>4856</v>
      </c>
      <c r="I238" s="116" t="s">
        <v>4952</v>
      </c>
    </row>
    <row r="239" spans="3:11" x14ac:dyDescent="0.15">
      <c r="C239" s="116" t="s">
        <v>4857</v>
      </c>
      <c r="D239" s="116" t="s">
        <v>4858</v>
      </c>
    </row>
    <row r="240" spans="3:11" x14ac:dyDescent="0.15">
      <c r="C240" s="116" t="s">
        <v>4859</v>
      </c>
      <c r="D240" s="116" t="s">
        <v>2463</v>
      </c>
    </row>
    <row r="241" spans="3:7" x14ac:dyDescent="0.15">
      <c r="C241" s="116" t="s">
        <v>4861</v>
      </c>
      <c r="D241" s="116" t="s">
        <v>6120</v>
      </c>
    </row>
    <row r="242" spans="3:7" x14ac:dyDescent="0.15">
      <c r="C242" s="116" t="s">
        <v>6121</v>
      </c>
      <c r="D242" s="116" t="s">
        <v>6122</v>
      </c>
    </row>
    <row r="243" spans="3:7" x14ac:dyDescent="0.15">
      <c r="C243" s="116" t="s">
        <v>4862</v>
      </c>
      <c r="D243" s="116" t="s">
        <v>4863</v>
      </c>
    </row>
    <row r="244" spans="3:7" x14ac:dyDescent="0.15">
      <c r="C244" s="116" t="s">
        <v>4864</v>
      </c>
      <c r="D244" s="116" t="s">
        <v>4863</v>
      </c>
    </row>
    <row r="245" spans="3:7" x14ac:dyDescent="0.15">
      <c r="C245" s="116" t="s">
        <v>4865</v>
      </c>
      <c r="D245" s="116" t="s">
        <v>4863</v>
      </c>
    </row>
    <row r="246" spans="3:7" x14ac:dyDescent="0.15">
      <c r="C246" s="116" t="s">
        <v>4866</v>
      </c>
      <c r="D246" s="116" t="s">
        <v>2087</v>
      </c>
    </row>
    <row r="247" spans="3:7" x14ac:dyDescent="0.15">
      <c r="C247" s="116" t="s">
        <v>4867</v>
      </c>
      <c r="D247" s="116" t="s">
        <v>2087</v>
      </c>
    </row>
    <row r="248" spans="3:7" x14ac:dyDescent="0.15">
      <c r="C248" s="116" t="s">
        <v>4868</v>
      </c>
      <c r="D248" s="116" t="s">
        <v>2087</v>
      </c>
    </row>
    <row r="249" spans="3:7" x14ac:dyDescent="0.15">
      <c r="C249" s="116" t="s">
        <v>4869</v>
      </c>
      <c r="D249" s="116" t="s">
        <v>2087</v>
      </c>
    </row>
    <row r="250" spans="3:7" x14ac:dyDescent="0.15">
      <c r="C250" s="116" t="s">
        <v>4870</v>
      </c>
      <c r="D250" s="116" t="s">
        <v>2087</v>
      </c>
      <c r="G250" s="135" t="s">
        <v>4952</v>
      </c>
    </row>
    <row r="251" spans="3:7" x14ac:dyDescent="0.15">
      <c r="C251" s="116" t="s">
        <v>4871</v>
      </c>
      <c r="D251" s="116" t="s">
        <v>2087</v>
      </c>
    </row>
    <row r="252" spans="3:7" x14ac:dyDescent="0.15">
      <c r="C252" s="116" t="s">
        <v>4872</v>
      </c>
      <c r="D252" s="116" t="s">
        <v>2087</v>
      </c>
    </row>
    <row r="253" spans="3:7" x14ac:dyDescent="0.15">
      <c r="C253" s="116" t="s">
        <v>4873</v>
      </c>
      <c r="D253" s="116" t="s">
        <v>2458</v>
      </c>
    </row>
    <row r="254" spans="3:7" x14ac:dyDescent="0.15">
      <c r="C254" s="116" t="s">
        <v>4874</v>
      </c>
      <c r="D254" s="116" t="s">
        <v>2458</v>
      </c>
      <c r="G254" s="135" t="s">
        <v>4952</v>
      </c>
    </row>
    <row r="255" spans="3:7" x14ac:dyDescent="0.15">
      <c r="C255" s="116" t="s">
        <v>4875</v>
      </c>
      <c r="D255" s="116" t="s">
        <v>2458</v>
      </c>
    </row>
    <row r="256" spans="3:7" x14ac:dyDescent="0.15">
      <c r="C256" s="116" t="s">
        <v>4876</v>
      </c>
    </row>
    <row r="257" spans="3:7" x14ac:dyDescent="0.15">
      <c r="C257" s="116" t="s">
        <v>4958</v>
      </c>
      <c r="D257" s="116" t="s">
        <v>1547</v>
      </c>
      <c r="G257" s="135" t="s">
        <v>4952</v>
      </c>
    </row>
    <row r="258" spans="3:7" x14ac:dyDescent="0.15">
      <c r="C258" s="116" t="s">
        <v>4957</v>
      </c>
      <c r="D258" s="116" t="s">
        <v>1547</v>
      </c>
      <c r="G258" s="135" t="s">
        <v>4952</v>
      </c>
    </row>
    <row r="259" spans="3:7" x14ac:dyDescent="0.15">
      <c r="C259" s="116" t="s">
        <v>4960</v>
      </c>
      <c r="D259" s="116" t="s">
        <v>1547</v>
      </c>
      <c r="G259" s="135" t="s">
        <v>4952</v>
      </c>
    </row>
    <row r="260" spans="3:7" x14ac:dyDescent="0.15">
      <c r="C260" s="116" t="s">
        <v>4963</v>
      </c>
      <c r="D260" s="116" t="s">
        <v>1547</v>
      </c>
      <c r="G260" s="135" t="s">
        <v>4991</v>
      </c>
    </row>
    <row r="261" spans="3:7" x14ac:dyDescent="0.15">
      <c r="C261" s="116" t="s">
        <v>4966</v>
      </c>
      <c r="D261" s="116" t="s">
        <v>1547</v>
      </c>
      <c r="G261" s="135" t="s">
        <v>4952</v>
      </c>
    </row>
    <row r="262" spans="3:7" x14ac:dyDescent="0.15">
      <c r="C262" s="116" t="s">
        <v>4969</v>
      </c>
      <c r="D262" s="116" t="s">
        <v>1547</v>
      </c>
      <c r="G262" s="135" t="s">
        <v>4952</v>
      </c>
    </row>
    <row r="263" spans="3:7" x14ac:dyDescent="0.15">
      <c r="C263" s="116" t="s">
        <v>4971</v>
      </c>
      <c r="D263" s="116" t="s">
        <v>1547</v>
      </c>
      <c r="G263" s="135" t="s">
        <v>4952</v>
      </c>
    </row>
    <row r="264" spans="3:7" x14ac:dyDescent="0.15">
      <c r="C264" s="116" t="s">
        <v>4972</v>
      </c>
      <c r="D264" s="116" t="s">
        <v>1547</v>
      </c>
      <c r="G264" s="135" t="s">
        <v>4952</v>
      </c>
    </row>
    <row r="265" spans="3:7" x14ac:dyDescent="0.15">
      <c r="C265" s="116" t="s">
        <v>4973</v>
      </c>
      <c r="D265" s="116" t="s">
        <v>1547</v>
      </c>
      <c r="G265" s="135" t="s">
        <v>4952</v>
      </c>
    </row>
    <row r="266" spans="3:7" x14ac:dyDescent="0.15">
      <c r="C266" s="116" t="s">
        <v>4975</v>
      </c>
      <c r="D266" s="116" t="s">
        <v>1547</v>
      </c>
      <c r="G266" s="135" t="s">
        <v>4952</v>
      </c>
    </row>
    <row r="267" spans="3:7" x14ac:dyDescent="0.15">
      <c r="C267" s="116" t="s">
        <v>4977</v>
      </c>
      <c r="D267" s="116" t="s">
        <v>1547</v>
      </c>
      <c r="G267" s="135" t="s">
        <v>4952</v>
      </c>
    </row>
    <row r="268" spans="3:7" x14ac:dyDescent="0.15">
      <c r="C268" s="116" t="s">
        <v>4978</v>
      </c>
      <c r="D268" s="116" t="s">
        <v>1547</v>
      </c>
      <c r="G268" s="135" t="s">
        <v>4952</v>
      </c>
    </row>
    <row r="269" spans="3:7" x14ac:dyDescent="0.15">
      <c r="C269" s="116" t="s">
        <v>4988</v>
      </c>
      <c r="G269" s="135" t="s">
        <v>4989</v>
      </c>
    </row>
    <row r="270" spans="3:7" x14ac:dyDescent="0.15">
      <c r="C270" s="116" t="s">
        <v>4990</v>
      </c>
      <c r="G270" s="135" t="s">
        <v>4989</v>
      </c>
    </row>
    <row r="271" spans="3:7" x14ac:dyDescent="0.15">
      <c r="C271" s="116" t="s">
        <v>4992</v>
      </c>
      <c r="G271" s="135" t="s">
        <v>4989</v>
      </c>
    </row>
    <row r="272" spans="3:7" x14ac:dyDescent="0.15">
      <c r="C272" s="116" t="s">
        <v>4994</v>
      </c>
      <c r="G272" s="135" t="s">
        <v>4989</v>
      </c>
    </row>
    <row r="273" spans="3:10" x14ac:dyDescent="0.15">
      <c r="C273" s="116" t="s">
        <v>4995</v>
      </c>
      <c r="G273" s="135" t="s">
        <v>4989</v>
      </c>
    </row>
    <row r="274" spans="3:10" x14ac:dyDescent="0.15">
      <c r="C274" s="116" t="s">
        <v>4996</v>
      </c>
      <c r="G274" s="135" t="s">
        <v>4989</v>
      </c>
    </row>
    <row r="275" spans="3:10" x14ac:dyDescent="0.15">
      <c r="C275" s="116" t="s">
        <v>4997</v>
      </c>
      <c r="G275" s="135" t="s">
        <v>4989</v>
      </c>
    </row>
    <row r="276" spans="3:10" x14ac:dyDescent="0.15">
      <c r="C276" s="116" t="s">
        <v>4999</v>
      </c>
      <c r="G276" s="135" t="s">
        <v>4989</v>
      </c>
    </row>
    <row r="278" spans="3:10" x14ac:dyDescent="0.15">
      <c r="C278" s="116" t="s">
        <v>4954</v>
      </c>
      <c r="D278" s="116" t="s">
        <v>4956</v>
      </c>
      <c r="G278" s="135" t="s">
        <v>4993</v>
      </c>
    </row>
    <row r="279" spans="3:10" x14ac:dyDescent="0.15">
      <c r="C279" s="116" t="s">
        <v>4959</v>
      </c>
      <c r="D279" s="116" t="s">
        <v>4956</v>
      </c>
      <c r="G279" s="135" t="s">
        <v>4955</v>
      </c>
    </row>
    <row r="280" spans="3:10" x14ac:dyDescent="0.15">
      <c r="C280" s="116" t="s">
        <v>4967</v>
      </c>
      <c r="D280" s="116" t="s">
        <v>4956</v>
      </c>
      <c r="G280" s="135" t="s">
        <v>4993</v>
      </c>
    </row>
    <row r="281" spans="3:10" x14ac:dyDescent="0.15">
      <c r="C281" s="116" t="s">
        <v>4968</v>
      </c>
      <c r="D281" s="116" t="s">
        <v>4956</v>
      </c>
      <c r="G281" s="135" t="s">
        <v>4955</v>
      </c>
    </row>
    <row r="282" spans="3:10" x14ac:dyDescent="0.15">
      <c r="C282" s="116" t="s">
        <v>4961</v>
      </c>
      <c r="D282" s="116" t="s">
        <v>4962</v>
      </c>
    </row>
    <row r="285" spans="3:10" x14ac:dyDescent="0.15">
      <c r="C285" s="116" t="s">
        <v>5006</v>
      </c>
      <c r="D285" s="116" t="s">
        <v>5008</v>
      </c>
      <c r="F285" s="137">
        <v>42879</v>
      </c>
      <c r="H285" s="25"/>
      <c r="I285" s="116" t="s">
        <v>5009</v>
      </c>
      <c r="J285" s="25" t="s">
        <v>5007</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1167</v>
      </c>
    </row>
    <row r="2" spans="1:11" x14ac:dyDescent="0.15">
      <c r="A2" s="25"/>
      <c r="B2" s="177" t="s">
        <v>4005</v>
      </c>
      <c r="C2" s="177" t="s">
        <v>6624</v>
      </c>
      <c r="D2" s="177" t="s">
        <v>4670</v>
      </c>
      <c r="E2" s="177" t="s">
        <v>4653</v>
      </c>
      <c r="F2" s="177" t="s">
        <v>4532</v>
      </c>
      <c r="G2" s="177" t="s">
        <v>4671</v>
      </c>
      <c r="H2" s="177" t="s">
        <v>1152</v>
      </c>
      <c r="I2" s="177" t="s">
        <v>5002</v>
      </c>
      <c r="J2" s="177" t="s">
        <v>2297</v>
      </c>
      <c r="K2" s="177" t="s">
        <v>4258</v>
      </c>
    </row>
    <row r="3" spans="1:11" x14ac:dyDescent="0.15">
      <c r="B3" s="103" t="s">
        <v>5501</v>
      </c>
      <c r="K3" s="177" t="s">
        <v>6626</v>
      </c>
    </row>
    <row r="4" spans="1:11" x14ac:dyDescent="0.15">
      <c r="B4" s="103" t="s">
        <v>5502</v>
      </c>
      <c r="K4" s="177" t="s">
        <v>6626</v>
      </c>
    </row>
    <row r="5" spans="1:11" x14ac:dyDescent="0.15">
      <c r="B5" s="103" t="s">
        <v>5503</v>
      </c>
      <c r="K5" s="177" t="s">
        <v>6626</v>
      </c>
    </row>
    <row r="6" spans="1:11" x14ac:dyDescent="0.15">
      <c r="B6" s="103" t="s">
        <v>5504</v>
      </c>
      <c r="K6" s="177" t="s">
        <v>6626</v>
      </c>
    </row>
    <row r="7" spans="1:11" x14ac:dyDescent="0.15">
      <c r="B7" s="103" t="s">
        <v>5505</v>
      </c>
      <c r="K7" s="177" t="s">
        <v>6626</v>
      </c>
    </row>
    <row r="8" spans="1:11" x14ac:dyDescent="0.15">
      <c r="B8" s="177" t="s">
        <v>6625</v>
      </c>
      <c r="K8" s="177" t="s">
        <v>6627</v>
      </c>
    </row>
    <row r="9" spans="1:11" x14ac:dyDescent="0.15">
      <c r="B9" s="177" t="s">
        <v>6628</v>
      </c>
      <c r="K9" s="177" t="s">
        <v>6627</v>
      </c>
    </row>
    <row r="10" spans="1:11" x14ac:dyDescent="0.15">
      <c r="B10" s="177" t="s">
        <v>6629</v>
      </c>
      <c r="K10" s="177" t="s">
        <v>6627</v>
      </c>
    </row>
    <row r="11" spans="1:11" x14ac:dyDescent="0.15">
      <c r="B11" s="177" t="s">
        <v>6630</v>
      </c>
      <c r="K11" s="177" t="s">
        <v>6627</v>
      </c>
    </row>
    <row r="12" spans="1:11" x14ac:dyDescent="0.15">
      <c r="B12" s="177" t="s">
        <v>6631</v>
      </c>
      <c r="K12" s="177" t="s">
        <v>6627</v>
      </c>
    </row>
    <row r="13" spans="1:11" x14ac:dyDescent="0.15">
      <c r="B13" s="177" t="s">
        <v>6632</v>
      </c>
      <c r="K13" s="177" t="s">
        <v>6627</v>
      </c>
    </row>
    <row r="14" spans="1:11" x14ac:dyDescent="0.15">
      <c r="B14" s="177" t="s">
        <v>6633</v>
      </c>
      <c r="K14" s="177" t="s">
        <v>6627</v>
      </c>
    </row>
    <row r="15" spans="1:11" x14ac:dyDescent="0.15">
      <c r="B15" s="177" t="s">
        <v>6634</v>
      </c>
      <c r="K15" s="177" t="s">
        <v>6627</v>
      </c>
    </row>
    <row r="16" spans="1:11" x14ac:dyDescent="0.15">
      <c r="B16" s="177" t="s">
        <v>6635</v>
      </c>
      <c r="K16" s="177" t="s">
        <v>6627</v>
      </c>
    </row>
    <row r="17" spans="2:11" x14ac:dyDescent="0.15">
      <c r="B17" s="177" t="s">
        <v>6636</v>
      </c>
      <c r="K17" s="177" t="s">
        <v>6627</v>
      </c>
    </row>
    <row r="18" spans="2:11" x14ac:dyDescent="0.15">
      <c r="B18" s="177" t="s">
        <v>6637</v>
      </c>
      <c r="K18" s="177" t="s">
        <v>6627</v>
      </c>
    </row>
    <row r="19" spans="2:11" x14ac:dyDescent="0.15">
      <c r="B19" s="216" t="s">
        <v>7112</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1167</v>
      </c>
    </row>
    <row r="2" spans="1:3" x14ac:dyDescent="0.15">
      <c r="B2" s="103" t="s">
        <v>6011</v>
      </c>
      <c r="C2" s="103" t="s">
        <v>6012</v>
      </c>
    </row>
    <row r="3" spans="1:3" x14ac:dyDescent="0.15">
      <c r="B3" s="103" t="s">
        <v>6026</v>
      </c>
      <c r="C3" s="103" t="s">
        <v>6027</v>
      </c>
    </row>
    <row r="4" spans="1:3" x14ac:dyDescent="0.15">
      <c r="B4" s="103" t="s">
        <v>6014</v>
      </c>
      <c r="C4" s="103" t="s">
        <v>6015</v>
      </c>
    </row>
    <row r="5" spans="1:3" x14ac:dyDescent="0.15">
      <c r="B5" s="103" t="s">
        <v>6028</v>
      </c>
      <c r="C5" s="103" t="s">
        <v>6029</v>
      </c>
    </row>
    <row r="6" spans="1:3" x14ac:dyDescent="0.15">
      <c r="B6" s="103" t="s">
        <v>6037</v>
      </c>
    </row>
    <row r="7" spans="1:3" x14ac:dyDescent="0.15">
      <c r="B7" s="103" t="s">
        <v>6024</v>
      </c>
      <c r="C7" s="103" t="s">
        <v>6025</v>
      </c>
    </row>
    <row r="8" spans="1:3" x14ac:dyDescent="0.15">
      <c r="B8" s="103" t="s">
        <v>6021</v>
      </c>
      <c r="C8" s="103" t="s">
        <v>6022</v>
      </c>
    </row>
    <row r="9" spans="1:3" x14ac:dyDescent="0.15">
      <c r="B9" s="103" t="s">
        <v>6019</v>
      </c>
      <c r="C9" s="103" t="s">
        <v>6020</v>
      </c>
    </row>
    <row r="10" spans="1:3" x14ac:dyDescent="0.15">
      <c r="B10" s="103" t="s">
        <v>6031</v>
      </c>
      <c r="C10" s="103" t="s">
        <v>6032</v>
      </c>
    </row>
    <row r="11" spans="1:3" x14ac:dyDescent="0.15">
      <c r="B11" s="103" t="s">
        <v>6036</v>
      </c>
    </row>
    <row r="12" spans="1:3" x14ac:dyDescent="0.15">
      <c r="B12" s="103" t="s">
        <v>6007</v>
      </c>
      <c r="C12" s="103" t="s">
        <v>6008</v>
      </c>
    </row>
    <row r="13" spans="1:3" x14ac:dyDescent="0.15">
      <c r="B13" s="103" t="s">
        <v>6033</v>
      </c>
      <c r="C13" s="103" t="s">
        <v>6034</v>
      </c>
    </row>
    <row r="14" spans="1:3" x14ac:dyDescent="0.15">
      <c r="B14" s="103" t="s">
        <v>6017</v>
      </c>
      <c r="C14" s="103" t="s">
        <v>6018</v>
      </c>
    </row>
    <row r="15" spans="1:3" x14ac:dyDescent="0.15">
      <c r="B15" s="103" t="s">
        <v>6013</v>
      </c>
      <c r="C15" s="103" t="s">
        <v>6016</v>
      </c>
    </row>
    <row r="16" spans="1:3" x14ac:dyDescent="0.15">
      <c r="B16" s="103" t="s">
        <v>6002</v>
      </c>
      <c r="C16" s="103" t="s">
        <v>6003</v>
      </c>
    </row>
    <row r="17" spans="2:3" x14ac:dyDescent="0.15">
      <c r="B17" s="103" t="s">
        <v>6035</v>
      </c>
    </row>
    <row r="18" spans="2:3" x14ac:dyDescent="0.15">
      <c r="B18" s="256" t="s">
        <v>7723</v>
      </c>
    </row>
    <row r="19" spans="2:3" x14ac:dyDescent="0.15">
      <c r="B19" s="103" t="s">
        <v>6010</v>
      </c>
      <c r="C19" s="103" t="s">
        <v>6005</v>
      </c>
    </row>
    <row r="20" spans="2:3" x14ac:dyDescent="0.15">
      <c r="B20" s="103" t="s">
        <v>6009</v>
      </c>
      <c r="C20" s="103" t="s">
        <v>6030</v>
      </c>
    </row>
    <row r="21" spans="2:3" x14ac:dyDescent="0.15">
      <c r="B21" s="103" t="s">
        <v>6004</v>
      </c>
      <c r="C21" s="103" t="s">
        <v>6006</v>
      </c>
    </row>
    <row r="26" spans="2:3" ht="16" x14ac:dyDescent="0.2">
      <c r="B26"/>
    </row>
    <row r="27" spans="2:3" x14ac:dyDescent="0.15">
      <c r="B27" s="256" t="s">
        <v>7719</v>
      </c>
    </row>
    <row r="28" spans="2:3" x14ac:dyDescent="0.15">
      <c r="B28" s="256" t="s">
        <v>7720</v>
      </c>
    </row>
    <row r="30" spans="2:3" ht="16" x14ac:dyDescent="0.2">
      <c r="B30"/>
    </row>
    <row r="32" spans="2:3" x14ac:dyDescent="0.15">
      <c r="B32" s="256" t="s">
        <v>7721</v>
      </c>
    </row>
    <row r="33" spans="2:2" x14ac:dyDescent="0.15">
      <c r="B33" s="256" t="s">
        <v>7722</v>
      </c>
    </row>
    <row r="35" spans="2:2" ht="16" x14ac:dyDescent="0.2">
      <c r="B35"/>
    </row>
    <row r="38" spans="2:2" x14ac:dyDescent="0.15">
      <c r="B38" s="256" t="s">
        <v>7724</v>
      </c>
    </row>
  </sheetData>
  <hyperlinks>
    <hyperlink ref="A1" location="Main!A1" display="Main" xr:uid="{86B213B9-E3BC-924C-877F-49F15CDE5EA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3"/>
  <sheetViews>
    <sheetView zoomScale="115" zoomScaleNormal="115" workbookViewId="0">
      <pane xSplit="2" ySplit="2" topLeftCell="C1408" activePane="bottomRight" state="frozen"/>
      <selection pane="topRight" activeCell="C1" sqref="C1"/>
      <selection pane="bottomLeft" activeCell="A3" sqref="A3"/>
      <selection pane="bottomRight" activeCell="C1434" sqref="C1434"/>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1167</v>
      </c>
      <c r="D1" s="82">
        <f>SUM(D3:D366)</f>
        <v>8735916.2142857146</v>
      </c>
    </row>
    <row r="2" spans="1:40" x14ac:dyDescent="0.15">
      <c r="B2" s="80" t="s">
        <v>4005</v>
      </c>
      <c r="C2" s="81" t="s">
        <v>4004</v>
      </c>
      <c r="D2" s="82" t="s">
        <v>4003</v>
      </c>
      <c r="E2" s="80" t="s">
        <v>4002</v>
      </c>
      <c r="F2" s="82" t="s">
        <v>1159</v>
      </c>
      <c r="G2" s="102" t="s">
        <v>1160</v>
      </c>
      <c r="H2" s="83" t="s">
        <v>1158</v>
      </c>
      <c r="I2" s="80" t="s">
        <v>4001</v>
      </c>
      <c r="J2" s="80" t="s">
        <v>4000</v>
      </c>
      <c r="K2" s="80" t="s">
        <v>3999</v>
      </c>
      <c r="L2" s="80" t="s">
        <v>3998</v>
      </c>
      <c r="M2" s="83" t="s">
        <v>1155</v>
      </c>
      <c r="N2" s="80" t="s">
        <v>1152</v>
      </c>
      <c r="O2" s="80" t="s">
        <v>3996</v>
      </c>
      <c r="P2" s="84" t="s">
        <v>3997</v>
      </c>
      <c r="Q2" s="84" t="s">
        <v>1159</v>
      </c>
      <c r="R2" s="84" t="s">
        <v>3996</v>
      </c>
      <c r="S2" s="84" t="s">
        <v>3997</v>
      </c>
      <c r="T2" s="84" t="s">
        <v>1159</v>
      </c>
      <c r="U2" s="84" t="s">
        <v>3996</v>
      </c>
      <c r="V2" s="84" t="s">
        <v>3997</v>
      </c>
      <c r="W2" s="84" t="s">
        <v>1159</v>
      </c>
      <c r="X2" s="84" t="s">
        <v>3996</v>
      </c>
      <c r="Y2" s="84" t="s">
        <v>3997</v>
      </c>
      <c r="Z2" s="84" t="s">
        <v>1159</v>
      </c>
      <c r="AA2" s="84" t="s">
        <v>3996</v>
      </c>
      <c r="AB2" s="181" t="s">
        <v>6659</v>
      </c>
      <c r="AC2" s="181" t="s">
        <v>6660</v>
      </c>
      <c r="AD2" s="181" t="s">
        <v>6661</v>
      </c>
      <c r="AE2" s="80" t="s">
        <v>3995</v>
      </c>
      <c r="AF2" s="70" t="s">
        <v>5060</v>
      </c>
      <c r="AG2" s="65" t="s">
        <v>5061</v>
      </c>
    </row>
    <row r="3" spans="1:40" x14ac:dyDescent="0.15">
      <c r="B3" s="80" t="s">
        <v>3965</v>
      </c>
      <c r="C3" s="81" t="s">
        <v>3994</v>
      </c>
      <c r="D3" s="82">
        <v>2440000</v>
      </c>
      <c r="E3" s="233" t="s">
        <v>3812</v>
      </c>
      <c r="F3" s="82" t="s">
        <v>1</v>
      </c>
      <c r="G3" s="82" t="s">
        <v>1</v>
      </c>
      <c r="H3" s="85">
        <v>31484</v>
      </c>
      <c r="I3" s="80" t="s">
        <v>4289</v>
      </c>
      <c r="J3" s="80" t="s">
        <v>3993</v>
      </c>
      <c r="K3" s="80" t="s">
        <v>2050</v>
      </c>
      <c r="L3" s="80" t="s">
        <v>2061</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6662</v>
      </c>
      <c r="AC3" s="181" t="s">
        <v>6664</v>
      </c>
      <c r="AD3" s="181" t="s">
        <v>6681</v>
      </c>
      <c r="AE3" s="25" t="s">
        <v>3992</v>
      </c>
      <c r="AF3" s="71">
        <v>721.3</v>
      </c>
      <c r="AG3" s="69">
        <v>0.18541666666666667</v>
      </c>
      <c r="AM3" s="25" t="s">
        <v>3991</v>
      </c>
      <c r="AN3" s="80">
        <v>14000</v>
      </c>
    </row>
    <row r="4" spans="1:40" x14ac:dyDescent="0.15">
      <c r="B4" s="80" t="s">
        <v>3869</v>
      </c>
      <c r="C4" s="81" t="s">
        <v>3990</v>
      </c>
      <c r="D4" s="82">
        <v>1720000</v>
      </c>
      <c r="E4" s="80" t="s">
        <v>1</v>
      </c>
      <c r="F4" s="82" t="s">
        <v>1</v>
      </c>
      <c r="G4" s="82" t="s">
        <v>1</v>
      </c>
      <c r="H4" s="85">
        <v>38218</v>
      </c>
      <c r="I4" s="80" t="s">
        <v>3989</v>
      </c>
      <c r="J4" s="80" t="s">
        <v>4282</v>
      </c>
      <c r="K4" s="80" t="s">
        <v>2315</v>
      </c>
      <c r="L4" s="80" t="s">
        <v>2772</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6662</v>
      </c>
      <c r="AC4" s="181" t="s">
        <v>6665</v>
      </c>
      <c r="AD4" s="181" t="s">
        <v>6673</v>
      </c>
      <c r="AE4" s="25" t="s">
        <v>3987</v>
      </c>
      <c r="AF4" s="71">
        <v>77620</v>
      </c>
      <c r="AG4" s="69">
        <v>0.44027777777777777</v>
      </c>
      <c r="AM4" s="25" t="s">
        <v>3986</v>
      </c>
      <c r="AN4" s="80">
        <v>600</v>
      </c>
    </row>
    <row r="5" spans="1:40" x14ac:dyDescent="0.15">
      <c r="B5" s="80" t="s">
        <v>3980</v>
      </c>
      <c r="C5" s="81" t="s">
        <v>3979</v>
      </c>
      <c r="D5" s="82">
        <v>1430000</v>
      </c>
      <c r="E5" s="80" t="s">
        <v>1</v>
      </c>
      <c r="F5" s="82" t="s">
        <v>1</v>
      </c>
      <c r="G5" s="82" t="s">
        <v>1</v>
      </c>
      <c r="H5" s="85">
        <v>35565</v>
      </c>
      <c r="I5" s="80" t="s">
        <v>4344</v>
      </c>
      <c r="K5" s="80" t="s">
        <v>2050</v>
      </c>
      <c r="L5" s="80" t="s">
        <v>2061</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6662</v>
      </c>
      <c r="AC5" s="181" t="s">
        <v>6664</v>
      </c>
      <c r="AD5" s="80" t="s">
        <v>2907</v>
      </c>
      <c r="AE5" s="25" t="s">
        <v>4369</v>
      </c>
      <c r="AF5" s="71">
        <v>61.21</v>
      </c>
      <c r="AG5" s="69">
        <v>0.4777777777777778</v>
      </c>
      <c r="AM5" s="80" t="s">
        <v>3981</v>
      </c>
      <c r="AN5" s="80">
        <v>250</v>
      </c>
    </row>
    <row r="6" spans="1:40" s="12" customFormat="1" x14ac:dyDescent="0.15">
      <c r="A6" s="80"/>
      <c r="B6" s="80" t="s">
        <v>1090</v>
      </c>
      <c r="C6" s="81" t="s">
        <v>3977</v>
      </c>
      <c r="D6" s="82">
        <v>1200000</v>
      </c>
      <c r="E6" s="80" t="s">
        <v>1</v>
      </c>
      <c r="F6" s="82" t="s">
        <v>1</v>
      </c>
      <c r="G6" s="82" t="s">
        <v>1</v>
      </c>
      <c r="H6" s="85">
        <v>36182</v>
      </c>
      <c r="I6" s="233" t="s">
        <v>7336</v>
      </c>
      <c r="J6" s="80"/>
      <c r="K6" s="80" t="s">
        <v>2050</v>
      </c>
      <c r="L6" s="80" t="s">
        <v>2105</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6662</v>
      </c>
      <c r="AC6" s="181" t="s">
        <v>6665</v>
      </c>
      <c r="AD6" s="181" t="s">
        <v>6680</v>
      </c>
      <c r="AE6" s="25" t="s">
        <v>3976</v>
      </c>
      <c r="AF6" s="71">
        <v>26.76</v>
      </c>
      <c r="AG6" s="69">
        <v>0.15833333333333333</v>
      </c>
      <c r="AH6" s="80"/>
      <c r="AM6" s="25" t="s">
        <v>3978</v>
      </c>
      <c r="AN6" s="80">
        <v>50</v>
      </c>
    </row>
    <row r="7" spans="1:40" x14ac:dyDescent="0.15">
      <c r="B7" s="80" t="s">
        <v>3985</v>
      </c>
      <c r="C7" s="81" t="s">
        <v>3984</v>
      </c>
      <c r="D7" s="82">
        <v>767730</v>
      </c>
      <c r="E7" s="80" t="s">
        <v>1</v>
      </c>
      <c r="F7" s="82" t="s">
        <v>1</v>
      </c>
      <c r="G7" s="82" t="s">
        <v>1</v>
      </c>
      <c r="H7" s="85">
        <v>40358</v>
      </c>
      <c r="I7" s="80" t="s">
        <v>3956</v>
      </c>
      <c r="K7" s="80" t="s">
        <v>2315</v>
      </c>
      <c r="L7" s="80" t="s">
        <v>3922</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6662</v>
      </c>
      <c r="AC7" s="181" t="s">
        <v>6666</v>
      </c>
      <c r="AD7" s="80" t="s">
        <v>3983</v>
      </c>
      <c r="AE7" s="25" t="s">
        <v>3982</v>
      </c>
      <c r="AF7" s="71">
        <v>20.48</v>
      </c>
      <c r="AG7" s="69">
        <v>0.15694444444444444</v>
      </c>
    </row>
    <row r="8" spans="1:40" x14ac:dyDescent="0.15">
      <c r="B8" s="80" t="s">
        <v>783</v>
      </c>
      <c r="C8" s="232" t="s">
        <v>7332</v>
      </c>
      <c r="D8" s="82">
        <v>762630</v>
      </c>
      <c r="E8" s="80" t="s">
        <v>1</v>
      </c>
      <c r="F8" s="82" t="s">
        <v>1</v>
      </c>
      <c r="G8" s="82" t="s">
        <v>1</v>
      </c>
      <c r="H8" s="85">
        <v>41047</v>
      </c>
      <c r="I8" s="80" t="s">
        <v>4290</v>
      </c>
      <c r="J8" s="80" t="s">
        <v>3975</v>
      </c>
      <c r="K8" s="80" t="s">
        <v>2315</v>
      </c>
      <c r="L8" s="80" t="s">
        <v>2705</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6662</v>
      </c>
      <c r="AC8" s="181" t="s">
        <v>6665</v>
      </c>
      <c r="AD8" s="181" t="s">
        <v>6679</v>
      </c>
      <c r="AE8" s="25" t="s">
        <v>3974</v>
      </c>
      <c r="AF8" s="71">
        <v>15730</v>
      </c>
      <c r="AG8" s="69">
        <v>0.44166666666666665</v>
      </c>
    </row>
    <row r="9" spans="1:40" x14ac:dyDescent="0.15">
      <c r="B9" s="80" t="s">
        <v>3973</v>
      </c>
      <c r="C9" s="81" t="s">
        <v>3972</v>
      </c>
      <c r="D9" s="82">
        <v>51210</v>
      </c>
      <c r="E9" s="80" t="s">
        <v>3812</v>
      </c>
      <c r="F9" s="82">
        <v>109</v>
      </c>
      <c r="G9" s="82" t="s">
        <v>1</v>
      </c>
      <c r="H9" s="85">
        <v>38569</v>
      </c>
      <c r="I9" s="80" t="s">
        <v>3971</v>
      </c>
      <c r="J9" s="80" t="s">
        <v>3970</v>
      </c>
      <c r="K9" s="80" t="s">
        <v>2050</v>
      </c>
      <c r="L9" s="80" t="s">
        <v>2772</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6663</v>
      </c>
      <c r="AD9" s="181" t="s">
        <v>6678</v>
      </c>
      <c r="AE9" s="25" t="s">
        <v>3969</v>
      </c>
      <c r="AF9" s="71">
        <v>4827</v>
      </c>
      <c r="AG9" s="69">
        <v>0.21319444444444444</v>
      </c>
    </row>
    <row r="10" spans="1:40" x14ac:dyDescent="0.15">
      <c r="B10" s="80" t="s">
        <v>1007</v>
      </c>
      <c r="C10" s="81" t="s">
        <v>1693</v>
      </c>
      <c r="D10" s="82">
        <v>36400</v>
      </c>
      <c r="E10" s="233" t="s">
        <v>2493</v>
      </c>
      <c r="F10" s="82">
        <v>1600</v>
      </c>
      <c r="G10" s="82">
        <f>F10+Q10+T10+W10+Z10</f>
        <v>3390</v>
      </c>
      <c r="H10" s="85">
        <v>44439</v>
      </c>
      <c r="I10" s="80" t="s">
        <v>3960</v>
      </c>
      <c r="J10" s="233" t="s">
        <v>7337</v>
      </c>
      <c r="K10" s="80" t="s">
        <v>2050</v>
      </c>
      <c r="L10" s="80" t="s">
        <v>3959</v>
      </c>
      <c r="M10" s="80">
        <v>2013</v>
      </c>
      <c r="O10" s="233" t="s">
        <v>7338</v>
      </c>
      <c r="P10" s="234" t="s">
        <v>505</v>
      </c>
      <c r="Q10" s="234">
        <v>1000</v>
      </c>
      <c r="R10" s="234" t="s">
        <v>7339</v>
      </c>
      <c r="S10" s="234" t="s">
        <v>53</v>
      </c>
      <c r="T10" s="234">
        <v>400</v>
      </c>
      <c r="U10" s="234" t="s">
        <v>7340</v>
      </c>
      <c r="V10" s="234" t="s">
        <v>9</v>
      </c>
      <c r="W10" s="234">
        <v>250</v>
      </c>
      <c r="X10" s="234" t="s">
        <v>7341</v>
      </c>
      <c r="Y10" s="234" t="s">
        <v>8</v>
      </c>
      <c r="Z10" s="234">
        <v>140</v>
      </c>
      <c r="AA10" s="234" t="s">
        <v>7342</v>
      </c>
      <c r="AB10" s="181" t="s">
        <v>6662</v>
      </c>
      <c r="AC10" s="181" t="s">
        <v>6665</v>
      </c>
      <c r="AD10" s="80" t="s">
        <v>2369</v>
      </c>
      <c r="AE10" s="25" t="s">
        <v>4371</v>
      </c>
      <c r="AF10" s="71">
        <v>2.931</v>
      </c>
      <c r="AG10" s="69">
        <v>0.47291666666666665</v>
      </c>
    </row>
    <row r="11" spans="1:40" x14ac:dyDescent="0.15">
      <c r="B11" s="80" t="s">
        <v>3962</v>
      </c>
      <c r="C11" s="81" t="s">
        <v>3961</v>
      </c>
      <c r="D11" s="82">
        <v>32480</v>
      </c>
      <c r="E11" s="80" t="s">
        <v>3812</v>
      </c>
      <c r="F11" s="82">
        <v>444</v>
      </c>
      <c r="G11" s="82" t="s">
        <v>1</v>
      </c>
      <c r="H11" s="85">
        <v>41894</v>
      </c>
      <c r="I11" s="233" t="s">
        <v>7343</v>
      </c>
      <c r="J11" s="80" t="s">
        <v>4389</v>
      </c>
      <c r="K11" s="80" t="s">
        <v>2050</v>
      </c>
      <c r="L11" s="80" t="s">
        <v>2061</v>
      </c>
      <c r="M11" s="80">
        <v>2003</v>
      </c>
      <c r="O11" s="80" t="s">
        <v>4401</v>
      </c>
      <c r="P11" s="84" t="s">
        <v>2493</v>
      </c>
      <c r="Q11" s="84" t="s">
        <v>4399</v>
      </c>
      <c r="R11" s="84" t="s">
        <v>4400</v>
      </c>
      <c r="S11" s="84" t="s">
        <v>505</v>
      </c>
      <c r="T11" s="84">
        <v>56</v>
      </c>
      <c r="U11" s="84" t="s">
        <v>4397</v>
      </c>
      <c r="V11" s="84" t="s">
        <v>9</v>
      </c>
      <c r="W11" s="84">
        <v>50</v>
      </c>
      <c r="X11" s="84" t="s">
        <v>4395</v>
      </c>
      <c r="Y11" s="84" t="s">
        <v>8</v>
      </c>
      <c r="Z11" s="84" t="s">
        <v>4396</v>
      </c>
      <c r="AA11" s="84" t="s">
        <v>4393</v>
      </c>
      <c r="AB11" s="181" t="s">
        <v>6662</v>
      </c>
      <c r="AC11" s="181" t="s">
        <v>6667</v>
      </c>
      <c r="AD11" s="181" t="s">
        <v>6677</v>
      </c>
      <c r="AE11" s="25" t="s">
        <v>4370</v>
      </c>
      <c r="AF11" s="71">
        <v>0.39068900000000001</v>
      </c>
      <c r="AG11" s="69">
        <v>0.1173611111111111</v>
      </c>
    </row>
    <row r="12" spans="1:40" x14ac:dyDescent="0.15">
      <c r="B12" s="80" t="s">
        <v>1127</v>
      </c>
      <c r="C12" s="81" t="s">
        <v>1693</v>
      </c>
      <c r="D12" s="82">
        <v>30000</v>
      </c>
      <c r="E12" s="80" t="s">
        <v>7</v>
      </c>
      <c r="F12" s="82">
        <v>2500</v>
      </c>
      <c r="H12" s="85">
        <v>44363</v>
      </c>
      <c r="I12" s="80" t="s">
        <v>3956</v>
      </c>
      <c r="J12" s="80" t="s">
        <v>3955</v>
      </c>
      <c r="K12" s="80" t="s">
        <v>2315</v>
      </c>
      <c r="L12" s="80" t="s">
        <v>3922</v>
      </c>
      <c r="M12" s="80">
        <v>2009</v>
      </c>
      <c r="N12" s="80" t="s">
        <v>3954</v>
      </c>
      <c r="O12" s="80" t="s">
        <v>3953</v>
      </c>
      <c r="P12" s="84" t="s">
        <v>5</v>
      </c>
      <c r="Q12" s="84">
        <v>3000</v>
      </c>
      <c r="R12" s="84" t="s">
        <v>3952</v>
      </c>
      <c r="S12" s="84" t="s">
        <v>1</v>
      </c>
      <c r="T12" s="84" t="s">
        <v>1</v>
      </c>
      <c r="U12" s="84" t="s">
        <v>1</v>
      </c>
      <c r="V12" s="84" t="s">
        <v>1</v>
      </c>
      <c r="W12" s="84" t="s">
        <v>1</v>
      </c>
      <c r="X12" s="84" t="s">
        <v>1</v>
      </c>
      <c r="Y12" s="84" t="s">
        <v>1</v>
      </c>
      <c r="Z12" s="84" t="s">
        <v>1</v>
      </c>
      <c r="AA12" s="84" t="s">
        <v>1</v>
      </c>
      <c r="AB12" s="181" t="s">
        <v>6662</v>
      </c>
      <c r="AC12" s="181" t="s">
        <v>6665</v>
      </c>
      <c r="AD12" s="181" t="s">
        <v>6673</v>
      </c>
      <c r="AE12" s="25" t="s">
        <v>4373</v>
      </c>
      <c r="AF12" s="71">
        <v>0.19157099999999999</v>
      </c>
      <c r="AG12" s="69">
        <v>4.1666666666666664E-2</v>
      </c>
    </row>
    <row r="13" spans="1:40" x14ac:dyDescent="0.15">
      <c r="B13" s="12" t="s">
        <v>0</v>
      </c>
      <c r="C13" s="29" t="s">
        <v>1693</v>
      </c>
      <c r="D13" s="15">
        <v>28700</v>
      </c>
      <c r="E13" s="12" t="s">
        <v>1</v>
      </c>
      <c r="F13" s="15">
        <v>300</v>
      </c>
      <c r="G13" s="15">
        <f>F13+10000</f>
        <v>10300</v>
      </c>
      <c r="H13" s="14">
        <v>45044</v>
      </c>
      <c r="I13" s="12" t="s">
        <v>3968</v>
      </c>
      <c r="J13" s="12" t="s">
        <v>4501</v>
      </c>
      <c r="K13" s="12" t="s">
        <v>2576</v>
      </c>
      <c r="L13" s="12" t="s">
        <v>3176</v>
      </c>
      <c r="M13" s="12">
        <v>2015</v>
      </c>
      <c r="N13" s="12"/>
      <c r="O13" s="12" t="s">
        <v>3967</v>
      </c>
      <c r="P13" s="24" t="s">
        <v>1</v>
      </c>
      <c r="Q13" s="24" t="s">
        <v>3966</v>
      </c>
      <c r="R13" s="24" t="s">
        <v>3965</v>
      </c>
      <c r="S13" s="24" t="s">
        <v>4</v>
      </c>
      <c r="T13" s="24" t="s">
        <v>1</v>
      </c>
      <c r="U13" s="24" t="s">
        <v>3964</v>
      </c>
      <c r="V13" s="24" t="s">
        <v>1</v>
      </c>
      <c r="W13" s="24" t="s">
        <v>1</v>
      </c>
      <c r="X13" s="24" t="s">
        <v>1</v>
      </c>
      <c r="Y13" s="24" t="s">
        <v>1</v>
      </c>
      <c r="Z13" s="24" t="s">
        <v>1</v>
      </c>
      <c r="AA13" s="24" t="s">
        <v>1</v>
      </c>
      <c r="AB13" s="12" t="s">
        <v>6662</v>
      </c>
      <c r="AC13" s="12" t="s">
        <v>6665</v>
      </c>
      <c r="AD13" s="12" t="s">
        <v>2369</v>
      </c>
      <c r="AE13" s="25" t="s">
        <v>3963</v>
      </c>
      <c r="AF13" s="71">
        <v>1406</v>
      </c>
      <c r="AG13" s="69">
        <v>0.18194444444444444</v>
      </c>
      <c r="AH13" s="12"/>
      <c r="AM13" s="25"/>
    </row>
    <row r="14" spans="1:40" x14ac:dyDescent="0.15">
      <c r="B14" s="80" t="s">
        <v>3958</v>
      </c>
      <c r="C14" s="81" t="s">
        <v>1693</v>
      </c>
      <c r="D14" s="82">
        <v>21000</v>
      </c>
      <c r="F14" s="82" t="s">
        <v>3957</v>
      </c>
      <c r="I14" s="80" t="s">
        <v>3956</v>
      </c>
      <c r="K14" s="80" t="s">
        <v>2315</v>
      </c>
      <c r="L14" s="80" t="s">
        <v>3922</v>
      </c>
      <c r="M14" s="80">
        <v>2013</v>
      </c>
      <c r="AB14" s="181" t="s">
        <v>6662</v>
      </c>
      <c r="AC14" s="181" t="s">
        <v>6665</v>
      </c>
      <c r="AD14" s="80" t="s">
        <v>2369</v>
      </c>
      <c r="AE14" s="25" t="s">
        <v>4372</v>
      </c>
      <c r="AF14" s="71">
        <v>0.137154</v>
      </c>
      <c r="AG14" s="69">
        <v>6.0416666666666667E-2</v>
      </c>
    </row>
    <row r="15" spans="1:40" x14ac:dyDescent="0.15">
      <c r="B15" s="80" t="s">
        <v>3951</v>
      </c>
      <c r="C15" s="81" t="s">
        <v>3950</v>
      </c>
      <c r="D15" s="82">
        <v>20000</v>
      </c>
      <c r="E15" s="80" t="s">
        <v>3812</v>
      </c>
      <c r="F15" s="82" t="s">
        <v>1</v>
      </c>
      <c r="G15" s="228" t="s">
        <v>1</v>
      </c>
      <c r="H15" s="85">
        <v>39591</v>
      </c>
      <c r="I15" s="80" t="s">
        <v>3949</v>
      </c>
      <c r="J15" s="80" t="s">
        <v>3948</v>
      </c>
      <c r="K15" s="80" t="s">
        <v>2315</v>
      </c>
      <c r="L15" s="80" t="s">
        <v>2531</v>
      </c>
      <c r="M15" s="80">
        <v>1999</v>
      </c>
      <c r="N15" s="80" t="s">
        <v>3499</v>
      </c>
      <c r="O15" s="80" t="s">
        <v>3812</v>
      </c>
      <c r="P15" s="84" t="s">
        <v>1</v>
      </c>
      <c r="Q15" s="84" t="s">
        <v>1</v>
      </c>
      <c r="R15" s="84" t="s">
        <v>1</v>
      </c>
      <c r="S15" s="84" t="s">
        <v>1</v>
      </c>
      <c r="T15" s="84" t="s">
        <v>1</v>
      </c>
      <c r="U15" s="84" t="s">
        <v>1</v>
      </c>
      <c r="V15" s="84" t="s">
        <v>1</v>
      </c>
      <c r="W15" s="84" t="s">
        <v>1</v>
      </c>
      <c r="X15" s="84" t="s">
        <v>1</v>
      </c>
      <c r="Y15" s="84" t="s">
        <v>1</v>
      </c>
      <c r="Z15" s="84" t="s">
        <v>1</v>
      </c>
      <c r="AA15" s="84" t="s">
        <v>1</v>
      </c>
      <c r="AB15" s="181" t="s">
        <v>6663</v>
      </c>
      <c r="AD15" s="181" t="s">
        <v>6676</v>
      </c>
      <c r="AE15" s="25" t="s">
        <v>4374</v>
      </c>
      <c r="AF15" s="71">
        <v>1.0269999999999999</v>
      </c>
      <c r="AG15" s="69">
        <v>0.56805555555555554</v>
      </c>
    </row>
    <row r="16" spans="1:40" x14ac:dyDescent="0.15">
      <c r="B16" s="80" t="s">
        <v>3947</v>
      </c>
      <c r="C16" s="81" t="s">
        <v>3946</v>
      </c>
      <c r="D16" s="82">
        <v>12570</v>
      </c>
      <c r="E16" s="80" t="s">
        <v>1</v>
      </c>
      <c r="F16" s="83" t="s">
        <v>1</v>
      </c>
      <c r="G16" s="83"/>
      <c r="H16" s="83" t="s">
        <v>1</v>
      </c>
      <c r="I16" s="80" t="s">
        <v>3945</v>
      </c>
      <c r="K16" s="80" t="s">
        <v>2050</v>
      </c>
      <c r="L16" s="80" t="s">
        <v>2326</v>
      </c>
      <c r="M16" s="80">
        <v>1986</v>
      </c>
      <c r="N16" s="80" t="s">
        <v>3944</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6662</v>
      </c>
      <c r="AC16" s="181" t="s">
        <v>6668</v>
      </c>
      <c r="AD16" s="181" t="s">
        <v>6675</v>
      </c>
      <c r="AE16" s="25" t="s">
        <v>3943</v>
      </c>
      <c r="AF16" s="71">
        <v>0.49878899999999998</v>
      </c>
      <c r="AG16" s="69">
        <v>7.0833333333333331E-2</v>
      </c>
    </row>
    <row r="17" spans="2:33" x14ac:dyDescent="0.15">
      <c r="B17" s="80" t="s">
        <v>3942</v>
      </c>
      <c r="C17" s="81" t="s">
        <v>3941</v>
      </c>
      <c r="D17" s="82">
        <v>11000</v>
      </c>
      <c r="E17" s="80" t="s">
        <v>3812</v>
      </c>
      <c r="F17" s="82">
        <v>740</v>
      </c>
      <c r="H17" s="85">
        <v>44560</v>
      </c>
      <c r="I17" s="80" t="s">
        <v>2049</v>
      </c>
      <c r="J17" s="80" t="s">
        <v>3940</v>
      </c>
      <c r="K17" s="80" t="s">
        <v>2050</v>
      </c>
      <c r="L17" s="80" t="s">
        <v>2049</v>
      </c>
      <c r="M17" s="86">
        <v>41913</v>
      </c>
      <c r="N17" s="80" t="s">
        <v>3499</v>
      </c>
      <c r="O17" s="80" t="s">
        <v>3812</v>
      </c>
      <c r="P17" s="84" t="s">
        <v>3939</v>
      </c>
      <c r="Q17" s="84">
        <v>1000</v>
      </c>
      <c r="R17" s="84" t="s">
        <v>1151</v>
      </c>
      <c r="S17" s="84" t="s">
        <v>3938</v>
      </c>
      <c r="T17" s="84">
        <v>320</v>
      </c>
      <c r="U17" s="84" t="s">
        <v>3937</v>
      </c>
      <c r="V17" s="84" t="s">
        <v>18</v>
      </c>
      <c r="W17" s="84">
        <v>600</v>
      </c>
      <c r="X17" s="84" t="s">
        <v>3936</v>
      </c>
      <c r="Y17" s="84" t="s">
        <v>7</v>
      </c>
      <c r="Z17" s="84">
        <v>410</v>
      </c>
      <c r="AA17" s="84" t="s">
        <v>3935</v>
      </c>
      <c r="AB17" s="181" t="s">
        <v>6663</v>
      </c>
      <c r="AD17" s="80" t="s">
        <v>3934</v>
      </c>
      <c r="AE17" s="25" t="s">
        <v>4375</v>
      </c>
      <c r="AF17" s="71">
        <v>0.55719300000000005</v>
      </c>
      <c r="AG17" s="69">
        <v>0.80763888888888891</v>
      </c>
    </row>
    <row r="18" spans="2:33" x14ac:dyDescent="0.15">
      <c r="B18" s="80" t="s">
        <v>161</v>
      </c>
      <c r="C18" s="81" t="s">
        <v>1693</v>
      </c>
      <c r="D18" s="82">
        <v>8500</v>
      </c>
      <c r="E18" s="80" t="s">
        <v>8</v>
      </c>
      <c r="F18" s="82" t="s">
        <v>1</v>
      </c>
      <c r="H18" s="85">
        <v>44626</v>
      </c>
      <c r="I18" s="80" t="s">
        <v>3793</v>
      </c>
      <c r="J18" s="80" t="s">
        <v>3933</v>
      </c>
      <c r="K18" s="80" t="s">
        <v>2315</v>
      </c>
      <c r="L18" s="80" t="s">
        <v>3922</v>
      </c>
      <c r="M18" s="80">
        <v>2016</v>
      </c>
      <c r="O18" s="80" t="s">
        <v>1</v>
      </c>
      <c r="P18" s="84" t="s">
        <v>18</v>
      </c>
      <c r="Q18" s="84" t="s">
        <v>3932</v>
      </c>
      <c r="R18" s="84" t="s">
        <v>3931</v>
      </c>
      <c r="S18" s="84" t="s">
        <v>18</v>
      </c>
      <c r="T18" s="84" t="s">
        <v>3930</v>
      </c>
      <c r="U18" s="84" t="s">
        <v>3929</v>
      </c>
      <c r="V18" s="84" t="s">
        <v>7</v>
      </c>
      <c r="W18" s="84" t="s">
        <v>3928</v>
      </c>
      <c r="X18" s="84" t="s">
        <v>3927</v>
      </c>
      <c r="Y18" s="84" t="s">
        <v>5</v>
      </c>
      <c r="Z18" s="84">
        <v>102</v>
      </c>
      <c r="AA18" s="84" t="s">
        <v>3926</v>
      </c>
      <c r="AB18" s="181" t="s">
        <v>6662</v>
      </c>
      <c r="AC18" s="181" t="s">
        <v>6665</v>
      </c>
      <c r="AD18" s="181" t="s">
        <v>6674</v>
      </c>
      <c r="AE18" s="25" t="s">
        <v>3925</v>
      </c>
      <c r="AF18" s="71">
        <v>2.2433000000000002E-2</v>
      </c>
      <c r="AG18" s="69">
        <v>0.51597222222222217</v>
      </c>
    </row>
    <row r="19" spans="2:33" x14ac:dyDescent="0.15">
      <c r="B19" s="80" t="s">
        <v>253</v>
      </c>
      <c r="C19" s="81" t="s">
        <v>1693</v>
      </c>
      <c r="D19" s="82">
        <v>8000</v>
      </c>
      <c r="E19" s="80" t="s">
        <v>8</v>
      </c>
      <c r="F19" s="82">
        <v>600</v>
      </c>
      <c r="H19" s="85">
        <v>44502</v>
      </c>
      <c r="I19" s="80" t="s">
        <v>3924</v>
      </c>
      <c r="J19" s="80" t="s">
        <v>3923</v>
      </c>
      <c r="K19" s="80" t="s">
        <v>2050</v>
      </c>
      <c r="L19" s="80" t="s">
        <v>3922</v>
      </c>
      <c r="M19" s="80">
        <v>2016</v>
      </c>
      <c r="N19" s="80" t="s">
        <v>3921</v>
      </c>
      <c r="O19" s="80" t="s">
        <v>3920</v>
      </c>
      <c r="P19" s="84" t="s">
        <v>3919</v>
      </c>
      <c r="Q19" s="84">
        <v>500</v>
      </c>
      <c r="R19" s="84" t="s">
        <v>3918</v>
      </c>
      <c r="S19" s="84" t="s">
        <v>3917</v>
      </c>
      <c r="T19" s="84">
        <v>940</v>
      </c>
      <c r="U19" s="84" t="s">
        <v>3916</v>
      </c>
      <c r="V19" s="84" t="s">
        <v>5</v>
      </c>
      <c r="W19" s="84">
        <v>92</v>
      </c>
      <c r="X19" s="84" t="s">
        <v>3915</v>
      </c>
      <c r="Y19" s="84" t="s">
        <v>5</v>
      </c>
      <c r="Z19" s="84">
        <v>1</v>
      </c>
      <c r="AA19" s="84" t="s">
        <v>867</v>
      </c>
      <c r="AB19" s="181" t="s">
        <v>6662</v>
      </c>
      <c r="AC19" s="181" t="s">
        <v>6665</v>
      </c>
      <c r="AD19" s="181" t="s">
        <v>6673</v>
      </c>
      <c r="AE19" s="25" t="s">
        <v>3914</v>
      </c>
      <c r="AF19" s="71">
        <v>2.6478000000000002E-2</v>
      </c>
      <c r="AG19" s="69">
        <v>5.5555555555555552E-2</v>
      </c>
    </row>
    <row r="20" spans="2:33" x14ac:dyDescent="0.15">
      <c r="B20" s="80" t="s">
        <v>3913</v>
      </c>
      <c r="C20" s="81" t="s">
        <v>1693</v>
      </c>
      <c r="D20" s="82">
        <v>7000</v>
      </c>
      <c r="E20" s="80" t="s">
        <v>9</v>
      </c>
      <c r="F20" s="82">
        <v>325</v>
      </c>
      <c r="H20" s="85">
        <v>44299</v>
      </c>
      <c r="I20" s="80" t="s">
        <v>3151</v>
      </c>
      <c r="J20" s="80" t="s">
        <v>3912</v>
      </c>
      <c r="K20" s="80" t="s">
        <v>2576</v>
      </c>
      <c r="L20" s="80" t="s">
        <v>2061</v>
      </c>
      <c r="M20" s="86">
        <v>42522</v>
      </c>
      <c r="N20" s="80" t="s">
        <v>3911</v>
      </c>
      <c r="O20" s="80" t="s">
        <v>3910</v>
      </c>
      <c r="P20" s="84" t="s">
        <v>3909</v>
      </c>
      <c r="Q20" s="84">
        <v>155</v>
      </c>
      <c r="R20" s="84" t="s">
        <v>3908</v>
      </c>
      <c r="S20" s="84" t="s">
        <v>18</v>
      </c>
      <c r="T20" s="84">
        <v>100</v>
      </c>
      <c r="U20" s="84" t="s">
        <v>3907</v>
      </c>
      <c r="V20" s="84" t="s">
        <v>7</v>
      </c>
      <c r="W20" s="84">
        <v>18</v>
      </c>
      <c r="X20" s="84" t="s">
        <v>3906</v>
      </c>
      <c r="Y20" s="84" t="s">
        <v>5</v>
      </c>
      <c r="Z20" s="84">
        <v>4.5</v>
      </c>
      <c r="AA20" s="84" t="s">
        <v>3905</v>
      </c>
      <c r="AB20" s="181" t="s">
        <v>6662</v>
      </c>
      <c r="AC20" s="181" t="s">
        <v>6665</v>
      </c>
      <c r="AD20" s="181" t="s">
        <v>2369</v>
      </c>
      <c r="AE20" s="25" t="s">
        <v>4376</v>
      </c>
      <c r="AF20" s="71">
        <v>0.38327699999999998</v>
      </c>
      <c r="AG20" s="69">
        <v>0.11875000000000001</v>
      </c>
    </row>
    <row r="21" spans="2:33" x14ac:dyDescent="0.15">
      <c r="B21" s="80" t="s">
        <v>3904</v>
      </c>
      <c r="C21" s="81" t="s">
        <v>1693</v>
      </c>
      <c r="D21" s="82">
        <v>7000</v>
      </c>
      <c r="E21" s="80" t="s">
        <v>9</v>
      </c>
      <c r="F21" s="82">
        <v>250</v>
      </c>
      <c r="G21" s="82">
        <f>F21+Q21</f>
        <v>450</v>
      </c>
      <c r="H21" s="85">
        <v>44350</v>
      </c>
      <c r="I21" s="80" t="s">
        <v>3903</v>
      </c>
      <c r="J21" s="80" t="s">
        <v>3902</v>
      </c>
      <c r="K21" s="80" t="s">
        <v>2050</v>
      </c>
      <c r="L21" s="80" t="s">
        <v>2129</v>
      </c>
      <c r="M21" s="80">
        <v>2015</v>
      </c>
      <c r="N21" s="80" t="s">
        <v>3901</v>
      </c>
      <c r="O21" s="80" t="s">
        <v>3900</v>
      </c>
      <c r="P21" s="84" t="s">
        <v>8</v>
      </c>
      <c r="Q21" s="84">
        <v>200</v>
      </c>
      <c r="R21" s="84" t="s">
        <v>3899</v>
      </c>
      <c r="S21" s="84" t="s">
        <v>18</v>
      </c>
      <c r="T21" s="84" t="s">
        <v>3898</v>
      </c>
      <c r="U21" s="84" t="s">
        <v>3897</v>
      </c>
      <c r="V21" s="84" t="s">
        <v>7</v>
      </c>
      <c r="W21" s="84">
        <v>40</v>
      </c>
      <c r="X21" s="84" t="s">
        <v>3896</v>
      </c>
      <c r="Y21" s="84" t="s">
        <v>5</v>
      </c>
      <c r="Z21" s="84">
        <v>22</v>
      </c>
      <c r="AA21" s="84" t="s">
        <v>3895</v>
      </c>
      <c r="AB21" s="181" t="s">
        <v>6662</v>
      </c>
      <c r="AC21" s="181" t="s">
        <v>6665</v>
      </c>
      <c r="AD21" s="181" t="s">
        <v>2369</v>
      </c>
      <c r="AE21" s="25" t="s">
        <v>3894</v>
      </c>
      <c r="AF21" s="71">
        <v>1.0680000000000001</v>
      </c>
      <c r="AG21" s="69">
        <v>0.16180555555555556</v>
      </c>
    </row>
    <row r="22" spans="2:33" x14ac:dyDescent="0.15">
      <c r="B22" s="80" t="s">
        <v>3750</v>
      </c>
      <c r="C22" s="81" t="s">
        <v>1693</v>
      </c>
      <c r="D22" s="82">
        <v>4500</v>
      </c>
      <c r="E22" s="80" t="s">
        <v>18</v>
      </c>
      <c r="F22" s="82">
        <v>100</v>
      </c>
      <c r="G22" s="82">
        <f>F22+Q22+T22+W22+Z22</f>
        <v>160.19999999999999</v>
      </c>
      <c r="H22" s="85">
        <v>44690</v>
      </c>
      <c r="I22" s="192" t="s">
        <v>7141</v>
      </c>
      <c r="J22" s="80" t="s">
        <v>3749</v>
      </c>
      <c r="K22" s="80" t="s">
        <v>2576</v>
      </c>
      <c r="L22" s="80" t="s">
        <v>2061</v>
      </c>
      <c r="M22" s="80">
        <v>2016</v>
      </c>
      <c r="N22" s="25" t="s">
        <v>3748</v>
      </c>
      <c r="O22" s="80" t="s">
        <v>3747</v>
      </c>
      <c r="P22" s="84" t="s">
        <v>7</v>
      </c>
      <c r="Q22" s="84">
        <v>40</v>
      </c>
      <c r="R22" s="84" t="s">
        <v>3746</v>
      </c>
      <c r="S22" s="84" t="s">
        <v>5</v>
      </c>
      <c r="T22" s="84">
        <v>15</v>
      </c>
      <c r="U22" s="84" t="s">
        <v>3745</v>
      </c>
      <c r="V22" s="84" t="s">
        <v>4</v>
      </c>
      <c r="W22" s="84">
        <v>4</v>
      </c>
      <c r="X22" s="84" t="s">
        <v>3744</v>
      </c>
      <c r="Y22" s="84" t="s">
        <v>278</v>
      </c>
      <c r="Z22" s="84">
        <v>1.2</v>
      </c>
      <c r="AA22" s="84" t="s">
        <v>3743</v>
      </c>
      <c r="AB22" s="181" t="s">
        <v>6662</v>
      </c>
      <c r="AC22" s="181" t="s">
        <v>6670</v>
      </c>
      <c r="AD22" s="181" t="s">
        <v>6670</v>
      </c>
      <c r="AE22" s="25" t="s">
        <v>4385</v>
      </c>
      <c r="AF22" s="71">
        <v>20.74</v>
      </c>
      <c r="AG22" s="69">
        <v>0.17500000000000002</v>
      </c>
    </row>
    <row r="23" spans="2:33" x14ac:dyDescent="0.15">
      <c r="B23" s="80" t="s">
        <v>245</v>
      </c>
      <c r="C23" s="81" t="s">
        <v>1693</v>
      </c>
      <c r="D23" s="82">
        <v>4200</v>
      </c>
      <c r="E23" s="80" t="s">
        <v>18</v>
      </c>
      <c r="F23" s="82">
        <v>820</v>
      </c>
      <c r="H23" s="85">
        <v>43223</v>
      </c>
      <c r="I23" s="80" t="s">
        <v>3879</v>
      </c>
      <c r="J23" s="80" t="s">
        <v>3878</v>
      </c>
      <c r="K23" s="80" t="s">
        <v>2050</v>
      </c>
      <c r="L23" s="80" t="s">
        <v>2356</v>
      </c>
      <c r="M23" s="80">
        <v>2012</v>
      </c>
      <c r="O23" s="80" t="s">
        <v>3877</v>
      </c>
      <c r="P23" s="84" t="s">
        <v>3876</v>
      </c>
      <c r="Q23" s="84">
        <v>100</v>
      </c>
      <c r="R23" s="84" t="s">
        <v>3875</v>
      </c>
      <c r="S23" s="84" t="s">
        <v>5</v>
      </c>
      <c r="T23" s="84">
        <v>20</v>
      </c>
      <c r="U23" s="84" t="s">
        <v>246</v>
      </c>
      <c r="V23" s="84" t="s">
        <v>1</v>
      </c>
      <c r="W23" s="84" t="s">
        <v>1</v>
      </c>
      <c r="X23" s="84" t="s">
        <v>1</v>
      </c>
      <c r="Y23" s="84" t="s">
        <v>1</v>
      </c>
      <c r="Z23" s="84" t="s">
        <v>1</v>
      </c>
      <c r="AA23" s="84" t="s">
        <v>1</v>
      </c>
      <c r="AB23" s="181" t="s">
        <v>6663</v>
      </c>
      <c r="AD23" s="181" t="s">
        <v>3608</v>
      </c>
      <c r="AE23" s="25" t="s">
        <v>3874</v>
      </c>
      <c r="AF23" s="71">
        <v>6.6556000000000004E-2</v>
      </c>
      <c r="AG23" s="69">
        <v>0.2590277777777778</v>
      </c>
    </row>
    <row r="24" spans="2:33" x14ac:dyDescent="0.15">
      <c r="B24" s="80" t="s">
        <v>965</v>
      </c>
      <c r="C24" s="81" t="s">
        <v>1693</v>
      </c>
      <c r="D24" s="82">
        <v>4100</v>
      </c>
      <c r="E24" s="80" t="s">
        <v>18</v>
      </c>
      <c r="F24" s="82">
        <v>450</v>
      </c>
      <c r="G24" s="82">
        <f>F24+Q24+T24+W24</f>
        <v>1454</v>
      </c>
      <c r="H24" s="85">
        <v>45069</v>
      </c>
      <c r="I24" s="80" t="s">
        <v>3873</v>
      </c>
      <c r="J24" s="80" t="s">
        <v>3872</v>
      </c>
      <c r="K24" s="80" t="s">
        <v>2576</v>
      </c>
      <c r="L24" s="80" t="s">
        <v>3176</v>
      </c>
      <c r="M24" s="80">
        <v>2021</v>
      </c>
      <c r="N24" s="80" t="s">
        <v>3871</v>
      </c>
      <c r="O24" s="80" t="s">
        <v>3870</v>
      </c>
      <c r="P24" s="84" t="s">
        <v>1091</v>
      </c>
      <c r="Q24" s="84">
        <v>300</v>
      </c>
      <c r="R24" s="84" t="s">
        <v>3869</v>
      </c>
      <c r="S24" s="84" t="s">
        <v>7</v>
      </c>
      <c r="T24" s="84">
        <v>580</v>
      </c>
      <c r="U24" s="84" t="s">
        <v>968</v>
      </c>
      <c r="V24" s="84" t="s">
        <v>5</v>
      </c>
      <c r="W24" s="84">
        <v>124</v>
      </c>
      <c r="X24" s="84" t="s">
        <v>3868</v>
      </c>
      <c r="Y24" s="84" t="s">
        <v>1</v>
      </c>
      <c r="Z24" s="84" t="s">
        <v>1</v>
      </c>
      <c r="AA24" s="84" t="s">
        <v>1</v>
      </c>
      <c r="AB24" s="181" t="s">
        <v>6662</v>
      </c>
      <c r="AC24" s="181" t="s">
        <v>6665</v>
      </c>
      <c r="AD24" s="80" t="s">
        <v>2369</v>
      </c>
      <c r="AE24" s="25" t="s">
        <v>4378</v>
      </c>
      <c r="AF24" s="71">
        <v>3.4249999999999998</v>
      </c>
      <c r="AG24" s="69">
        <v>0.1173611111111111</v>
      </c>
    </row>
    <row r="25" spans="2:33" x14ac:dyDescent="0.15">
      <c r="B25" s="80" t="s">
        <v>1135</v>
      </c>
      <c r="C25" s="81" t="s">
        <v>1693</v>
      </c>
      <c r="D25" s="82">
        <v>4000</v>
      </c>
      <c r="E25" s="80" t="s">
        <v>5</v>
      </c>
      <c r="F25" s="87">
        <v>1300</v>
      </c>
      <c r="G25" s="87">
        <f>F25</f>
        <v>1300</v>
      </c>
      <c r="H25" s="85">
        <v>44694</v>
      </c>
      <c r="I25" s="80" t="s">
        <v>3858</v>
      </c>
      <c r="J25" s="80" t="s">
        <v>3857</v>
      </c>
      <c r="K25" s="80" t="s">
        <v>2315</v>
      </c>
      <c r="L25" s="80" t="s">
        <v>2474</v>
      </c>
      <c r="M25" s="80">
        <v>2022</v>
      </c>
      <c r="N25" s="80" t="s">
        <v>3856</v>
      </c>
      <c r="O25" s="80" t="s">
        <v>3855</v>
      </c>
      <c r="P25" s="84" t="s">
        <v>5</v>
      </c>
      <c r="Q25" s="84">
        <v>225</v>
      </c>
      <c r="R25" s="80" t="s">
        <v>1136</v>
      </c>
      <c r="S25" s="84" t="s">
        <v>1</v>
      </c>
      <c r="T25" s="84" t="s">
        <v>1</v>
      </c>
      <c r="U25" s="84" t="s">
        <v>1</v>
      </c>
      <c r="V25" s="84" t="s">
        <v>1</v>
      </c>
      <c r="W25" s="84" t="s">
        <v>1</v>
      </c>
      <c r="X25" s="84" t="s">
        <v>1</v>
      </c>
      <c r="Y25" s="84" t="s">
        <v>1</v>
      </c>
      <c r="Z25" s="84" t="s">
        <v>1</v>
      </c>
      <c r="AA25" s="84" t="s">
        <v>1</v>
      </c>
      <c r="AB25" s="181" t="s">
        <v>6662</v>
      </c>
      <c r="AC25" s="181" t="s">
        <v>6665</v>
      </c>
      <c r="AD25" s="181" t="s">
        <v>6672</v>
      </c>
      <c r="AE25" s="25" t="s">
        <v>4379</v>
      </c>
      <c r="AF25" s="71">
        <v>1.9219999999999999</v>
      </c>
      <c r="AG25" s="69">
        <v>0.27152777777777776</v>
      </c>
    </row>
    <row r="26" spans="2:33" x14ac:dyDescent="0.15">
      <c r="B26" s="80" t="s">
        <v>74</v>
      </c>
      <c r="C26" s="81" t="s">
        <v>1693</v>
      </c>
      <c r="D26" s="82">
        <v>3800</v>
      </c>
      <c r="E26" s="80" t="s">
        <v>53</v>
      </c>
      <c r="F26" s="82">
        <v>250</v>
      </c>
      <c r="H26" s="85">
        <v>44510</v>
      </c>
      <c r="I26" s="80" t="s">
        <v>3854</v>
      </c>
      <c r="J26" s="80" t="s">
        <v>3853</v>
      </c>
      <c r="K26" s="80" t="s">
        <v>2105</v>
      </c>
      <c r="L26" s="80" t="s">
        <v>3852</v>
      </c>
      <c r="M26" s="80">
        <v>2016</v>
      </c>
      <c r="O26" s="80" t="s">
        <v>3851</v>
      </c>
      <c r="P26" s="84" t="s">
        <v>9</v>
      </c>
      <c r="Q26" s="84" t="s">
        <v>3850</v>
      </c>
      <c r="R26" s="84" t="s">
        <v>1</v>
      </c>
      <c r="S26" s="84" t="s">
        <v>8</v>
      </c>
      <c r="T26" s="84" t="s">
        <v>3849</v>
      </c>
      <c r="U26" s="84" t="s">
        <v>3848</v>
      </c>
      <c r="V26" s="84" t="s">
        <v>18</v>
      </c>
      <c r="W26" s="84">
        <v>60</v>
      </c>
      <c r="X26" s="84" t="s">
        <v>3847</v>
      </c>
      <c r="Y26" s="84" t="s">
        <v>7</v>
      </c>
      <c r="Z26" s="84">
        <v>25</v>
      </c>
      <c r="AA26" s="84" t="s">
        <v>3846</v>
      </c>
      <c r="AB26" s="181" t="s">
        <v>6662</v>
      </c>
      <c r="AC26" s="181" t="s">
        <v>6665</v>
      </c>
      <c r="AD26" s="181" t="s">
        <v>6671</v>
      </c>
      <c r="AE26" s="25" t="s">
        <v>3845</v>
      </c>
      <c r="AF26" s="71">
        <v>6.4711000000000005E-2</v>
      </c>
      <c r="AG26" s="69">
        <v>5.0694444444444452E-2</v>
      </c>
    </row>
    <row r="27" spans="2:33" x14ac:dyDescent="0.15">
      <c r="B27" s="80" t="s">
        <v>3815</v>
      </c>
      <c r="C27" s="81" t="s">
        <v>3814</v>
      </c>
      <c r="D27" s="82">
        <v>3680</v>
      </c>
      <c r="E27" s="80" t="s">
        <v>3812</v>
      </c>
      <c r="F27" s="82">
        <v>651</v>
      </c>
      <c r="H27" s="85">
        <v>44174</v>
      </c>
      <c r="I27" s="80" t="s">
        <v>2050</v>
      </c>
      <c r="J27" s="80" t="s">
        <v>3813</v>
      </c>
      <c r="K27" s="80" t="s">
        <v>2050</v>
      </c>
      <c r="L27" s="80" t="s">
        <v>2237</v>
      </c>
      <c r="M27" s="80">
        <v>2009</v>
      </c>
      <c r="O27" s="80" t="s">
        <v>3812</v>
      </c>
      <c r="P27" s="84" t="s">
        <v>53</v>
      </c>
      <c r="Q27" s="84">
        <v>106</v>
      </c>
      <c r="R27" s="84" t="s">
        <v>3811</v>
      </c>
      <c r="T27" s="84" t="s">
        <v>1</v>
      </c>
      <c r="U27" s="84" t="s">
        <v>1</v>
      </c>
      <c r="V27" s="84" t="s">
        <v>1</v>
      </c>
      <c r="W27" s="84" t="s">
        <v>1</v>
      </c>
      <c r="X27" s="84" t="s">
        <v>1</v>
      </c>
      <c r="Y27" s="84" t="s">
        <v>1</v>
      </c>
      <c r="Z27" s="84" t="s">
        <v>1</v>
      </c>
      <c r="AA27" s="84" t="s">
        <v>1</v>
      </c>
      <c r="AB27" s="181" t="s">
        <v>6662</v>
      </c>
      <c r="AC27" s="181" t="s">
        <v>6665</v>
      </c>
      <c r="AD27" s="181" t="s">
        <v>6682</v>
      </c>
      <c r="AE27" s="25" t="s">
        <v>4380</v>
      </c>
      <c r="AF27" s="71">
        <v>0.17391100000000001</v>
      </c>
      <c r="AG27" s="69">
        <v>6.458333333333334E-2</v>
      </c>
    </row>
    <row r="28" spans="2:33" x14ac:dyDescent="0.15">
      <c r="B28" s="80" t="s">
        <v>211</v>
      </c>
      <c r="C28" s="81" t="s">
        <v>1693</v>
      </c>
      <c r="D28" s="82">
        <v>3500</v>
      </c>
      <c r="E28" s="80" t="s">
        <v>8</v>
      </c>
      <c r="F28" s="82">
        <v>700</v>
      </c>
      <c r="G28" s="82">
        <f>F28+Q28+T28</f>
        <v>1070</v>
      </c>
      <c r="H28" s="85">
        <v>44218</v>
      </c>
      <c r="I28" s="80" t="s">
        <v>3810</v>
      </c>
      <c r="J28" s="80" t="s">
        <v>3809</v>
      </c>
      <c r="K28" s="80" t="s">
        <v>2050</v>
      </c>
      <c r="L28" s="80" t="s">
        <v>2061</v>
      </c>
      <c r="M28" s="80">
        <v>2014</v>
      </c>
      <c r="N28" s="80" t="s">
        <v>3808</v>
      </c>
      <c r="O28" s="80" t="s">
        <v>3807</v>
      </c>
      <c r="P28" s="84" t="s">
        <v>18</v>
      </c>
      <c r="Q28" s="84">
        <v>230</v>
      </c>
      <c r="R28" s="84" t="s">
        <v>3806</v>
      </c>
      <c r="S28" s="84" t="s">
        <v>18</v>
      </c>
      <c r="T28" s="84">
        <v>140</v>
      </c>
      <c r="U28" s="84" t="s">
        <v>3805</v>
      </c>
      <c r="V28" s="84" t="s">
        <v>7</v>
      </c>
      <c r="W28" s="84" t="s">
        <v>1</v>
      </c>
      <c r="X28" s="84" t="s">
        <v>3804</v>
      </c>
      <c r="Y28" s="84" t="s">
        <v>5</v>
      </c>
      <c r="Z28" s="84" t="s">
        <v>1</v>
      </c>
      <c r="AA28" s="84" t="s">
        <v>3803</v>
      </c>
      <c r="AB28" s="181" t="s">
        <v>6663</v>
      </c>
      <c r="AD28" s="181" t="s">
        <v>6678</v>
      </c>
      <c r="AE28" s="25" t="s">
        <v>3802</v>
      </c>
      <c r="AF28" s="71">
        <v>0.41541</v>
      </c>
      <c r="AG28" s="69">
        <v>0.21111111111111111</v>
      </c>
    </row>
    <row r="29" spans="2:33" x14ac:dyDescent="0.15">
      <c r="B29" s="80" t="s">
        <v>2119</v>
      </c>
      <c r="C29" s="81" t="s">
        <v>1693</v>
      </c>
      <c r="D29" s="82">
        <v>3600</v>
      </c>
      <c r="E29" s="80" t="s">
        <v>8</v>
      </c>
      <c r="F29" s="82">
        <v>83</v>
      </c>
      <c r="H29" s="85">
        <v>44320</v>
      </c>
      <c r="I29" s="80" t="s">
        <v>4936</v>
      </c>
      <c r="J29" s="80" t="s">
        <v>4923</v>
      </c>
      <c r="K29" s="80" t="s">
        <v>2050</v>
      </c>
      <c r="L29" s="80" t="s">
        <v>2061</v>
      </c>
      <c r="M29" s="80">
        <v>2016</v>
      </c>
      <c r="N29" s="80" t="s">
        <v>5062</v>
      </c>
      <c r="O29" s="80" t="s">
        <v>4925</v>
      </c>
      <c r="P29" s="84" t="s">
        <v>18</v>
      </c>
      <c r="Q29" s="84" t="s">
        <v>4931</v>
      </c>
      <c r="R29" s="84" t="s">
        <v>4932</v>
      </c>
      <c r="S29" s="84" t="s">
        <v>7</v>
      </c>
      <c r="T29" s="84">
        <v>40</v>
      </c>
      <c r="U29" s="84" t="s">
        <v>4933</v>
      </c>
      <c r="V29" s="84" t="s">
        <v>5</v>
      </c>
      <c r="W29" s="84">
        <v>25</v>
      </c>
      <c r="X29" s="84" t="s">
        <v>4934</v>
      </c>
      <c r="Y29" s="84" t="s">
        <v>5</v>
      </c>
      <c r="Z29" s="84">
        <v>15</v>
      </c>
      <c r="AA29" s="84" t="s">
        <v>4935</v>
      </c>
      <c r="AB29" s="181" t="s">
        <v>6662</v>
      </c>
      <c r="AC29" s="181" t="s">
        <v>6670</v>
      </c>
      <c r="AD29" s="181" t="s">
        <v>6670</v>
      </c>
      <c r="AE29" s="25" t="s">
        <v>2118</v>
      </c>
      <c r="AF29" s="71">
        <v>1.9585000000000002E-2</v>
      </c>
      <c r="AG29" s="69">
        <v>9.375E-2</v>
      </c>
    </row>
    <row r="30" spans="2:33" x14ac:dyDescent="0.15">
      <c r="B30" s="80" t="s">
        <v>2122</v>
      </c>
      <c r="C30" s="81" t="s">
        <v>1693</v>
      </c>
      <c r="D30" s="82">
        <v>3400</v>
      </c>
      <c r="E30" s="80" t="s">
        <v>8</v>
      </c>
      <c r="F30" s="82">
        <v>175</v>
      </c>
      <c r="G30" s="82">
        <f>F30+Q30+T30+W30</f>
        <v>351.5</v>
      </c>
      <c r="H30" s="85">
        <v>44511</v>
      </c>
      <c r="I30" s="80" t="s">
        <v>4922</v>
      </c>
      <c r="J30" s="80" t="s">
        <v>4913</v>
      </c>
      <c r="K30" s="80" t="s">
        <v>2050</v>
      </c>
      <c r="L30" s="80" t="s">
        <v>2121</v>
      </c>
      <c r="M30" s="80">
        <v>2017</v>
      </c>
      <c r="O30" s="80" t="s">
        <v>4915</v>
      </c>
      <c r="P30" s="84" t="s">
        <v>18</v>
      </c>
      <c r="Q30" s="84">
        <v>125</v>
      </c>
      <c r="R30" s="84" t="s">
        <v>4918</v>
      </c>
      <c r="S30" s="84" t="s">
        <v>7</v>
      </c>
      <c r="T30" s="84">
        <v>40</v>
      </c>
      <c r="U30" s="84" t="s">
        <v>4917</v>
      </c>
      <c r="V30" s="84" t="s">
        <v>5</v>
      </c>
      <c r="W30" s="84">
        <v>11.5</v>
      </c>
      <c r="X30" s="84" t="s">
        <v>4919</v>
      </c>
      <c r="Y30" s="84" t="s">
        <v>4</v>
      </c>
      <c r="Z30" s="84" t="s">
        <v>1</v>
      </c>
      <c r="AA30" s="84" t="s">
        <v>4921</v>
      </c>
      <c r="AB30" s="181" t="s">
        <v>6662</v>
      </c>
      <c r="AC30" s="181" t="s">
        <v>6665</v>
      </c>
      <c r="AD30" s="181" t="s">
        <v>6673</v>
      </c>
      <c r="AE30" s="25" t="s">
        <v>2120</v>
      </c>
      <c r="AF30" s="71">
        <v>6.0814E-2</v>
      </c>
      <c r="AG30" s="69">
        <v>5.6250000000000001E-2</v>
      </c>
    </row>
    <row r="31" spans="2:33" x14ac:dyDescent="0.15">
      <c r="B31" s="80" t="s">
        <v>154</v>
      </c>
      <c r="C31" s="81" t="s">
        <v>1693</v>
      </c>
      <c r="D31" s="82">
        <v>3500</v>
      </c>
      <c r="E31" s="80" t="s">
        <v>53</v>
      </c>
      <c r="F31" s="82">
        <v>200</v>
      </c>
      <c r="H31" s="85">
        <v>44907</v>
      </c>
      <c r="I31" s="80" t="s">
        <v>3824</v>
      </c>
      <c r="J31" s="80" t="s">
        <v>3823</v>
      </c>
      <c r="K31" s="80" t="s">
        <v>2050</v>
      </c>
      <c r="L31" s="80" t="s">
        <v>2857</v>
      </c>
      <c r="M31" s="80">
        <v>2013</v>
      </c>
      <c r="O31" s="80" t="s">
        <v>3822</v>
      </c>
      <c r="P31" s="84" t="s">
        <v>9</v>
      </c>
      <c r="Q31" s="84" t="s">
        <v>3821</v>
      </c>
      <c r="R31" s="84" t="s">
        <v>3820</v>
      </c>
      <c r="S31" s="84" t="s">
        <v>8</v>
      </c>
      <c r="T31" s="84">
        <v>100</v>
      </c>
      <c r="U31" s="84" t="s">
        <v>3819</v>
      </c>
      <c r="V31" s="84" t="s">
        <v>18</v>
      </c>
      <c r="W31" s="84">
        <v>101</v>
      </c>
      <c r="X31" s="84" t="s">
        <v>3818</v>
      </c>
      <c r="Y31" s="84" t="s">
        <v>7</v>
      </c>
      <c r="Z31" s="84">
        <v>28</v>
      </c>
      <c r="AA31" s="84" t="s">
        <v>3817</v>
      </c>
      <c r="AB31" s="181" t="s">
        <v>6686</v>
      </c>
      <c r="AD31" s="181" t="s">
        <v>2152</v>
      </c>
      <c r="AE31" s="25" t="s">
        <v>3816</v>
      </c>
      <c r="AF31" s="71">
        <v>0.65510400000000002</v>
      </c>
      <c r="AG31" s="69">
        <v>6.1111111111111116E-2</v>
      </c>
    </row>
    <row r="32" spans="2:33" x14ac:dyDescent="0.15">
      <c r="B32" s="80" t="s">
        <v>232</v>
      </c>
      <c r="C32" s="81" t="s">
        <v>1693</v>
      </c>
      <c r="D32" s="82">
        <v>3300</v>
      </c>
      <c r="E32" s="80" t="s">
        <v>8</v>
      </c>
      <c r="F32" s="82">
        <v>750</v>
      </c>
      <c r="H32" s="85">
        <v>43593</v>
      </c>
      <c r="I32" s="80" t="s">
        <v>3833</v>
      </c>
      <c r="J32" s="80" t="s">
        <v>3832</v>
      </c>
      <c r="K32" s="80" t="s">
        <v>2050</v>
      </c>
      <c r="L32" s="80" t="s">
        <v>2049</v>
      </c>
      <c r="M32" s="80">
        <v>2011</v>
      </c>
      <c r="N32" s="80" t="s">
        <v>3831</v>
      </c>
      <c r="O32" s="80" t="s">
        <v>3830</v>
      </c>
      <c r="P32" s="84" t="s">
        <v>18</v>
      </c>
      <c r="Q32" s="84">
        <v>460</v>
      </c>
      <c r="R32" s="84" t="s">
        <v>3829</v>
      </c>
      <c r="S32" s="84" t="s">
        <v>18</v>
      </c>
      <c r="T32" s="84">
        <v>100</v>
      </c>
      <c r="U32" s="84" t="s">
        <v>3828</v>
      </c>
      <c r="V32" s="84" t="s">
        <v>7</v>
      </c>
      <c r="W32" s="84">
        <v>22</v>
      </c>
      <c r="X32" s="84" t="s">
        <v>3827</v>
      </c>
      <c r="Y32" s="84" t="s">
        <v>5</v>
      </c>
      <c r="Z32" s="84" t="s">
        <v>1</v>
      </c>
      <c r="AA32" s="84" t="s">
        <v>3826</v>
      </c>
      <c r="AB32" s="181" t="s">
        <v>6663</v>
      </c>
      <c r="AD32" s="181" t="s">
        <v>6678</v>
      </c>
      <c r="AE32" s="25" t="s">
        <v>3825</v>
      </c>
      <c r="AF32" s="71">
        <v>5.3029E-2</v>
      </c>
      <c r="AG32" s="69">
        <v>5.7638888888888885E-2</v>
      </c>
    </row>
    <row r="33" spans="1:34" x14ac:dyDescent="0.15">
      <c r="B33" s="80" t="s">
        <v>937</v>
      </c>
      <c r="C33" s="81" t="s">
        <v>1693</v>
      </c>
      <c r="D33" s="82">
        <v>3000</v>
      </c>
      <c r="E33" s="80" t="s">
        <v>4</v>
      </c>
      <c r="F33" s="82">
        <v>100</v>
      </c>
      <c r="G33" s="82">
        <f>F33</f>
        <v>100</v>
      </c>
      <c r="H33" s="85">
        <v>44846</v>
      </c>
      <c r="I33" s="80" t="s">
        <v>3797</v>
      </c>
      <c r="J33" s="80" t="s">
        <v>3796</v>
      </c>
      <c r="K33" s="80" t="s">
        <v>2315</v>
      </c>
      <c r="L33" s="80" t="s">
        <v>2705</v>
      </c>
      <c r="M33" s="80">
        <v>2019</v>
      </c>
      <c r="N33" s="80" t="s">
        <v>3795</v>
      </c>
      <c r="O33" s="80" t="s">
        <v>3794</v>
      </c>
      <c r="P33" s="84" t="s">
        <v>1</v>
      </c>
      <c r="Q33" s="84" t="s">
        <v>1</v>
      </c>
      <c r="R33" s="84" t="s">
        <v>1</v>
      </c>
      <c r="S33" s="84" t="s">
        <v>1</v>
      </c>
      <c r="T33" s="84" t="s">
        <v>1</v>
      </c>
      <c r="U33" s="84" t="s">
        <v>1</v>
      </c>
      <c r="V33" s="84" t="s">
        <v>1</v>
      </c>
      <c r="W33" s="84" t="s">
        <v>1</v>
      </c>
      <c r="X33" s="84" t="s">
        <v>1</v>
      </c>
      <c r="Y33" s="84" t="s">
        <v>1</v>
      </c>
      <c r="Z33" s="84" t="s">
        <v>1</v>
      </c>
      <c r="AA33" s="84" t="s">
        <v>1</v>
      </c>
      <c r="AB33" s="181" t="s">
        <v>6687</v>
      </c>
      <c r="AD33" s="181" t="s">
        <v>2099</v>
      </c>
      <c r="AE33" s="25" t="s">
        <v>4381</v>
      </c>
      <c r="AF33" s="71">
        <v>2.9129999999999998</v>
      </c>
      <c r="AG33" s="69">
        <v>8.1944444444444445E-2</v>
      </c>
    </row>
    <row r="34" spans="1:34" x14ac:dyDescent="0.15">
      <c r="B34" s="80" t="s">
        <v>3801</v>
      </c>
      <c r="C34" s="81" t="s">
        <v>1693</v>
      </c>
      <c r="D34" s="82">
        <v>3000</v>
      </c>
      <c r="E34" s="80" t="s">
        <v>1</v>
      </c>
      <c r="F34" s="82" t="s">
        <v>1</v>
      </c>
      <c r="G34" s="102" t="s">
        <v>1</v>
      </c>
      <c r="H34" s="82" t="s">
        <v>1</v>
      </c>
      <c r="I34" s="80" t="s">
        <v>3800</v>
      </c>
      <c r="J34" s="80" t="s">
        <v>3799</v>
      </c>
      <c r="K34" s="80" t="s">
        <v>2050</v>
      </c>
      <c r="L34" s="80" t="s">
        <v>2076</v>
      </c>
      <c r="M34" s="80">
        <v>2017</v>
      </c>
      <c r="N34" s="80" t="s">
        <v>5063</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6662</v>
      </c>
      <c r="AC34" s="181" t="s">
        <v>6665</v>
      </c>
      <c r="AD34" s="181" t="s">
        <v>6672</v>
      </c>
      <c r="AE34" s="25" t="s">
        <v>3798</v>
      </c>
      <c r="AF34" s="71">
        <v>1.9136E-2</v>
      </c>
      <c r="AG34" s="69">
        <v>5.6250000000000001E-2</v>
      </c>
    </row>
    <row r="35" spans="1:34" s="12" customFormat="1" x14ac:dyDescent="0.15">
      <c r="A35" s="80"/>
      <c r="B35" s="80" t="s">
        <v>197</v>
      </c>
      <c r="C35" s="81" t="s">
        <v>1693</v>
      </c>
      <c r="D35" s="82">
        <v>2500</v>
      </c>
      <c r="E35" s="80" t="s">
        <v>18</v>
      </c>
      <c r="F35" s="82">
        <v>500</v>
      </c>
      <c r="G35" s="82">
        <f>F35+Q35+T35+W35</f>
        <v>698</v>
      </c>
      <c r="H35" s="85">
        <v>44274</v>
      </c>
      <c r="I35" s="80" t="s">
        <v>3793</v>
      </c>
      <c r="J35" s="80"/>
      <c r="K35" s="80" t="s">
        <v>2050</v>
      </c>
      <c r="L35" s="80" t="s">
        <v>2210</v>
      </c>
      <c r="M35" s="80">
        <v>2016</v>
      </c>
      <c r="N35" s="80"/>
      <c r="O35" s="80" t="s">
        <v>3792</v>
      </c>
      <c r="P35" s="84" t="s">
        <v>7</v>
      </c>
      <c r="Q35" s="84">
        <v>120</v>
      </c>
      <c r="R35" s="84" t="s">
        <v>3791</v>
      </c>
      <c r="S35" s="84" t="s">
        <v>7</v>
      </c>
      <c r="T35" s="84">
        <v>32</v>
      </c>
      <c r="U35" s="84" t="s">
        <v>1080</v>
      </c>
      <c r="V35" s="84" t="s">
        <v>7</v>
      </c>
      <c r="W35" s="84">
        <v>46</v>
      </c>
      <c r="X35" s="84" t="s">
        <v>3790</v>
      </c>
      <c r="Y35" s="84" t="s">
        <v>5</v>
      </c>
      <c r="Z35" s="84" t="s">
        <v>1</v>
      </c>
      <c r="AA35" s="84" t="s">
        <v>3789</v>
      </c>
      <c r="AB35" s="181" t="s">
        <v>6663</v>
      </c>
      <c r="AC35" s="80"/>
      <c r="AD35" s="181" t="s">
        <v>6678</v>
      </c>
      <c r="AE35" s="25" t="s">
        <v>3788</v>
      </c>
      <c r="AF35" s="71">
        <v>3.5132999999999998E-2</v>
      </c>
      <c r="AG35" s="69">
        <v>6.1805555555555558E-2</v>
      </c>
      <c r="AH35" s="80"/>
    </row>
    <row r="36" spans="1:34" x14ac:dyDescent="0.15">
      <c r="B36" s="80" t="s">
        <v>3</v>
      </c>
      <c r="C36" s="81" t="s">
        <v>1693</v>
      </c>
      <c r="D36" s="82">
        <v>2200</v>
      </c>
      <c r="E36" s="80" t="s">
        <v>9</v>
      </c>
      <c r="F36" s="82">
        <v>90</v>
      </c>
      <c r="G36" s="82">
        <f>F36+Q36+T36+W36+Z36</f>
        <v>405</v>
      </c>
      <c r="H36" s="85">
        <v>44721</v>
      </c>
      <c r="I36" s="80" t="s">
        <v>3778</v>
      </c>
      <c r="J36" s="80" t="s">
        <v>3777</v>
      </c>
      <c r="K36" s="80" t="s">
        <v>2191</v>
      </c>
      <c r="L36" s="80" t="s">
        <v>3776</v>
      </c>
      <c r="M36" s="80">
        <v>2015</v>
      </c>
      <c r="O36" s="80" t="s">
        <v>3775</v>
      </c>
      <c r="P36" s="84" t="s">
        <v>8</v>
      </c>
      <c r="Q36" s="84">
        <v>210</v>
      </c>
      <c r="R36" s="84" t="s">
        <v>3774</v>
      </c>
      <c r="S36" s="84" t="s">
        <v>18</v>
      </c>
      <c r="T36" s="84">
        <v>70</v>
      </c>
      <c r="U36" s="84" t="s">
        <v>3773</v>
      </c>
      <c r="V36" s="84" t="s">
        <v>7</v>
      </c>
      <c r="W36" s="84">
        <v>25</v>
      </c>
      <c r="X36" s="84" t="s">
        <v>3772</v>
      </c>
      <c r="Y36" s="84" t="s">
        <v>5</v>
      </c>
      <c r="Z36" s="84">
        <v>10</v>
      </c>
      <c r="AA36" s="84" t="s">
        <v>3771</v>
      </c>
      <c r="AB36" s="181" t="s">
        <v>6662</v>
      </c>
      <c r="AC36" s="181" t="s">
        <v>6665</v>
      </c>
      <c r="AD36" s="181" t="s">
        <v>6684</v>
      </c>
      <c r="AE36" s="25" t="s">
        <v>3770</v>
      </c>
      <c r="AF36" s="71">
        <v>2.2540000000000001E-2</v>
      </c>
      <c r="AG36" s="69">
        <v>3.888888888888889E-2</v>
      </c>
    </row>
    <row r="37" spans="1:34" x14ac:dyDescent="0.15">
      <c r="B37" s="80" t="s">
        <v>3769</v>
      </c>
      <c r="C37" s="81" t="s">
        <v>1693</v>
      </c>
      <c r="D37" s="82">
        <v>2100</v>
      </c>
      <c r="E37" s="80" t="s">
        <v>9</v>
      </c>
      <c r="F37" s="82">
        <v>400</v>
      </c>
      <c r="G37" s="82">
        <f>F37+Q37+T37+W37+Z37</f>
        <v>664.9</v>
      </c>
      <c r="H37" s="85">
        <v>44608</v>
      </c>
      <c r="I37" s="80" t="s">
        <v>3768</v>
      </c>
      <c r="J37" s="80" t="s">
        <v>3767</v>
      </c>
      <c r="K37" s="80" t="s">
        <v>2050</v>
      </c>
      <c r="L37" s="80" t="s">
        <v>2531</v>
      </c>
      <c r="M37" s="80">
        <v>2008</v>
      </c>
      <c r="O37" s="80" t="s">
        <v>3766</v>
      </c>
      <c r="P37" s="84" t="s">
        <v>8</v>
      </c>
      <c r="Q37" s="84">
        <v>140</v>
      </c>
      <c r="R37" s="84" t="s">
        <v>3765</v>
      </c>
      <c r="S37" s="84" t="s">
        <v>18</v>
      </c>
      <c r="T37" s="84">
        <v>110</v>
      </c>
      <c r="U37" s="84" t="s">
        <v>3764</v>
      </c>
      <c r="V37" s="84" t="s">
        <v>7</v>
      </c>
      <c r="W37" s="84">
        <v>9.4</v>
      </c>
      <c r="X37" s="84" t="s">
        <v>3763</v>
      </c>
      <c r="Y37" s="84" t="s">
        <v>5</v>
      </c>
      <c r="Z37" s="84">
        <v>5.5</v>
      </c>
      <c r="AA37" s="84" t="s">
        <v>3762</v>
      </c>
      <c r="AB37" s="181" t="s">
        <v>6662</v>
      </c>
      <c r="AC37" s="181" t="s">
        <v>6665</v>
      </c>
      <c r="AD37" s="181" t="s">
        <v>6672</v>
      </c>
      <c r="AE37" s="25" t="s">
        <v>4382</v>
      </c>
      <c r="AF37" s="71">
        <v>6.0018000000000002E-2</v>
      </c>
      <c r="AG37" s="69">
        <v>6.25E-2</v>
      </c>
    </row>
    <row r="38" spans="1:34" x14ac:dyDescent="0.15">
      <c r="B38" s="80" t="s">
        <v>953</v>
      </c>
      <c r="C38" s="81" t="s">
        <v>1693</v>
      </c>
      <c r="D38" s="82">
        <v>2000</v>
      </c>
      <c r="E38" s="80" t="s">
        <v>18</v>
      </c>
      <c r="F38" s="82">
        <v>270</v>
      </c>
      <c r="G38" s="82">
        <f>F38+Q38+T38</f>
        <v>440</v>
      </c>
      <c r="H38" s="85">
        <v>45048</v>
      </c>
      <c r="I38" s="80" t="s">
        <v>3756</v>
      </c>
      <c r="J38" s="80" t="s">
        <v>3755</v>
      </c>
      <c r="K38" s="80" t="s">
        <v>2576</v>
      </c>
      <c r="L38" s="80" t="s">
        <v>3176</v>
      </c>
      <c r="M38" s="80">
        <v>2019</v>
      </c>
      <c r="N38" s="80" t="s">
        <v>3754</v>
      </c>
      <c r="O38" s="80" t="s">
        <v>3753</v>
      </c>
      <c r="P38" s="84" t="s">
        <v>7</v>
      </c>
      <c r="Q38" s="84">
        <v>130</v>
      </c>
      <c r="R38" s="84" t="s">
        <v>3752</v>
      </c>
      <c r="S38" s="84" t="s">
        <v>5</v>
      </c>
      <c r="T38" s="84">
        <v>40</v>
      </c>
      <c r="U38" s="84" t="s">
        <v>3751</v>
      </c>
      <c r="V38" s="84" t="s">
        <v>1</v>
      </c>
      <c r="W38" s="84" t="s">
        <v>1</v>
      </c>
      <c r="X38" s="84" t="s">
        <v>1</v>
      </c>
      <c r="Y38" s="84" t="s">
        <v>1</v>
      </c>
      <c r="Z38" s="84" t="s">
        <v>1</v>
      </c>
      <c r="AA38" s="84" t="s">
        <v>1</v>
      </c>
      <c r="AB38" s="181" t="s">
        <v>6688</v>
      </c>
      <c r="AD38" s="181" t="s">
        <v>2911</v>
      </c>
      <c r="AE38" s="25" t="s">
        <v>4384</v>
      </c>
      <c r="AF38" s="71">
        <v>0.75510100000000002</v>
      </c>
      <c r="AG38" s="69">
        <v>7.3611111111111113E-2</v>
      </c>
    </row>
    <row r="39" spans="1:34" x14ac:dyDescent="0.15">
      <c r="B39" s="80" t="s">
        <v>39</v>
      </c>
      <c r="C39" s="81" t="s">
        <v>1693</v>
      </c>
      <c r="D39" s="82">
        <v>2000</v>
      </c>
      <c r="E39" s="80" t="s">
        <v>9</v>
      </c>
      <c r="F39" s="82">
        <v>230</v>
      </c>
      <c r="G39" s="82">
        <f>F39+Q39+T39+W39+Z39</f>
        <v>567</v>
      </c>
      <c r="H39" s="85">
        <v>44984</v>
      </c>
      <c r="I39" s="80" t="s">
        <v>3732</v>
      </c>
      <c r="J39" s="80" t="s">
        <v>3733</v>
      </c>
      <c r="K39" s="80" t="s">
        <v>2105</v>
      </c>
      <c r="L39" s="80" t="s">
        <v>3732</v>
      </c>
      <c r="M39" s="80">
        <v>2014</v>
      </c>
      <c r="N39" s="80" t="s">
        <v>3731</v>
      </c>
      <c r="O39" s="80" t="s">
        <v>3730</v>
      </c>
      <c r="P39" s="84" t="s">
        <v>8</v>
      </c>
      <c r="Q39" s="84">
        <v>170</v>
      </c>
      <c r="R39" s="84" t="s">
        <v>3729</v>
      </c>
      <c r="S39" s="84" t="s">
        <v>18</v>
      </c>
      <c r="T39" s="84">
        <v>100</v>
      </c>
      <c r="U39" s="84" t="s">
        <v>3728</v>
      </c>
      <c r="V39" s="84" t="s">
        <v>7</v>
      </c>
      <c r="W39" s="84">
        <v>42</v>
      </c>
      <c r="X39" s="84" t="s">
        <v>3727</v>
      </c>
      <c r="Y39" s="84" t="s">
        <v>5</v>
      </c>
      <c r="Z39" s="84">
        <v>25</v>
      </c>
      <c r="AA39" s="84" t="s">
        <v>3726</v>
      </c>
      <c r="AB39" s="181" t="s">
        <v>6662</v>
      </c>
      <c r="AC39" s="181" t="s">
        <v>6665</v>
      </c>
      <c r="AD39" s="181" t="s">
        <v>6682</v>
      </c>
      <c r="AE39" s="25" t="s">
        <v>3725</v>
      </c>
      <c r="AF39" s="71">
        <v>9.7415000000000002E-2</v>
      </c>
      <c r="AG39" s="69">
        <v>0.1111111111111111</v>
      </c>
    </row>
    <row r="40" spans="1:34" s="192" customFormat="1" x14ac:dyDescent="0.15">
      <c r="A40" s="80"/>
      <c r="B40" s="12" t="s">
        <v>884</v>
      </c>
      <c r="C40" s="29" t="s">
        <v>1693</v>
      </c>
      <c r="D40" s="15">
        <v>2100</v>
      </c>
      <c r="E40" s="12" t="s">
        <v>18</v>
      </c>
      <c r="F40" s="15">
        <v>200</v>
      </c>
      <c r="G40" s="15">
        <f>F40+Q40+T40</f>
        <v>305</v>
      </c>
      <c r="H40" s="33">
        <v>44377</v>
      </c>
      <c r="I40" s="12" t="s">
        <v>2701</v>
      </c>
      <c r="J40" s="12" t="s">
        <v>3761</v>
      </c>
      <c r="K40" s="12" t="s">
        <v>2050</v>
      </c>
      <c r="L40" s="12" t="s">
        <v>3760</v>
      </c>
      <c r="M40" s="12">
        <v>2016</v>
      </c>
      <c r="N40" s="12"/>
      <c r="O40" s="12" t="s">
        <v>3759</v>
      </c>
      <c r="P40" s="24" t="s">
        <v>7</v>
      </c>
      <c r="Q40" s="24">
        <v>75</v>
      </c>
      <c r="R40" s="24" t="s">
        <v>3758</v>
      </c>
      <c r="S40" s="24" t="s">
        <v>5</v>
      </c>
      <c r="T40" s="24">
        <v>30</v>
      </c>
      <c r="U40" s="24" t="s">
        <v>3757</v>
      </c>
      <c r="V40" s="24" t="s">
        <v>1</v>
      </c>
      <c r="W40" s="24" t="s">
        <v>1</v>
      </c>
      <c r="X40" s="24" t="s">
        <v>1</v>
      </c>
      <c r="Y40" s="24" t="s">
        <v>1</v>
      </c>
      <c r="Z40" s="24" t="s">
        <v>1</v>
      </c>
      <c r="AA40" s="24" t="s">
        <v>1</v>
      </c>
      <c r="AB40" s="12" t="s">
        <v>6662</v>
      </c>
      <c r="AC40" s="12" t="s">
        <v>6665</v>
      </c>
      <c r="AD40" s="12" t="s">
        <v>2369</v>
      </c>
      <c r="AE40" s="25" t="s">
        <v>4383</v>
      </c>
      <c r="AF40" s="71">
        <v>5.4670999999999997E-2</v>
      </c>
      <c r="AG40" s="69">
        <v>9.4444444444444442E-2</v>
      </c>
      <c r="AH40" s="12"/>
    </row>
    <row r="41" spans="1:34" x14ac:dyDescent="0.15">
      <c r="B41" s="80" t="s">
        <v>2136</v>
      </c>
      <c r="C41" s="81" t="s">
        <v>1693</v>
      </c>
      <c r="D41" s="82">
        <v>2000</v>
      </c>
      <c r="E41" s="80" t="s">
        <v>7</v>
      </c>
      <c r="F41" s="82">
        <f>147*1.2</f>
        <v>176.4</v>
      </c>
      <c r="G41" s="82">
        <f>F41+Q41+T41+W41</f>
        <v>219.4</v>
      </c>
      <c r="H41" s="85">
        <v>44578</v>
      </c>
      <c r="I41" s="80" t="s">
        <v>4422</v>
      </c>
      <c r="J41" s="80" t="s">
        <v>4419</v>
      </c>
      <c r="K41" s="80" t="s">
        <v>4421</v>
      </c>
      <c r="L41" s="80" t="s">
        <v>2121</v>
      </c>
      <c r="M41" s="80">
        <v>2017</v>
      </c>
      <c r="O41" s="80" t="s">
        <v>4423</v>
      </c>
      <c r="P41" s="84" t="s">
        <v>5</v>
      </c>
      <c r="Q41" s="84">
        <v>20</v>
      </c>
      <c r="R41" s="84" t="s">
        <v>4429</v>
      </c>
      <c r="S41" s="84" t="s">
        <v>5</v>
      </c>
      <c r="T41" s="84">
        <v>20</v>
      </c>
      <c r="U41" s="84" t="s">
        <v>4431</v>
      </c>
      <c r="V41" s="84" t="s">
        <v>4</v>
      </c>
      <c r="W41" s="84">
        <v>3</v>
      </c>
      <c r="X41" s="84" t="s">
        <v>4432</v>
      </c>
      <c r="Y41" s="84" t="s">
        <v>1</v>
      </c>
      <c r="Z41" s="84" t="s">
        <v>1</v>
      </c>
      <c r="AA41" s="84" t="s">
        <v>1</v>
      </c>
      <c r="AB41" s="181" t="s">
        <v>6687</v>
      </c>
      <c r="AD41" s="181" t="s">
        <v>2099</v>
      </c>
      <c r="AE41" s="25" t="s">
        <v>2135</v>
      </c>
      <c r="AF41" s="71">
        <v>4.0629999999999999E-2</v>
      </c>
      <c r="AG41" s="69">
        <v>0.11875000000000001</v>
      </c>
    </row>
    <row r="42" spans="1:34" x14ac:dyDescent="0.15">
      <c r="B42" s="80" t="s">
        <v>2141</v>
      </c>
      <c r="C42" s="81" t="s">
        <v>1693</v>
      </c>
      <c r="D42" s="82">
        <v>2000</v>
      </c>
      <c r="E42" s="80" t="s">
        <v>8</v>
      </c>
      <c r="F42" s="82">
        <v>220</v>
      </c>
      <c r="G42" s="82">
        <f>F42+Q42+T42</f>
        <v>520</v>
      </c>
      <c r="H42" s="85">
        <v>44287</v>
      </c>
      <c r="I42" s="80" t="s">
        <v>4352</v>
      </c>
      <c r="J42" s="80" t="s">
        <v>2140</v>
      </c>
      <c r="K42" s="80" t="s">
        <v>2105</v>
      </c>
      <c r="L42" s="80" t="s">
        <v>2121</v>
      </c>
      <c r="M42" s="80">
        <v>2016</v>
      </c>
      <c r="O42" s="80" t="s">
        <v>2139</v>
      </c>
      <c r="P42" s="84" t="s">
        <v>8</v>
      </c>
      <c r="Q42" s="84">
        <v>200</v>
      </c>
      <c r="R42" s="84" t="s">
        <v>4359</v>
      </c>
      <c r="S42" s="84" t="s">
        <v>18</v>
      </c>
      <c r="T42" s="84">
        <v>100</v>
      </c>
      <c r="U42" s="84" t="s">
        <v>4366</v>
      </c>
      <c r="V42" s="84" t="s">
        <v>5</v>
      </c>
      <c r="W42" s="84" t="s">
        <v>1</v>
      </c>
      <c r="X42" s="84" t="s">
        <v>4367</v>
      </c>
      <c r="Y42" s="84" t="s">
        <v>4</v>
      </c>
      <c r="Z42" s="84" t="s">
        <v>1</v>
      </c>
      <c r="AA42" s="84" t="s">
        <v>4368</v>
      </c>
      <c r="AB42" s="181" t="s">
        <v>6662</v>
      </c>
      <c r="AC42" s="181" t="s">
        <v>6665</v>
      </c>
      <c r="AD42" s="181" t="s">
        <v>6685</v>
      </c>
      <c r="AE42" s="25" t="s">
        <v>2138</v>
      </c>
      <c r="AF42" s="71">
        <v>1.7038000000000001E-2</v>
      </c>
      <c r="AG42" s="69">
        <v>0.13749999999999998</v>
      </c>
    </row>
    <row r="43" spans="1:34" x14ac:dyDescent="0.15">
      <c r="B43" s="80" t="s">
        <v>3742</v>
      </c>
      <c r="C43" s="81" t="s">
        <v>1693</v>
      </c>
      <c r="D43" s="82">
        <v>2000</v>
      </c>
      <c r="E43" s="80" t="s">
        <v>7</v>
      </c>
      <c r="F43" s="82">
        <v>138</v>
      </c>
      <c r="G43" s="82">
        <f>F43</f>
        <v>138</v>
      </c>
      <c r="H43" s="85">
        <v>44872</v>
      </c>
      <c r="I43" s="80" t="s">
        <v>3741</v>
      </c>
      <c r="K43" s="80" t="s">
        <v>2050</v>
      </c>
      <c r="L43" s="80" t="s">
        <v>3288</v>
      </c>
      <c r="M43" s="80">
        <v>2014</v>
      </c>
      <c r="N43" s="80" t="s">
        <v>3740</v>
      </c>
      <c r="O43" s="80" t="s">
        <v>1</v>
      </c>
      <c r="P43" s="84" t="s">
        <v>5</v>
      </c>
      <c r="Q43" s="84" t="s">
        <v>1</v>
      </c>
      <c r="R43" s="84" t="s">
        <v>3739</v>
      </c>
      <c r="AB43" s="181" t="s">
        <v>6663</v>
      </c>
      <c r="AD43" s="181" t="s">
        <v>6678</v>
      </c>
    </row>
    <row r="44" spans="1:34" s="192" customFormat="1" x14ac:dyDescent="0.15">
      <c r="A44" s="80"/>
      <c r="B44" s="80" t="s">
        <v>2097</v>
      </c>
      <c r="C44" s="81" t="s">
        <v>1693</v>
      </c>
      <c r="D44" s="82">
        <v>2000</v>
      </c>
      <c r="E44" s="80" t="s">
        <v>8</v>
      </c>
      <c r="F44" s="82">
        <v>50</v>
      </c>
      <c r="G44" s="82">
        <f>F44+Q44+T44+W44+Z44</f>
        <v>120.69999999999999</v>
      </c>
      <c r="H44" s="85">
        <v>44307</v>
      </c>
      <c r="I44" s="99" t="s">
        <v>5457</v>
      </c>
      <c r="J44" s="99" t="s">
        <v>5454</v>
      </c>
      <c r="K44" s="80" t="s">
        <v>2050</v>
      </c>
      <c r="L44" s="80" t="s">
        <v>2061</v>
      </c>
      <c r="M44" s="80">
        <v>2013</v>
      </c>
      <c r="N44" s="80"/>
      <c r="O44" s="99" t="s">
        <v>5456</v>
      </c>
      <c r="P44" s="101" t="s">
        <v>18</v>
      </c>
      <c r="Q44" s="84">
        <v>37</v>
      </c>
      <c r="R44" s="101" t="s">
        <v>5461</v>
      </c>
      <c r="S44" s="101" t="s">
        <v>7</v>
      </c>
      <c r="T44" s="84">
        <v>13.5</v>
      </c>
      <c r="U44" s="101" t="s">
        <v>5466</v>
      </c>
      <c r="V44" s="101" t="s">
        <v>5</v>
      </c>
      <c r="W44" s="84">
        <v>18.100000000000001</v>
      </c>
      <c r="X44" s="101" t="s">
        <v>5465</v>
      </c>
      <c r="Y44" s="101" t="s">
        <v>4</v>
      </c>
      <c r="Z44" s="84">
        <v>2.1</v>
      </c>
      <c r="AA44" s="101" t="s">
        <v>1132</v>
      </c>
      <c r="AB44" s="181" t="s">
        <v>6662</v>
      </c>
      <c r="AC44" s="181" t="s">
        <v>6665</v>
      </c>
      <c r="AD44" s="181" t="s">
        <v>2369</v>
      </c>
      <c r="AE44" s="25" t="s">
        <v>2096</v>
      </c>
      <c r="AF44" s="71"/>
      <c r="AG44" s="66"/>
      <c r="AH44" s="80"/>
    </row>
    <row r="45" spans="1:34" x14ac:dyDescent="0.15">
      <c r="B45" s="80" t="s">
        <v>3738</v>
      </c>
      <c r="C45" s="81" t="s">
        <v>1693</v>
      </c>
      <c r="D45" s="82">
        <v>2000</v>
      </c>
      <c r="E45" s="80" t="s">
        <v>18</v>
      </c>
      <c r="F45" s="82">
        <v>50</v>
      </c>
      <c r="G45" s="82">
        <f>F45+Q45+T45</f>
        <v>225</v>
      </c>
      <c r="H45" s="85">
        <v>44380</v>
      </c>
      <c r="J45" s="80" t="s">
        <v>3737</v>
      </c>
      <c r="K45" s="80" t="s">
        <v>2315</v>
      </c>
      <c r="L45" s="80" t="s">
        <v>2297</v>
      </c>
      <c r="M45" s="80">
        <v>2014</v>
      </c>
      <c r="O45" s="80" t="s">
        <v>3736</v>
      </c>
      <c r="P45" s="84" t="s">
        <v>7</v>
      </c>
      <c r="Q45" s="84">
        <v>150</v>
      </c>
      <c r="R45" s="84" t="s">
        <v>3735</v>
      </c>
      <c r="S45" s="84" t="s">
        <v>5</v>
      </c>
      <c r="T45" s="84">
        <f>150/6</f>
        <v>25</v>
      </c>
      <c r="U45" s="84" t="s">
        <v>3734</v>
      </c>
      <c r="V45" s="84" t="s">
        <v>1</v>
      </c>
      <c r="W45" s="84" t="s">
        <v>1</v>
      </c>
      <c r="X45" s="84" t="s">
        <v>1</v>
      </c>
      <c r="Y45" s="84" t="s">
        <v>1</v>
      </c>
      <c r="Z45" s="84" t="s">
        <v>1</v>
      </c>
      <c r="AA45" s="84" t="s">
        <v>1</v>
      </c>
      <c r="AB45" s="181" t="s">
        <v>6663</v>
      </c>
      <c r="AD45" s="181" t="s">
        <v>3495</v>
      </c>
      <c r="AE45" s="25" t="s">
        <v>5084</v>
      </c>
      <c r="AF45" s="70">
        <v>0</v>
      </c>
      <c r="AG45" s="76">
        <v>0.11805555555555557</v>
      </c>
    </row>
    <row r="46" spans="1:34" x14ac:dyDescent="0.15">
      <c r="B46" s="80" t="s">
        <v>208</v>
      </c>
      <c r="C46" s="81" t="s">
        <v>1693</v>
      </c>
      <c r="D46" s="87">
        <v>2000</v>
      </c>
      <c r="E46" s="80" t="s">
        <v>8</v>
      </c>
      <c r="F46" s="82">
        <v>676</v>
      </c>
      <c r="H46" s="85">
        <v>44299</v>
      </c>
      <c r="I46" s="80" t="s">
        <v>3887</v>
      </c>
      <c r="J46" s="80" t="s">
        <v>3886</v>
      </c>
      <c r="K46" s="80" t="s">
        <v>2050</v>
      </c>
      <c r="L46" s="80" t="s">
        <v>2857</v>
      </c>
      <c r="M46" s="80">
        <v>2017</v>
      </c>
      <c r="N46" s="221" t="s">
        <v>7194</v>
      </c>
      <c r="O46" s="80" t="s">
        <v>3885</v>
      </c>
      <c r="P46" s="84" t="s">
        <v>3884</v>
      </c>
      <c r="Q46" s="84">
        <v>250</v>
      </c>
      <c r="R46" s="84" t="s">
        <v>3883</v>
      </c>
      <c r="S46" s="84" t="s">
        <v>7</v>
      </c>
      <c r="T46" s="84">
        <v>150</v>
      </c>
      <c r="U46" s="84" t="s">
        <v>3882</v>
      </c>
      <c r="V46" s="84" t="s">
        <v>5</v>
      </c>
      <c r="W46" s="84">
        <v>56</v>
      </c>
      <c r="X46" s="84" t="s">
        <v>3881</v>
      </c>
      <c r="Y46" s="84" t="s">
        <v>4</v>
      </c>
      <c r="Z46" s="84">
        <v>2</v>
      </c>
      <c r="AA46" s="84" t="s">
        <v>1109</v>
      </c>
      <c r="AB46" s="181" t="s">
        <v>6662</v>
      </c>
      <c r="AC46" s="181" t="s">
        <v>6665</v>
      </c>
      <c r="AD46" s="181" t="s">
        <v>6672</v>
      </c>
      <c r="AE46" s="25" t="s">
        <v>3880</v>
      </c>
      <c r="AF46" s="71">
        <v>1.1689E-2</v>
      </c>
      <c r="AG46" s="69">
        <v>0.14444444444444446</v>
      </c>
    </row>
    <row r="47" spans="1:34" x14ac:dyDescent="0.15">
      <c r="B47" s="80" t="s">
        <v>3724</v>
      </c>
      <c r="C47" s="81" t="s">
        <v>1693</v>
      </c>
      <c r="D47" s="82">
        <v>1900</v>
      </c>
      <c r="E47" s="80" t="s">
        <v>9</v>
      </c>
      <c r="F47" s="82">
        <v>220</v>
      </c>
      <c r="G47" s="82">
        <f>F47+Q47+T47+W47+Z47</f>
        <v>396.8</v>
      </c>
      <c r="H47" s="85">
        <v>44357</v>
      </c>
      <c r="I47" s="80" t="s">
        <v>3723</v>
      </c>
      <c r="J47" s="80" t="s">
        <v>3722</v>
      </c>
      <c r="K47" s="80" t="s">
        <v>2050</v>
      </c>
      <c r="L47" s="80" t="s">
        <v>2133</v>
      </c>
      <c r="M47" s="80">
        <v>2016</v>
      </c>
      <c r="O47" s="80" t="s">
        <v>3721</v>
      </c>
      <c r="P47" s="84" t="s">
        <v>8</v>
      </c>
      <c r="Q47" s="84">
        <v>125</v>
      </c>
      <c r="R47" s="84" t="s">
        <v>3720</v>
      </c>
      <c r="S47" s="84" t="s">
        <v>18</v>
      </c>
      <c r="T47" s="84">
        <v>28</v>
      </c>
      <c r="U47" s="84" t="s">
        <v>3719</v>
      </c>
      <c r="V47" s="84" t="s">
        <v>7</v>
      </c>
      <c r="W47" s="84">
        <v>18</v>
      </c>
      <c r="X47" s="84" t="s">
        <v>3718</v>
      </c>
      <c r="Y47" s="84" t="s">
        <v>5</v>
      </c>
      <c r="Z47" s="84">
        <v>5.8</v>
      </c>
      <c r="AA47" s="84" t="s">
        <v>1</v>
      </c>
      <c r="AB47" s="181" t="s">
        <v>6662</v>
      </c>
      <c r="AC47" s="181" t="s">
        <v>6665</v>
      </c>
      <c r="AD47" s="181" t="s">
        <v>6680</v>
      </c>
      <c r="AE47" s="25" t="s">
        <v>3717</v>
      </c>
      <c r="AF47" s="71">
        <v>6.0490000000000004</v>
      </c>
      <c r="AG47" s="69">
        <v>0.11319444444444444</v>
      </c>
    </row>
    <row r="48" spans="1:34" x14ac:dyDescent="0.15">
      <c r="B48" s="80" t="s">
        <v>47</v>
      </c>
      <c r="C48" s="81" t="s">
        <v>1693</v>
      </c>
      <c r="D48" s="87">
        <v>1500</v>
      </c>
      <c r="E48" s="80" t="s">
        <v>53</v>
      </c>
      <c r="F48" s="82">
        <v>100</v>
      </c>
      <c r="H48" s="85">
        <v>44515</v>
      </c>
      <c r="J48" s="80" t="s">
        <v>3867</v>
      </c>
      <c r="K48" s="80" t="s">
        <v>2050</v>
      </c>
      <c r="L48" s="80" t="s">
        <v>2076</v>
      </c>
      <c r="M48" s="80">
        <v>2012</v>
      </c>
      <c r="N48" s="221" t="s">
        <v>7195</v>
      </c>
      <c r="O48" s="80" t="s">
        <v>3866</v>
      </c>
      <c r="P48" s="84" t="s">
        <v>9</v>
      </c>
      <c r="Q48" s="84" t="s">
        <v>3865</v>
      </c>
      <c r="R48" s="84" t="s">
        <v>3864</v>
      </c>
      <c r="S48" s="84" t="s">
        <v>8</v>
      </c>
      <c r="T48" s="84" t="s">
        <v>3863</v>
      </c>
      <c r="U48" s="84" t="s">
        <v>3862</v>
      </c>
      <c r="V48" s="84" t="s">
        <v>18</v>
      </c>
      <c r="W48" s="84">
        <v>60</v>
      </c>
      <c r="X48" s="84" t="s">
        <v>3861</v>
      </c>
      <c r="Y48" s="84" t="s">
        <v>18</v>
      </c>
      <c r="Z48" s="84">
        <v>50</v>
      </c>
      <c r="AA48" s="84" t="s">
        <v>3860</v>
      </c>
      <c r="AB48" s="181" t="s">
        <v>6662</v>
      </c>
      <c r="AC48" s="181" t="s">
        <v>6665</v>
      </c>
      <c r="AD48" s="181" t="s">
        <v>6673</v>
      </c>
      <c r="AE48" s="25" t="s">
        <v>3859</v>
      </c>
      <c r="AF48" s="71">
        <v>0.24010600000000001</v>
      </c>
      <c r="AG48" s="69">
        <v>0.30833333333333335</v>
      </c>
    </row>
    <row r="49" spans="1:34" x14ac:dyDescent="0.15">
      <c r="B49" s="80" t="s">
        <v>57</v>
      </c>
      <c r="C49" s="81" t="s">
        <v>1693</v>
      </c>
      <c r="D49" s="82">
        <v>1500</v>
      </c>
      <c r="E49" s="80" t="s">
        <v>8</v>
      </c>
      <c r="F49" s="82">
        <v>250</v>
      </c>
      <c r="G49" s="82">
        <f>F49+Q49</f>
        <v>350</v>
      </c>
      <c r="H49" s="85">
        <v>45069</v>
      </c>
      <c r="I49" s="80" t="s">
        <v>3710</v>
      </c>
      <c r="J49" s="80" t="s">
        <v>3709</v>
      </c>
      <c r="K49" s="80" t="s">
        <v>2050</v>
      </c>
      <c r="L49" s="80" t="s">
        <v>2244</v>
      </c>
      <c r="M49" s="80">
        <v>2016</v>
      </c>
      <c r="N49" s="80" t="s">
        <v>3708</v>
      </c>
      <c r="O49" s="80" t="s">
        <v>3707</v>
      </c>
      <c r="P49" s="84" t="s">
        <v>18</v>
      </c>
      <c r="Q49" s="84">
        <v>100</v>
      </c>
      <c r="R49" s="84" t="s">
        <v>3706</v>
      </c>
      <c r="S49" s="84" t="s">
        <v>7</v>
      </c>
      <c r="T49" s="84" t="s">
        <v>1</v>
      </c>
      <c r="U49" s="84" t="s">
        <v>3705</v>
      </c>
      <c r="V49" s="84" t="s">
        <v>5</v>
      </c>
      <c r="W49" s="84">
        <v>29.5</v>
      </c>
      <c r="X49" s="84" t="s">
        <v>3704</v>
      </c>
      <c r="Y49" s="84" t="s">
        <v>1</v>
      </c>
      <c r="Z49" s="84" t="s">
        <v>1</v>
      </c>
      <c r="AA49" s="84" t="s">
        <v>1</v>
      </c>
      <c r="AB49" s="80" t="s">
        <v>2099</v>
      </c>
      <c r="AE49" s="25" t="s">
        <v>3703</v>
      </c>
      <c r="AF49" s="71">
        <v>0.60908600000000002</v>
      </c>
      <c r="AG49" s="69">
        <v>0.31597222222222221</v>
      </c>
    </row>
    <row r="50" spans="1:34" x14ac:dyDescent="0.15">
      <c r="B50" s="80" t="s">
        <v>958</v>
      </c>
      <c r="C50" s="81" t="s">
        <v>1693</v>
      </c>
      <c r="D50" s="82">
        <v>1400</v>
      </c>
      <c r="E50" s="80" t="s">
        <v>8</v>
      </c>
      <c r="F50" s="82">
        <v>100</v>
      </c>
      <c r="G50" s="82">
        <f>F50+Q50+T50+W50+Z50</f>
        <v>195.5</v>
      </c>
      <c r="H50" s="85">
        <v>45051</v>
      </c>
      <c r="I50" s="80" t="s">
        <v>2310</v>
      </c>
      <c r="J50" s="80" t="s">
        <v>3702</v>
      </c>
      <c r="K50" s="80" t="s">
        <v>2315</v>
      </c>
      <c r="L50" s="80" t="s">
        <v>2309</v>
      </c>
      <c r="M50" s="86">
        <v>43101</v>
      </c>
      <c r="N50" s="80" t="s">
        <v>4303</v>
      </c>
      <c r="O50" s="80" t="s">
        <v>3701</v>
      </c>
      <c r="P50" s="84" t="s">
        <v>18</v>
      </c>
      <c r="Q50" s="84">
        <v>50</v>
      </c>
      <c r="R50" s="84" t="s">
        <v>3700</v>
      </c>
      <c r="S50" s="84" t="s">
        <v>7</v>
      </c>
      <c r="T50" s="84">
        <v>35</v>
      </c>
      <c r="U50" s="84" t="s">
        <v>3699</v>
      </c>
      <c r="V50" s="84" t="s">
        <v>5</v>
      </c>
      <c r="W50" s="84">
        <v>8.5</v>
      </c>
      <c r="X50" s="84" t="s">
        <v>3698</v>
      </c>
      <c r="Y50" s="84" t="s">
        <v>4</v>
      </c>
      <c r="Z50" s="84">
        <v>2</v>
      </c>
      <c r="AA50" s="84" t="s">
        <v>3697</v>
      </c>
      <c r="AB50" s="80" t="s">
        <v>2060</v>
      </c>
      <c r="AE50" s="25" t="s">
        <v>5082</v>
      </c>
      <c r="AF50" s="70">
        <v>5.6790000000000003</v>
      </c>
      <c r="AG50" s="76">
        <v>0.16666666666666666</v>
      </c>
    </row>
    <row r="51" spans="1:34" x14ac:dyDescent="0.15">
      <c r="B51" s="80" t="s">
        <v>2134</v>
      </c>
      <c r="C51" s="81" t="s">
        <v>1693</v>
      </c>
      <c r="D51" s="82">
        <v>1300</v>
      </c>
      <c r="E51" s="80" t="s">
        <v>18</v>
      </c>
      <c r="F51" s="82">
        <v>200</v>
      </c>
      <c r="G51" s="82">
        <f>F51+Q51+T51</f>
        <v>253.3</v>
      </c>
      <c r="H51" s="85">
        <v>44557</v>
      </c>
      <c r="I51" s="80" t="s">
        <v>4491</v>
      </c>
      <c r="J51" s="80" t="s">
        <v>4490</v>
      </c>
      <c r="K51" s="80" t="s">
        <v>2050</v>
      </c>
      <c r="L51" s="80" t="s">
        <v>2133</v>
      </c>
      <c r="M51" s="80">
        <v>2016</v>
      </c>
      <c r="O51" s="80" t="s">
        <v>4492</v>
      </c>
      <c r="P51" s="84" t="s">
        <v>7</v>
      </c>
      <c r="Q51" s="84">
        <v>40</v>
      </c>
      <c r="R51" s="84" t="s">
        <v>4497</v>
      </c>
      <c r="S51" s="84" t="s">
        <v>5</v>
      </c>
      <c r="T51" s="84">
        <v>13.3</v>
      </c>
      <c r="U51" s="84" t="s">
        <v>1</v>
      </c>
      <c r="V51" s="84" t="s">
        <v>1</v>
      </c>
      <c r="W51" s="84" t="s">
        <v>1</v>
      </c>
      <c r="X51" s="84" t="s">
        <v>1</v>
      </c>
      <c r="Y51" s="84" t="s">
        <v>1</v>
      </c>
      <c r="Z51" s="84" t="s">
        <v>1</v>
      </c>
      <c r="AA51" s="84" t="s">
        <v>1</v>
      </c>
      <c r="AB51" s="80" t="s">
        <v>2132</v>
      </c>
      <c r="AE51" s="25" t="s">
        <v>2131</v>
      </c>
      <c r="AF51" s="71">
        <v>4.1040000000000001</v>
      </c>
      <c r="AG51" s="69">
        <v>0.13541666666666666</v>
      </c>
    </row>
    <row r="52" spans="1:34" x14ac:dyDescent="0.15">
      <c r="B52" s="80" t="s">
        <v>764</v>
      </c>
      <c r="C52" s="81" t="s">
        <v>1693</v>
      </c>
      <c r="D52" s="82">
        <v>1500</v>
      </c>
      <c r="E52" s="80" t="s">
        <v>5</v>
      </c>
      <c r="F52" s="82">
        <v>125</v>
      </c>
      <c r="G52" s="82">
        <f>F52+Q52+T52</f>
        <v>132</v>
      </c>
      <c r="H52" s="85">
        <v>44852</v>
      </c>
      <c r="I52" s="80" t="s">
        <v>2563</v>
      </c>
      <c r="J52" s="80" t="s">
        <v>3716</v>
      </c>
      <c r="K52" s="80" t="s">
        <v>2315</v>
      </c>
      <c r="L52" s="80" t="s">
        <v>2705</v>
      </c>
      <c r="M52" s="80">
        <v>2021</v>
      </c>
      <c r="N52" s="80" t="s">
        <v>3715</v>
      </c>
      <c r="O52" s="80" t="s">
        <v>3714</v>
      </c>
      <c r="P52" s="84" t="s">
        <v>4</v>
      </c>
      <c r="Q52" s="84">
        <v>6</v>
      </c>
      <c r="R52" s="84" t="s">
        <v>3713</v>
      </c>
      <c r="S52" s="84" t="s">
        <v>278</v>
      </c>
      <c r="T52" s="84">
        <v>1</v>
      </c>
      <c r="U52" s="84" t="s">
        <v>3712</v>
      </c>
      <c r="V52" s="84" t="s">
        <v>1</v>
      </c>
      <c r="W52" s="84" t="s">
        <v>1</v>
      </c>
      <c r="X52" s="84" t="s">
        <v>1</v>
      </c>
      <c r="Y52" s="84" t="s">
        <v>1</v>
      </c>
      <c r="Z52" s="84" t="s">
        <v>1</v>
      </c>
      <c r="AA52" s="84" t="s">
        <v>1</v>
      </c>
      <c r="AB52" s="181" t="s">
        <v>6688</v>
      </c>
      <c r="AD52" s="181" t="s">
        <v>3711</v>
      </c>
      <c r="AE52" s="25" t="s">
        <v>5081</v>
      </c>
      <c r="AF52" s="70">
        <v>3.9180000000000001</v>
      </c>
      <c r="AG52" s="76">
        <v>0.1673611111111111</v>
      </c>
    </row>
    <row r="53" spans="1:34" x14ac:dyDescent="0.15">
      <c r="B53" s="80" t="s">
        <v>607</v>
      </c>
      <c r="C53" s="81" t="s">
        <v>1693</v>
      </c>
      <c r="D53" s="82">
        <v>1300</v>
      </c>
      <c r="E53" s="80" t="s">
        <v>9</v>
      </c>
      <c r="F53" s="82">
        <v>132</v>
      </c>
      <c r="G53" s="82">
        <f>F53+Q53+T53+W53+Z53</f>
        <v>252.8</v>
      </c>
      <c r="H53" s="85">
        <v>44215</v>
      </c>
      <c r="I53" s="80" t="s">
        <v>3696</v>
      </c>
      <c r="J53" s="80" t="s">
        <v>3695</v>
      </c>
      <c r="K53" s="80" t="s">
        <v>2315</v>
      </c>
      <c r="L53" s="80" t="s">
        <v>2067</v>
      </c>
      <c r="M53" s="80">
        <v>2016</v>
      </c>
      <c r="O53" s="80" t="s">
        <v>3694</v>
      </c>
      <c r="P53" s="84" t="s">
        <v>8</v>
      </c>
      <c r="Q53" s="84">
        <v>42</v>
      </c>
      <c r="R53" s="84" t="s">
        <v>3693</v>
      </c>
      <c r="S53" s="84" t="s">
        <v>18</v>
      </c>
      <c r="T53" s="84">
        <v>48</v>
      </c>
      <c r="U53" s="84" t="s">
        <v>3692</v>
      </c>
      <c r="V53" s="84" t="s">
        <v>7</v>
      </c>
      <c r="W53" s="84">
        <v>25</v>
      </c>
      <c r="X53" s="84" t="s">
        <v>3691</v>
      </c>
      <c r="Y53" s="84" t="s">
        <v>5</v>
      </c>
      <c r="Z53" s="84">
        <v>5.8</v>
      </c>
      <c r="AA53" s="84" t="s">
        <v>3690</v>
      </c>
      <c r="AB53" s="80" t="s">
        <v>2060</v>
      </c>
      <c r="AE53" s="25" t="s">
        <v>5083</v>
      </c>
      <c r="AF53" s="70">
        <v>2.2080000000000002</v>
      </c>
      <c r="AG53" s="76">
        <v>7.2222222222222229E-2</v>
      </c>
    </row>
    <row r="54" spans="1:34" x14ac:dyDescent="0.15">
      <c r="B54" s="80" t="s">
        <v>80</v>
      </c>
      <c r="C54" s="81" t="s">
        <v>1693</v>
      </c>
      <c r="D54" s="82">
        <v>1285.7142857142858</v>
      </c>
      <c r="E54" s="80" t="s">
        <v>18</v>
      </c>
      <c r="F54" s="82">
        <v>257.14285714285717</v>
      </c>
      <c r="G54" s="82">
        <f>F54+Q54+T54+W54</f>
        <v>448.71428571428572</v>
      </c>
      <c r="H54" s="85">
        <v>44201</v>
      </c>
      <c r="I54" s="80" t="s">
        <v>2379</v>
      </c>
      <c r="J54" s="80" t="s">
        <v>3689</v>
      </c>
      <c r="K54" s="80" t="s">
        <v>2050</v>
      </c>
      <c r="L54" s="80" t="s">
        <v>2105</v>
      </c>
      <c r="M54" s="80">
        <v>2018</v>
      </c>
      <c r="O54" s="80" t="s">
        <v>3688</v>
      </c>
      <c r="P54" s="84" t="s">
        <v>7</v>
      </c>
      <c r="Q54" s="84">
        <v>100</v>
      </c>
      <c r="R54" s="84" t="s">
        <v>3687</v>
      </c>
      <c r="S54" s="84" t="s">
        <v>5</v>
      </c>
      <c r="T54" s="84">
        <v>43</v>
      </c>
      <c r="U54" s="84" t="s">
        <v>3686</v>
      </c>
      <c r="V54" s="84" t="s">
        <v>4</v>
      </c>
      <c r="W54" s="88">
        <f>340/7</f>
        <v>48.571428571428569</v>
      </c>
      <c r="X54" s="84" t="s">
        <v>3685</v>
      </c>
      <c r="Y54" s="84" t="s">
        <v>1</v>
      </c>
      <c r="Z54" s="84" t="s">
        <v>1</v>
      </c>
      <c r="AA54" s="84" t="s">
        <v>1</v>
      </c>
      <c r="AB54" s="80" t="s">
        <v>3642</v>
      </c>
      <c r="AE54" s="25" t="s">
        <v>3684</v>
      </c>
      <c r="AF54" s="71">
        <v>1.1807E-2</v>
      </c>
      <c r="AG54" s="69">
        <v>0.10486111111111111</v>
      </c>
    </row>
    <row r="55" spans="1:34" x14ac:dyDescent="0.15">
      <c r="B55" s="80" t="s">
        <v>2137</v>
      </c>
      <c r="C55" s="81" t="s">
        <v>1693</v>
      </c>
      <c r="D55" s="82">
        <f>7700/7</f>
        <v>1100</v>
      </c>
      <c r="E55" s="80" t="s">
        <v>7</v>
      </c>
      <c r="F55" s="82">
        <f>1300/7</f>
        <v>185.71428571428572</v>
      </c>
      <c r="G55" s="82">
        <f>F55</f>
        <v>185.71428571428572</v>
      </c>
      <c r="H55" s="85">
        <v>44648</v>
      </c>
      <c r="I55" s="80" t="s">
        <v>4410</v>
      </c>
      <c r="J55" s="80" t="s">
        <v>4411</v>
      </c>
      <c r="K55" s="80" t="s">
        <v>2050</v>
      </c>
      <c r="L55" s="80" t="s">
        <v>2121</v>
      </c>
      <c r="M55" s="80">
        <v>2014</v>
      </c>
      <c r="N55" s="80" t="s">
        <v>4416</v>
      </c>
      <c r="O55" s="80" t="s">
        <v>4412</v>
      </c>
      <c r="P55" s="84" t="s">
        <v>5</v>
      </c>
      <c r="Q55" s="84" t="s">
        <v>1</v>
      </c>
      <c r="R55" s="84" t="s">
        <v>4415</v>
      </c>
      <c r="S55" s="84" t="s">
        <v>1</v>
      </c>
      <c r="T55" s="84" t="s">
        <v>1</v>
      </c>
      <c r="U55" s="84" t="s">
        <v>1</v>
      </c>
      <c r="V55" s="84" t="s">
        <v>1</v>
      </c>
      <c r="W55" s="84" t="s">
        <v>1</v>
      </c>
      <c r="X55" s="84" t="s">
        <v>1</v>
      </c>
      <c r="Y55" s="84" t="s">
        <v>1</v>
      </c>
      <c r="Z55" s="84" t="s">
        <v>1</v>
      </c>
      <c r="AA55" s="84" t="s">
        <v>1</v>
      </c>
      <c r="AB55" s="80" t="s">
        <v>4408</v>
      </c>
      <c r="AE55" s="25" t="s">
        <v>4409</v>
      </c>
      <c r="AF55" s="71">
        <v>7.4970000000000002E-3</v>
      </c>
      <c r="AG55" s="69">
        <v>0.2388888888888889</v>
      </c>
    </row>
    <row r="56" spans="1:34" x14ac:dyDescent="0.15">
      <c r="B56" s="80" t="s">
        <v>3683</v>
      </c>
      <c r="C56" s="81" t="s">
        <v>1693</v>
      </c>
      <c r="D56" s="82">
        <v>1100</v>
      </c>
      <c r="E56" s="80" t="s">
        <v>18</v>
      </c>
      <c r="F56" s="82">
        <v>130</v>
      </c>
      <c r="G56" s="82">
        <f>F56+Q56+T56+W56</f>
        <v>191.5</v>
      </c>
      <c r="H56" s="85">
        <v>44323</v>
      </c>
      <c r="I56" s="80" t="s">
        <v>3682</v>
      </c>
      <c r="J56" s="80" t="s">
        <v>3681</v>
      </c>
      <c r="K56" s="80" t="s">
        <v>2050</v>
      </c>
      <c r="L56" s="80" t="s">
        <v>2637</v>
      </c>
      <c r="M56" s="80">
        <v>2016</v>
      </c>
      <c r="O56" s="80" t="s">
        <v>3680</v>
      </c>
      <c r="P56" s="84" t="s">
        <v>7</v>
      </c>
      <c r="Q56" s="84">
        <v>44</v>
      </c>
      <c r="R56" s="84" t="s">
        <v>3679</v>
      </c>
      <c r="S56" s="84" t="s">
        <v>5</v>
      </c>
      <c r="T56" s="84">
        <v>15</v>
      </c>
      <c r="U56" s="84" t="s">
        <v>3678</v>
      </c>
      <c r="V56" s="84" t="s">
        <v>4</v>
      </c>
      <c r="W56" s="84">
        <v>2.5</v>
      </c>
      <c r="X56" s="84" t="s">
        <v>3677</v>
      </c>
      <c r="Y56" s="84" t="s">
        <v>278</v>
      </c>
      <c r="Z56" s="84" t="s">
        <v>1</v>
      </c>
      <c r="AA56" s="84" t="s">
        <v>3676</v>
      </c>
      <c r="AB56" s="80" t="s">
        <v>2911</v>
      </c>
      <c r="AE56" s="25" t="s">
        <v>5085</v>
      </c>
      <c r="AF56" s="70">
        <v>0.26639200000000002</v>
      </c>
      <c r="AG56" s="76">
        <v>7.9166666666666663E-2</v>
      </c>
    </row>
    <row r="57" spans="1:34" x14ac:dyDescent="0.15">
      <c r="B57" s="80" t="s">
        <v>404</v>
      </c>
      <c r="C57" s="81" t="s">
        <v>1693</v>
      </c>
      <c r="D57" s="82">
        <v>1000</v>
      </c>
      <c r="E57" s="80" t="s">
        <v>18</v>
      </c>
      <c r="F57" s="82">
        <v>90</v>
      </c>
      <c r="G57" s="82">
        <f>F57+Q57+T57+W57+Z57</f>
        <v>156.6</v>
      </c>
      <c r="H57" s="85">
        <v>45090</v>
      </c>
      <c r="J57" s="80" t="s">
        <v>3601</v>
      </c>
      <c r="K57" s="80" t="s">
        <v>2050</v>
      </c>
      <c r="L57" s="80" t="s">
        <v>2309</v>
      </c>
      <c r="M57" s="80">
        <v>2017</v>
      </c>
      <c r="O57" s="80" t="s">
        <v>3600</v>
      </c>
      <c r="P57" s="84" t="s">
        <v>7</v>
      </c>
      <c r="Q57" s="84">
        <v>50</v>
      </c>
      <c r="R57" s="84" t="s">
        <v>3599</v>
      </c>
      <c r="S57" s="84" t="s">
        <v>5</v>
      </c>
      <c r="T57" s="84">
        <v>12.5</v>
      </c>
      <c r="U57" s="84" t="s">
        <v>3598</v>
      </c>
      <c r="V57" s="84" t="s">
        <v>4</v>
      </c>
      <c r="W57" s="84">
        <v>3.1</v>
      </c>
      <c r="X57" s="84" t="s">
        <v>3597</v>
      </c>
      <c r="Y57" s="84" t="s">
        <v>278</v>
      </c>
      <c r="Z57" s="84">
        <v>1</v>
      </c>
      <c r="AA57" s="84" t="s">
        <v>3596</v>
      </c>
      <c r="AB57" s="80" t="s">
        <v>2170</v>
      </c>
      <c r="AE57" s="25" t="s">
        <v>5097</v>
      </c>
      <c r="AF57" s="70">
        <v>3.3330000000000002</v>
      </c>
      <c r="AG57" s="76">
        <v>0.1361111111111111</v>
      </c>
    </row>
    <row r="58" spans="1:34" s="12" customFormat="1" x14ac:dyDescent="0.15">
      <c r="A58" s="80"/>
      <c r="B58" s="80" t="s">
        <v>3675</v>
      </c>
      <c r="C58" s="81" t="s">
        <v>1693</v>
      </c>
      <c r="D58" s="82">
        <v>1000</v>
      </c>
      <c r="E58" s="80" t="s">
        <v>18</v>
      </c>
      <c r="F58" s="82">
        <v>135</v>
      </c>
      <c r="G58" s="82">
        <f>F58+Q58+T58</f>
        <v>185</v>
      </c>
      <c r="H58" s="85">
        <v>44482</v>
      </c>
      <c r="I58" s="80" t="s">
        <v>3674</v>
      </c>
      <c r="J58" s="80" t="s">
        <v>3673</v>
      </c>
      <c r="K58" s="80" t="s">
        <v>2576</v>
      </c>
      <c r="L58" s="80" t="s">
        <v>2061</v>
      </c>
      <c r="M58" s="80">
        <v>2017</v>
      </c>
      <c r="N58" s="80" t="s">
        <v>3672</v>
      </c>
      <c r="O58" s="80" t="s">
        <v>3671</v>
      </c>
      <c r="P58" s="84" t="s">
        <v>7</v>
      </c>
      <c r="Q58" s="84">
        <v>45</v>
      </c>
      <c r="R58" s="84" t="s">
        <v>3670</v>
      </c>
      <c r="S58" s="84" t="s">
        <v>5</v>
      </c>
      <c r="T58" s="84">
        <v>5</v>
      </c>
      <c r="U58" s="84" t="s">
        <v>3669</v>
      </c>
      <c r="V58" s="84" t="s">
        <v>1</v>
      </c>
      <c r="W58" s="84" t="s">
        <v>1</v>
      </c>
      <c r="X58" s="84" t="s">
        <v>1</v>
      </c>
      <c r="Y58" s="84" t="s">
        <v>1</v>
      </c>
      <c r="Z58" s="84" t="s">
        <v>1</v>
      </c>
      <c r="AA58" s="84" t="s">
        <v>1</v>
      </c>
      <c r="AB58" s="80" t="s">
        <v>2369</v>
      </c>
      <c r="AC58" s="80"/>
      <c r="AD58" s="80"/>
      <c r="AE58" s="25" t="s">
        <v>5086</v>
      </c>
      <c r="AF58" s="70">
        <v>1.5369999999999999</v>
      </c>
      <c r="AG58" s="76">
        <v>0.31875000000000003</v>
      </c>
      <c r="AH58" s="80"/>
    </row>
    <row r="59" spans="1:34" x14ac:dyDescent="0.15">
      <c r="B59" s="12" t="s">
        <v>3668</v>
      </c>
      <c r="C59" s="29" t="s">
        <v>1693</v>
      </c>
      <c r="D59" s="15">
        <v>1000</v>
      </c>
      <c r="E59" s="12" t="s">
        <v>5</v>
      </c>
      <c r="F59" s="15">
        <v>150</v>
      </c>
      <c r="G59" s="82">
        <f>F59</f>
        <v>150</v>
      </c>
      <c r="H59" s="14">
        <v>45008</v>
      </c>
      <c r="I59" s="12" t="s">
        <v>936</v>
      </c>
      <c r="J59" s="12" t="s">
        <v>3667</v>
      </c>
      <c r="K59" s="12" t="s">
        <v>2315</v>
      </c>
      <c r="L59" s="12" t="s">
        <v>2474</v>
      </c>
      <c r="M59" s="12">
        <v>2021</v>
      </c>
      <c r="N59" s="80" t="s">
        <v>3666</v>
      </c>
      <c r="O59" s="80" t="s">
        <v>3665</v>
      </c>
      <c r="P59" s="84" t="s">
        <v>4</v>
      </c>
      <c r="Q59" s="84" t="s">
        <v>1</v>
      </c>
      <c r="R59" s="84" t="s">
        <v>3664</v>
      </c>
      <c r="S59" s="84" t="s">
        <v>1</v>
      </c>
      <c r="T59" s="84" t="s">
        <v>1</v>
      </c>
      <c r="U59" s="84" t="s">
        <v>1</v>
      </c>
      <c r="V59" s="84" t="s">
        <v>1</v>
      </c>
      <c r="W59" s="84" t="s">
        <v>1</v>
      </c>
      <c r="X59" s="84" t="s">
        <v>1</v>
      </c>
      <c r="Y59" s="84" t="s">
        <v>1</v>
      </c>
      <c r="Z59" s="84" t="s">
        <v>1</v>
      </c>
      <c r="AA59" s="84" t="s">
        <v>1</v>
      </c>
      <c r="AB59" s="80" t="s">
        <v>3663</v>
      </c>
      <c r="AE59" s="25" t="s">
        <v>5064</v>
      </c>
      <c r="AF59" s="70">
        <v>180.9</v>
      </c>
      <c r="AG59" s="75" t="s">
        <v>5065</v>
      </c>
    </row>
    <row r="60" spans="1:34" x14ac:dyDescent="0.15">
      <c r="B60" s="80" t="s">
        <v>3658</v>
      </c>
      <c r="C60" s="81" t="s">
        <v>1693</v>
      </c>
      <c r="D60" s="82">
        <v>1000</v>
      </c>
      <c r="E60" s="80" t="s">
        <v>3657</v>
      </c>
      <c r="F60" s="82">
        <v>0</v>
      </c>
      <c r="G60" s="82">
        <v>0</v>
      </c>
      <c r="H60" s="83" t="s">
        <v>1</v>
      </c>
      <c r="I60" s="80" t="s">
        <v>3656</v>
      </c>
      <c r="J60" s="80" t="s">
        <v>3655</v>
      </c>
      <c r="K60" s="80" t="s">
        <v>2315</v>
      </c>
      <c r="L60" s="80" t="s">
        <v>2705</v>
      </c>
      <c r="M60" s="86">
        <v>44754</v>
      </c>
      <c r="N60" s="80" t="s">
        <v>3654</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3653</v>
      </c>
      <c r="AE60" s="25" t="s">
        <v>5088</v>
      </c>
      <c r="AF60" s="70">
        <v>25.69</v>
      </c>
      <c r="AG60" s="76">
        <v>0.28194444444444444</v>
      </c>
    </row>
    <row r="61" spans="1:34" x14ac:dyDescent="0.15">
      <c r="B61" s="80" t="s">
        <v>950</v>
      </c>
      <c r="C61" s="81" t="s">
        <v>1693</v>
      </c>
      <c r="D61" s="82">
        <v>1000</v>
      </c>
      <c r="E61" s="80" t="s">
        <v>7</v>
      </c>
      <c r="F61" s="82">
        <v>350</v>
      </c>
      <c r="G61" s="82">
        <f>F61+Q61</f>
        <v>415</v>
      </c>
      <c r="H61" s="85">
        <v>44999</v>
      </c>
      <c r="I61" s="80" t="s">
        <v>1</v>
      </c>
      <c r="J61" s="80" t="s">
        <v>3662</v>
      </c>
      <c r="K61" s="34" t="s">
        <v>2050</v>
      </c>
      <c r="L61" s="34" t="s">
        <v>2740</v>
      </c>
      <c r="M61" s="80">
        <v>2022</v>
      </c>
      <c r="N61" s="80" t="s">
        <v>3661</v>
      </c>
      <c r="O61" s="80" t="s">
        <v>3660</v>
      </c>
      <c r="P61" s="84" t="s">
        <v>5</v>
      </c>
      <c r="Q61" s="84">
        <v>65</v>
      </c>
      <c r="R61" s="84" t="s">
        <v>3659</v>
      </c>
      <c r="S61" s="84" t="s">
        <v>1</v>
      </c>
      <c r="T61" s="84" t="s">
        <v>1</v>
      </c>
      <c r="U61" s="84" t="s">
        <v>1</v>
      </c>
      <c r="V61" s="84" t="s">
        <v>1</v>
      </c>
      <c r="W61" s="84" t="s">
        <v>1</v>
      </c>
      <c r="X61" s="84" t="s">
        <v>1</v>
      </c>
      <c r="Y61" s="84" t="s">
        <v>1</v>
      </c>
      <c r="Z61" s="84" t="s">
        <v>1</v>
      </c>
      <c r="AA61" s="84" t="s">
        <v>1</v>
      </c>
      <c r="AB61" s="80" t="s">
        <v>2369</v>
      </c>
      <c r="AE61" s="25" t="s">
        <v>5087</v>
      </c>
      <c r="AF61" s="70">
        <v>0.10972999999999999</v>
      </c>
      <c r="AG61" s="76">
        <v>4.8611111111111112E-2</v>
      </c>
    </row>
    <row r="62" spans="1:34" x14ac:dyDescent="0.15">
      <c r="B62" s="80" t="s">
        <v>833</v>
      </c>
      <c r="C62" s="81" t="s">
        <v>1693</v>
      </c>
      <c r="D62" s="82">
        <v>1000</v>
      </c>
      <c r="E62" s="80" t="s">
        <v>18</v>
      </c>
      <c r="F62" s="82">
        <v>99</v>
      </c>
      <c r="G62" s="82">
        <f>F62+Q62+T62+W62</f>
        <v>259</v>
      </c>
      <c r="H62" s="85">
        <v>44796</v>
      </c>
      <c r="I62" s="80" t="s">
        <v>2857</v>
      </c>
      <c r="J62" s="80" t="s">
        <v>3607</v>
      </c>
      <c r="K62" s="80" t="s">
        <v>2576</v>
      </c>
      <c r="L62" s="80" t="s">
        <v>2061</v>
      </c>
      <c r="M62" s="80">
        <v>2019</v>
      </c>
      <c r="N62" s="80" t="s">
        <v>3606</v>
      </c>
      <c r="O62" s="80" t="s">
        <v>3605</v>
      </c>
      <c r="P62" s="84" t="s">
        <v>1118</v>
      </c>
      <c r="Q62" s="84">
        <v>100</v>
      </c>
      <c r="R62" s="84" t="s">
        <v>3604</v>
      </c>
      <c r="S62" s="84" t="s">
        <v>7</v>
      </c>
      <c r="T62" s="84">
        <v>40</v>
      </c>
      <c r="U62" s="84" t="s">
        <v>3603</v>
      </c>
      <c r="V62" s="84" t="s">
        <v>5</v>
      </c>
      <c r="W62" s="84">
        <v>20</v>
      </c>
      <c r="X62" s="84" t="s">
        <v>3602</v>
      </c>
      <c r="Y62" s="84" t="s">
        <v>1</v>
      </c>
      <c r="Z62" s="84" t="s">
        <v>1</v>
      </c>
      <c r="AA62" s="84" t="s">
        <v>1</v>
      </c>
      <c r="AB62" s="80" t="s">
        <v>2369</v>
      </c>
      <c r="AE62" s="25" t="s">
        <v>5095</v>
      </c>
      <c r="AF62" s="70">
        <v>9.9955000000000002E-2</v>
      </c>
      <c r="AG62" s="76">
        <v>5.5555555555555552E-2</v>
      </c>
    </row>
    <row r="63" spans="1:34" x14ac:dyDescent="0.15">
      <c r="B63" s="80" t="s">
        <v>1064</v>
      </c>
      <c r="C63" s="81" t="s">
        <v>1693</v>
      </c>
      <c r="D63" s="82">
        <v>1000</v>
      </c>
      <c r="E63" s="80" t="s">
        <v>7</v>
      </c>
      <c r="F63" s="82">
        <v>100</v>
      </c>
      <c r="G63" s="82">
        <f>F63+Q63</f>
        <v>165</v>
      </c>
      <c r="H63" s="85">
        <v>45106</v>
      </c>
      <c r="J63" s="80" t="s">
        <v>3588</v>
      </c>
      <c r="K63" s="80" t="s">
        <v>2050</v>
      </c>
      <c r="L63" s="80" t="s">
        <v>2705</v>
      </c>
      <c r="M63" s="80">
        <v>2022</v>
      </c>
      <c r="O63" s="80" t="s">
        <v>3587</v>
      </c>
      <c r="P63" s="84" t="s">
        <v>5</v>
      </c>
      <c r="Q63" s="84">
        <v>65</v>
      </c>
      <c r="R63" s="80" t="s">
        <v>3586</v>
      </c>
      <c r="S63" s="84" t="s">
        <v>1</v>
      </c>
      <c r="T63" s="84" t="s">
        <v>1</v>
      </c>
      <c r="U63" s="84" t="s">
        <v>1</v>
      </c>
      <c r="V63" s="84" t="s">
        <v>1</v>
      </c>
      <c r="W63" s="84" t="s">
        <v>1</v>
      </c>
      <c r="X63" s="84" t="s">
        <v>1</v>
      </c>
      <c r="Y63" s="84" t="s">
        <v>1</v>
      </c>
      <c r="Z63" s="84" t="s">
        <v>1</v>
      </c>
      <c r="AA63" s="84" t="s">
        <v>1</v>
      </c>
      <c r="AB63" s="80" t="s">
        <v>2369</v>
      </c>
      <c r="AE63" s="25" t="s">
        <v>5099</v>
      </c>
      <c r="AF63" s="70">
        <v>9.4228999999999993E-2</v>
      </c>
      <c r="AG63" s="76">
        <v>0.14305555555555557</v>
      </c>
    </row>
    <row r="64" spans="1:34" x14ac:dyDescent="0.15">
      <c r="B64" s="80" t="s">
        <v>521</v>
      </c>
      <c r="C64" s="81" t="s">
        <v>1693</v>
      </c>
      <c r="D64" s="82">
        <v>1000</v>
      </c>
      <c r="E64" s="80" t="s">
        <v>8</v>
      </c>
      <c r="F64" s="82">
        <v>100</v>
      </c>
      <c r="G64" s="82">
        <f>F64+Q64+T64+W64+Z64</f>
        <v>200</v>
      </c>
      <c r="H64" s="85">
        <v>44419</v>
      </c>
      <c r="I64" s="80" t="s">
        <v>3628</v>
      </c>
      <c r="J64" s="80" t="s">
        <v>3627</v>
      </c>
      <c r="K64" s="80" t="s">
        <v>2050</v>
      </c>
      <c r="L64" s="80" t="s">
        <v>2262</v>
      </c>
      <c r="M64" s="80">
        <v>2016</v>
      </c>
      <c r="O64" s="80" t="s">
        <v>3626</v>
      </c>
      <c r="P64" s="84" t="s">
        <v>18</v>
      </c>
      <c r="Q64" s="84">
        <v>60</v>
      </c>
      <c r="R64" s="84" t="s">
        <v>3625</v>
      </c>
      <c r="S64" s="84" t="s">
        <v>7</v>
      </c>
      <c r="T64" s="84">
        <v>30</v>
      </c>
      <c r="U64" s="84" t="s">
        <v>3624</v>
      </c>
      <c r="V64" s="84" t="s">
        <v>5</v>
      </c>
      <c r="W64" s="84">
        <v>7</v>
      </c>
      <c r="X64" s="84" t="s">
        <v>3623</v>
      </c>
      <c r="Y64" s="84" t="s">
        <v>4</v>
      </c>
      <c r="Z64" s="84">
        <v>3</v>
      </c>
      <c r="AA64" s="84" t="s">
        <v>3622</v>
      </c>
      <c r="AB64" s="80" t="s">
        <v>2053</v>
      </c>
      <c r="AE64" s="25" t="s">
        <v>5093</v>
      </c>
      <c r="AF64" s="70">
        <v>8.3721000000000004E-2</v>
      </c>
      <c r="AG64" s="76">
        <v>0.17083333333333331</v>
      </c>
    </row>
    <row r="65" spans="1:34" x14ac:dyDescent="0.15">
      <c r="B65" s="80" t="s">
        <v>1044</v>
      </c>
      <c r="C65" s="81" t="s">
        <v>1693</v>
      </c>
      <c r="D65" s="82">
        <v>1000</v>
      </c>
      <c r="E65" s="80" t="s">
        <v>18</v>
      </c>
      <c r="F65" s="82">
        <v>100</v>
      </c>
      <c r="G65" s="82">
        <f>F65+Q65+T65</f>
        <v>155</v>
      </c>
      <c r="H65" s="85">
        <v>44699</v>
      </c>
      <c r="I65" s="80" t="s">
        <v>3634</v>
      </c>
      <c r="J65" s="80" t="s">
        <v>3633</v>
      </c>
      <c r="K65" s="80" t="s">
        <v>2050</v>
      </c>
      <c r="L65" s="80" t="s">
        <v>2237</v>
      </c>
      <c r="M65" s="80">
        <v>2019</v>
      </c>
      <c r="N65" s="80" t="s">
        <v>3632</v>
      </c>
      <c r="O65" s="80" t="s">
        <v>3631</v>
      </c>
      <c r="P65" s="84" t="s">
        <v>7</v>
      </c>
      <c r="Q65" s="84">
        <v>40</v>
      </c>
      <c r="R65" s="84" t="s">
        <v>3630</v>
      </c>
      <c r="S65" s="84" t="s">
        <v>5</v>
      </c>
      <c r="T65" s="84">
        <v>15</v>
      </c>
      <c r="U65" s="84" t="s">
        <v>3629</v>
      </c>
      <c r="V65" s="84" t="s">
        <v>1</v>
      </c>
      <c r="W65" s="84" t="s">
        <v>1</v>
      </c>
      <c r="X65" s="84" t="s">
        <v>1</v>
      </c>
      <c r="Y65" s="84" t="s">
        <v>1</v>
      </c>
      <c r="Z65" s="84" t="s">
        <v>1</v>
      </c>
      <c r="AA65" s="84" t="s">
        <v>1</v>
      </c>
      <c r="AB65" s="80" t="s">
        <v>2159</v>
      </c>
      <c r="AE65" s="25" t="s">
        <v>5092</v>
      </c>
      <c r="AF65" s="70">
        <v>3.1140999999999999E-2</v>
      </c>
      <c r="AG65" s="76">
        <v>7.6388888888888886E-3</v>
      </c>
    </row>
    <row r="66" spans="1:34" x14ac:dyDescent="0.15">
      <c r="B66" s="80" t="s">
        <v>878</v>
      </c>
      <c r="C66" s="81" t="s">
        <v>1693</v>
      </c>
      <c r="D66" s="82">
        <v>1000</v>
      </c>
      <c r="E66" s="80" t="s">
        <v>18</v>
      </c>
      <c r="F66" s="82">
        <v>85</v>
      </c>
      <c r="G66" s="82">
        <f>F66+Q66+T66+W66</f>
        <v>135.30000000000001</v>
      </c>
      <c r="H66" s="85">
        <v>44417</v>
      </c>
      <c r="I66" s="80" t="s">
        <v>3595</v>
      </c>
      <c r="J66" s="80" t="s">
        <v>3594</v>
      </c>
      <c r="K66" s="80" t="s">
        <v>2050</v>
      </c>
      <c r="L66" s="80" t="s">
        <v>2061</v>
      </c>
      <c r="M66" s="80">
        <v>2019</v>
      </c>
      <c r="N66" s="80" t="s">
        <v>3593</v>
      </c>
      <c r="O66" s="80" t="s">
        <v>3592</v>
      </c>
      <c r="P66" s="84" t="s">
        <v>7</v>
      </c>
      <c r="Q66" s="84">
        <v>35</v>
      </c>
      <c r="R66" s="84" t="s">
        <v>3591</v>
      </c>
      <c r="S66" s="84" t="s">
        <v>5</v>
      </c>
      <c r="T66" s="84">
        <v>12</v>
      </c>
      <c r="U66" s="84" t="s">
        <v>3590</v>
      </c>
      <c r="V66" s="84" t="s">
        <v>4</v>
      </c>
      <c r="W66" s="84">
        <v>3.3</v>
      </c>
      <c r="X66" s="84" t="s">
        <v>3589</v>
      </c>
      <c r="Y66" s="84" t="s">
        <v>1</v>
      </c>
      <c r="Z66" s="84" t="s">
        <v>1</v>
      </c>
      <c r="AA66" s="84" t="s">
        <v>1</v>
      </c>
      <c r="AB66" s="80" t="s">
        <v>3129</v>
      </c>
      <c r="AE66" s="25" t="s">
        <v>5098</v>
      </c>
      <c r="AF66" s="70">
        <v>2.9928E-2</v>
      </c>
      <c r="AG66" s="76">
        <v>9.5833333333333326E-2</v>
      </c>
    </row>
    <row r="67" spans="1:34" x14ac:dyDescent="0.15">
      <c r="B67" s="80" t="s">
        <v>1006</v>
      </c>
      <c r="C67" s="81" t="s">
        <v>1693</v>
      </c>
      <c r="D67" s="82">
        <v>1000</v>
      </c>
      <c r="E67" s="80" t="s">
        <v>18</v>
      </c>
      <c r="F67" s="82">
        <v>100</v>
      </c>
      <c r="G67" s="82">
        <f>F67+Q67+T67+W67</f>
        <v>160</v>
      </c>
      <c r="H67" s="85">
        <v>44754</v>
      </c>
      <c r="I67" s="80" t="s">
        <v>3621</v>
      </c>
      <c r="J67" s="80" t="s">
        <v>3620</v>
      </c>
      <c r="K67" s="80" t="s">
        <v>2576</v>
      </c>
      <c r="L67" s="80" t="s">
        <v>2061</v>
      </c>
      <c r="M67" s="80">
        <v>2019</v>
      </c>
      <c r="N67" s="80" t="s">
        <v>3619</v>
      </c>
      <c r="O67" s="80" t="s">
        <v>3618</v>
      </c>
      <c r="P67" s="84" t="s">
        <v>7</v>
      </c>
      <c r="Q67" s="84">
        <v>35</v>
      </c>
      <c r="R67" s="84" t="s">
        <v>3617</v>
      </c>
      <c r="S67" s="84" t="s">
        <v>5</v>
      </c>
      <c r="T67" s="84">
        <v>20</v>
      </c>
      <c r="U67" s="84" t="s">
        <v>3616</v>
      </c>
      <c r="V67" s="84" t="s">
        <v>4</v>
      </c>
      <c r="W67" s="84">
        <v>5</v>
      </c>
      <c r="X67" s="84" t="s">
        <v>3615</v>
      </c>
      <c r="Y67" s="84" t="s">
        <v>1</v>
      </c>
      <c r="Z67" s="84" t="s">
        <v>1</v>
      </c>
      <c r="AA67" s="84" t="s">
        <v>1</v>
      </c>
      <c r="AB67" s="80" t="s">
        <v>2369</v>
      </c>
      <c r="AE67" s="25" t="s">
        <v>5094</v>
      </c>
      <c r="AF67" s="70">
        <v>2.9766999999999998E-2</v>
      </c>
      <c r="AG67" s="76">
        <v>0.32569444444444445</v>
      </c>
    </row>
    <row r="68" spans="1:34" x14ac:dyDescent="0.15">
      <c r="B68" s="80" t="s">
        <v>3652</v>
      </c>
      <c r="C68" s="81" t="s">
        <v>1693</v>
      </c>
      <c r="D68" s="82">
        <v>1000</v>
      </c>
      <c r="E68" s="80" t="s">
        <v>7</v>
      </c>
      <c r="F68" s="82">
        <v>300</v>
      </c>
      <c r="G68" s="82">
        <f>F68</f>
        <v>300</v>
      </c>
      <c r="H68" s="85">
        <v>44453</v>
      </c>
      <c r="I68" s="80" t="s">
        <v>3651</v>
      </c>
      <c r="J68" s="80" t="s">
        <v>3650</v>
      </c>
      <c r="K68" s="80" t="s">
        <v>2315</v>
      </c>
      <c r="L68" s="80" t="s">
        <v>3499</v>
      </c>
      <c r="M68" s="86">
        <v>43817</v>
      </c>
      <c r="N68" s="80" t="s">
        <v>3499</v>
      </c>
      <c r="O68" s="80" t="s">
        <v>3649</v>
      </c>
      <c r="P68" s="84" t="s">
        <v>1</v>
      </c>
      <c r="Q68" s="84" t="s">
        <v>1</v>
      </c>
      <c r="R68" s="84" t="s">
        <v>1</v>
      </c>
      <c r="S68" s="84" t="s">
        <v>1</v>
      </c>
      <c r="T68" s="84" t="s">
        <v>1</v>
      </c>
      <c r="U68" s="84" t="s">
        <v>1</v>
      </c>
      <c r="V68" s="84" t="s">
        <v>1</v>
      </c>
      <c r="W68" s="84" t="s">
        <v>1</v>
      </c>
      <c r="X68" s="84" t="s">
        <v>1</v>
      </c>
      <c r="Y68" s="84" t="s">
        <v>1</v>
      </c>
      <c r="Z68" s="84" t="s">
        <v>1</v>
      </c>
      <c r="AA68" s="84" t="s">
        <v>1</v>
      </c>
      <c r="AB68" s="80" t="s">
        <v>3608</v>
      </c>
      <c r="AE68" s="25" t="s">
        <v>5089</v>
      </c>
      <c r="AF68" s="70">
        <v>3.4018E-2</v>
      </c>
      <c r="AG68" s="76">
        <v>0.75416666666666676</v>
      </c>
    </row>
    <row r="69" spans="1:34" x14ac:dyDescent="0.15">
      <c r="B69" s="80" t="s">
        <v>5090</v>
      </c>
      <c r="C69" s="81" t="s">
        <v>1693</v>
      </c>
      <c r="D69" s="82">
        <v>1000</v>
      </c>
      <c r="E69" s="80" t="s">
        <v>18</v>
      </c>
      <c r="F69" s="82">
        <v>235</v>
      </c>
      <c r="G69" s="82">
        <f>F69+Q69+T69+W69+Z69</f>
        <v>352</v>
      </c>
      <c r="H69" s="85">
        <v>44384</v>
      </c>
      <c r="I69" s="80" t="s">
        <v>3640</v>
      </c>
      <c r="J69" s="80" t="s">
        <v>3639</v>
      </c>
      <c r="K69" s="80" t="s">
        <v>2050</v>
      </c>
      <c r="L69" s="80" t="s">
        <v>2049</v>
      </c>
      <c r="M69" s="80">
        <v>2015</v>
      </c>
      <c r="O69" s="80" t="s">
        <v>3638</v>
      </c>
      <c r="P69" s="84" t="s">
        <v>7</v>
      </c>
      <c r="Q69" s="84">
        <v>43</v>
      </c>
      <c r="R69" s="84" t="s">
        <v>3637</v>
      </c>
      <c r="S69" s="84" t="s">
        <v>5</v>
      </c>
      <c r="T69" s="84">
        <v>31</v>
      </c>
      <c r="U69" s="84" t="s">
        <v>494</v>
      </c>
      <c r="V69" s="84" t="s">
        <v>5</v>
      </c>
      <c r="W69" s="84">
        <v>15</v>
      </c>
      <c r="X69" s="84" t="s">
        <v>3636</v>
      </c>
      <c r="Y69" s="84" t="s">
        <v>5</v>
      </c>
      <c r="Z69" s="84">
        <v>28</v>
      </c>
      <c r="AA69" s="84" t="s">
        <v>3635</v>
      </c>
      <c r="AB69" s="80" t="s">
        <v>2083</v>
      </c>
      <c r="AE69" s="25" t="s">
        <v>5091</v>
      </c>
      <c r="AF69" s="71">
        <v>0</v>
      </c>
      <c r="AG69" s="69">
        <v>2.9861111111111113E-2</v>
      </c>
    </row>
    <row r="70" spans="1:34" s="192" customFormat="1" x14ac:dyDescent="0.15">
      <c r="A70" s="80"/>
      <c r="B70" s="12" t="s">
        <v>3614</v>
      </c>
      <c r="C70" s="29" t="s">
        <v>1693</v>
      </c>
      <c r="D70" s="15">
        <v>1000</v>
      </c>
      <c r="E70" s="12" t="s">
        <v>7</v>
      </c>
      <c r="F70" s="15">
        <v>100</v>
      </c>
      <c r="G70" s="82">
        <f>F70+Q70</f>
        <v>130</v>
      </c>
      <c r="H70" s="14">
        <v>44565</v>
      </c>
      <c r="I70" s="12" t="s">
        <v>3613</v>
      </c>
      <c r="J70" s="12" t="s">
        <v>3612</v>
      </c>
      <c r="K70" s="12" t="s">
        <v>2315</v>
      </c>
      <c r="L70" s="12" t="s">
        <v>3611</v>
      </c>
      <c r="M70" s="86">
        <v>43466</v>
      </c>
      <c r="N70" s="80" t="s">
        <v>3499</v>
      </c>
      <c r="O70" s="34" t="s">
        <v>3610</v>
      </c>
      <c r="P70" s="84" t="s">
        <v>5</v>
      </c>
      <c r="Q70" s="84">
        <v>30</v>
      </c>
      <c r="R70" s="84" t="s">
        <v>3609</v>
      </c>
      <c r="S70" s="84" t="s">
        <v>1</v>
      </c>
      <c r="T70" s="84" t="s">
        <v>1</v>
      </c>
      <c r="U70" s="84" t="s">
        <v>1</v>
      </c>
      <c r="V70" s="84" t="s">
        <v>1</v>
      </c>
      <c r="W70" s="84" t="s">
        <v>1</v>
      </c>
      <c r="X70" s="84" t="s">
        <v>1</v>
      </c>
      <c r="Y70" s="84" t="s">
        <v>1</v>
      </c>
      <c r="Z70" s="84" t="s">
        <v>1</v>
      </c>
      <c r="AA70" s="84" t="s">
        <v>1</v>
      </c>
      <c r="AB70" s="80" t="s">
        <v>3608</v>
      </c>
      <c r="AC70" s="80"/>
      <c r="AD70" s="80"/>
      <c r="AE70" s="80"/>
      <c r="AF70" s="70"/>
      <c r="AG70" s="65"/>
      <c r="AH70" s="80"/>
    </row>
    <row r="71" spans="1:34" x14ac:dyDescent="0.15">
      <c r="B71" s="80" t="s">
        <v>64</v>
      </c>
      <c r="C71" s="81" t="s">
        <v>1693</v>
      </c>
      <c r="D71" s="82">
        <v>1000</v>
      </c>
      <c r="E71" s="80" t="s">
        <v>7</v>
      </c>
      <c r="F71" s="82">
        <f>1600/7</f>
        <v>228.57142857142858</v>
      </c>
      <c r="G71" s="82">
        <f>F71+Q71+T71</f>
        <v>350</v>
      </c>
      <c r="H71" s="85">
        <v>44550</v>
      </c>
      <c r="I71" s="80" t="s">
        <v>3648</v>
      </c>
      <c r="J71" s="80" t="s">
        <v>3647</v>
      </c>
      <c r="K71" s="80" t="s">
        <v>2105</v>
      </c>
      <c r="L71" s="80" t="s">
        <v>3646</v>
      </c>
      <c r="M71" s="80">
        <v>2018</v>
      </c>
      <c r="O71" s="80" t="s">
        <v>3645</v>
      </c>
      <c r="P71" s="84" t="s">
        <v>5</v>
      </c>
      <c r="Q71" s="89">
        <f>500/7</f>
        <v>71.428571428571431</v>
      </c>
      <c r="R71" s="84" t="s">
        <v>3644</v>
      </c>
      <c r="S71" s="84" t="s">
        <v>5</v>
      </c>
      <c r="T71" s="84">
        <v>50</v>
      </c>
      <c r="U71" s="84" t="s">
        <v>3643</v>
      </c>
      <c r="V71" s="84" t="s">
        <v>1</v>
      </c>
      <c r="W71" s="84" t="s">
        <v>1</v>
      </c>
      <c r="X71" s="84" t="s">
        <v>1</v>
      </c>
      <c r="Y71" s="84" t="s">
        <v>1</v>
      </c>
      <c r="Z71" s="84" t="s">
        <v>1</v>
      </c>
      <c r="AA71" s="84" t="s">
        <v>1</v>
      </c>
      <c r="AB71" s="80" t="s">
        <v>3642</v>
      </c>
      <c r="AE71" s="25" t="s">
        <v>3641</v>
      </c>
      <c r="AF71" s="71">
        <v>1.5021E-2</v>
      </c>
      <c r="AG71" s="69">
        <v>0.25694444444444448</v>
      </c>
    </row>
    <row r="72" spans="1:34" s="192" customFormat="1" x14ac:dyDescent="0.15">
      <c r="A72" s="80"/>
      <c r="B72" s="80" t="s">
        <v>2081</v>
      </c>
      <c r="C72" s="81" t="s">
        <v>1693</v>
      </c>
      <c r="D72" s="82">
        <v>900</v>
      </c>
      <c r="E72" s="99" t="s">
        <v>7</v>
      </c>
      <c r="F72" s="82">
        <v>100</v>
      </c>
      <c r="G72" s="82">
        <f>F72</f>
        <v>100</v>
      </c>
      <c r="H72" s="85">
        <v>44937</v>
      </c>
      <c r="I72" s="99" t="s">
        <v>5944</v>
      </c>
      <c r="J72" s="99" t="s">
        <v>5945</v>
      </c>
      <c r="K72" s="80" t="s">
        <v>2050</v>
      </c>
      <c r="L72" s="80" t="s">
        <v>2080</v>
      </c>
      <c r="M72" s="80">
        <v>2009</v>
      </c>
      <c r="N72" s="80"/>
      <c r="O72" s="99" t="s">
        <v>5946</v>
      </c>
      <c r="P72" s="101" t="s">
        <v>5</v>
      </c>
      <c r="Q72" s="101" t="s">
        <v>1</v>
      </c>
      <c r="R72" s="101" t="s">
        <v>5947</v>
      </c>
      <c r="S72" s="101" t="s">
        <v>4</v>
      </c>
      <c r="T72" s="101" t="s">
        <v>1</v>
      </c>
      <c r="U72" s="101" t="s">
        <v>644</v>
      </c>
      <c r="V72" s="101" t="s">
        <v>5948</v>
      </c>
      <c r="W72" s="101" t="s">
        <v>1</v>
      </c>
      <c r="X72" s="101" t="s">
        <v>644</v>
      </c>
      <c r="Y72" s="101" t="s">
        <v>1</v>
      </c>
      <c r="Z72" s="101" t="s">
        <v>1</v>
      </c>
      <c r="AA72" s="101" t="s">
        <v>1</v>
      </c>
      <c r="AB72" s="80" t="s">
        <v>2079</v>
      </c>
      <c r="AC72" s="80"/>
      <c r="AD72" s="80"/>
      <c r="AE72" s="25" t="s">
        <v>2078</v>
      </c>
      <c r="AF72" s="71"/>
      <c r="AG72" s="66"/>
      <c r="AH72" s="80"/>
    </row>
    <row r="73" spans="1:34" x14ac:dyDescent="0.15">
      <c r="B73" s="80" t="s">
        <v>600</v>
      </c>
      <c r="C73" s="81" t="s">
        <v>1693</v>
      </c>
      <c r="D73" s="82">
        <v>800</v>
      </c>
      <c r="E73" s="80" t="s">
        <v>18</v>
      </c>
      <c r="F73" s="82">
        <v>125</v>
      </c>
      <c r="G73" s="82">
        <f>F73+Q73+T73+W73+Z73</f>
        <v>239</v>
      </c>
      <c r="H73" s="85">
        <v>44663</v>
      </c>
      <c r="I73" s="80" t="s">
        <v>3585</v>
      </c>
      <c r="J73" s="80" t="s">
        <v>3584</v>
      </c>
      <c r="K73" s="80" t="s">
        <v>2050</v>
      </c>
      <c r="L73" s="80" t="s">
        <v>3583</v>
      </c>
      <c r="M73" s="80">
        <v>2017</v>
      </c>
      <c r="O73" s="80" t="s">
        <v>3582</v>
      </c>
      <c r="P73" s="84" t="s">
        <v>7</v>
      </c>
      <c r="Q73" s="84">
        <v>54</v>
      </c>
      <c r="R73" s="84" t="s">
        <v>3581</v>
      </c>
      <c r="S73" s="84" t="s">
        <v>5</v>
      </c>
      <c r="T73" s="84">
        <v>26</v>
      </c>
      <c r="U73" s="84" t="s">
        <v>3580</v>
      </c>
      <c r="V73" s="84" t="s">
        <v>5</v>
      </c>
      <c r="W73" s="84">
        <v>8</v>
      </c>
      <c r="X73" s="84" t="s">
        <v>3579</v>
      </c>
      <c r="Y73" s="84" t="s">
        <v>5</v>
      </c>
      <c r="Z73" s="84">
        <v>26</v>
      </c>
      <c r="AA73" s="84" t="s">
        <v>3578</v>
      </c>
      <c r="AB73" s="80" t="s">
        <v>2053</v>
      </c>
      <c r="AE73" s="25" t="s">
        <v>5100</v>
      </c>
      <c r="AF73" s="70">
        <v>3.8109999999999998E-2</v>
      </c>
      <c r="AG73" s="76">
        <v>6.8749999999999992E-2</v>
      </c>
    </row>
    <row r="74" spans="1:34" x14ac:dyDescent="0.15">
      <c r="B74" s="80" t="s">
        <v>258</v>
      </c>
      <c r="C74" s="81" t="s">
        <v>1693</v>
      </c>
      <c r="D74" s="82">
        <v>800</v>
      </c>
      <c r="E74" s="80" t="s">
        <v>8</v>
      </c>
      <c r="F74" s="82">
        <v>111</v>
      </c>
      <c r="G74" s="82">
        <f>F74+Q74+T74+W74+Z74</f>
        <v>199.5</v>
      </c>
      <c r="H74" s="85">
        <v>44782</v>
      </c>
      <c r="I74" s="80" t="s">
        <v>3577</v>
      </c>
      <c r="J74" s="80" t="s">
        <v>3576</v>
      </c>
      <c r="K74" s="80" t="s">
        <v>2050</v>
      </c>
      <c r="L74" s="80" t="s">
        <v>2176</v>
      </c>
      <c r="M74" s="80">
        <v>2017</v>
      </c>
      <c r="O74" s="80" t="s">
        <v>3575</v>
      </c>
      <c r="P74" s="84" t="s">
        <v>18</v>
      </c>
      <c r="Q74" s="84">
        <v>55</v>
      </c>
      <c r="R74" s="84" t="s">
        <v>3574</v>
      </c>
      <c r="S74" s="84" t="s">
        <v>7</v>
      </c>
      <c r="T74" s="84">
        <v>16</v>
      </c>
      <c r="U74" s="84" t="s">
        <v>3573</v>
      </c>
      <c r="V74" s="84" t="s">
        <v>5</v>
      </c>
      <c r="W74" s="84">
        <v>14</v>
      </c>
      <c r="X74" s="84" t="s">
        <v>3572</v>
      </c>
      <c r="Y74" s="84" t="s">
        <v>4</v>
      </c>
      <c r="Z74" s="84">
        <v>3.5</v>
      </c>
      <c r="AA74" s="84" t="s">
        <v>3571</v>
      </c>
      <c r="AB74" s="80" t="s">
        <v>2053</v>
      </c>
      <c r="AE74" s="25" t="s">
        <v>3570</v>
      </c>
      <c r="AF74" s="71">
        <v>9.5690999999999998E-2</v>
      </c>
      <c r="AG74" s="69">
        <v>8.4722222222222213E-2</v>
      </c>
    </row>
    <row r="75" spans="1:34" s="192" customFormat="1" x14ac:dyDescent="0.15">
      <c r="A75" s="80"/>
      <c r="B75" s="80" t="s">
        <v>15</v>
      </c>
      <c r="C75" s="81" t="s">
        <v>1693</v>
      </c>
      <c r="D75" s="82">
        <v>794</v>
      </c>
      <c r="E75" s="80" t="s">
        <v>8</v>
      </c>
      <c r="F75" s="82">
        <v>220</v>
      </c>
      <c r="G75" s="82">
        <f>F75+Q75+T75+W75+Z75</f>
        <v>538</v>
      </c>
      <c r="H75" s="85">
        <v>44502</v>
      </c>
      <c r="I75" s="80" t="s">
        <v>3569</v>
      </c>
      <c r="J75" s="80" t="s">
        <v>3568</v>
      </c>
      <c r="K75" s="80" t="s">
        <v>2050</v>
      </c>
      <c r="L75" s="80" t="s">
        <v>2339</v>
      </c>
      <c r="M75" s="80">
        <v>2013</v>
      </c>
      <c r="N75" s="80"/>
      <c r="O75" s="80" t="s">
        <v>3567</v>
      </c>
      <c r="P75" s="84" t="s">
        <v>8</v>
      </c>
      <c r="Q75" s="84">
        <v>220</v>
      </c>
      <c r="R75" s="84" t="s">
        <v>3566</v>
      </c>
      <c r="S75" s="84" t="s">
        <v>18</v>
      </c>
      <c r="T75" s="84">
        <v>60</v>
      </c>
      <c r="U75" s="84" t="s">
        <v>3565</v>
      </c>
      <c r="V75" s="84" t="s">
        <v>7</v>
      </c>
      <c r="W75" s="84">
        <v>28</v>
      </c>
      <c r="X75" s="84" t="s">
        <v>3564</v>
      </c>
      <c r="Y75" s="84" t="s">
        <v>5</v>
      </c>
      <c r="Z75" s="84">
        <v>10</v>
      </c>
      <c r="AA75" s="84" t="s">
        <v>3563</v>
      </c>
      <c r="AB75" s="80" t="s">
        <v>2495</v>
      </c>
      <c r="AC75" s="80"/>
      <c r="AD75" s="80"/>
      <c r="AE75" s="25" t="s">
        <v>3562</v>
      </c>
      <c r="AF75" s="71">
        <v>5.6721000000000001E-2</v>
      </c>
      <c r="AG75" s="69">
        <v>0.14722222222222223</v>
      </c>
      <c r="AH75" s="80"/>
    </row>
    <row r="76" spans="1:34" x14ac:dyDescent="0.15">
      <c r="B76" s="80" t="s">
        <v>2114</v>
      </c>
      <c r="C76" s="81" t="s">
        <v>1693</v>
      </c>
      <c r="D76" s="82">
        <v>790</v>
      </c>
      <c r="E76" s="80" t="s">
        <v>8</v>
      </c>
      <c r="F76" s="82">
        <v>110</v>
      </c>
      <c r="G76" s="82">
        <f>F76+Q76+T76+W76+Z76</f>
        <v>188.9</v>
      </c>
      <c r="H76" s="85">
        <v>44567</v>
      </c>
      <c r="I76" s="80" t="s">
        <v>5056</v>
      </c>
      <c r="J76" s="80" t="s">
        <v>5055</v>
      </c>
      <c r="K76" s="80" t="s">
        <v>2050</v>
      </c>
      <c r="L76" s="80" t="s">
        <v>2061</v>
      </c>
      <c r="M76" s="80">
        <v>2018</v>
      </c>
      <c r="O76" s="80" t="s">
        <v>5058</v>
      </c>
      <c r="P76" s="84" t="s">
        <v>18</v>
      </c>
      <c r="Q76" s="84">
        <v>40</v>
      </c>
      <c r="R76" s="84" t="s">
        <v>5077</v>
      </c>
      <c r="S76" s="84" t="s">
        <v>7</v>
      </c>
      <c r="T76" s="84">
        <v>25</v>
      </c>
      <c r="U76" s="84" t="s">
        <v>5078</v>
      </c>
      <c r="V76" s="84" t="s">
        <v>5</v>
      </c>
      <c r="W76" s="84">
        <v>10</v>
      </c>
      <c r="X76" s="84" t="s">
        <v>5079</v>
      </c>
      <c r="Y76" s="84" t="s">
        <v>4</v>
      </c>
      <c r="Z76" s="84">
        <v>3.9</v>
      </c>
      <c r="AA76" s="84" t="s">
        <v>5080</v>
      </c>
      <c r="AB76" s="80" t="s">
        <v>2053</v>
      </c>
      <c r="AE76" s="235" t="s">
        <v>2113</v>
      </c>
      <c r="AF76" s="236">
        <v>0.18307699999999999</v>
      </c>
      <c r="AG76" s="237">
        <v>0.33124999999999999</v>
      </c>
    </row>
    <row r="77" spans="1:34" x14ac:dyDescent="0.15">
      <c r="B77" s="80" t="s">
        <v>32</v>
      </c>
      <c r="C77" s="81" t="s">
        <v>1693</v>
      </c>
      <c r="D77" s="82">
        <v>770</v>
      </c>
      <c r="E77" s="80" t="s">
        <v>18</v>
      </c>
      <c r="F77" s="82">
        <v>230</v>
      </c>
      <c r="G77" s="82">
        <f>F77+Q77+T77</f>
        <v>293</v>
      </c>
      <c r="H77" s="85">
        <v>43634</v>
      </c>
      <c r="I77" s="80" t="s">
        <v>2695</v>
      </c>
      <c r="J77" s="80" t="s">
        <v>3561</v>
      </c>
      <c r="K77" s="80" t="s">
        <v>2050</v>
      </c>
      <c r="L77" s="80" t="s">
        <v>3227</v>
      </c>
      <c r="M77" s="80">
        <v>2016</v>
      </c>
      <c r="O77" s="80" t="s">
        <v>3560</v>
      </c>
      <c r="P77" s="84" t="s">
        <v>7</v>
      </c>
      <c r="Q77" s="84">
        <v>45</v>
      </c>
      <c r="R77" s="84" t="s">
        <v>3559</v>
      </c>
      <c r="S77" s="84" t="s">
        <v>5</v>
      </c>
      <c r="T77" s="84">
        <v>18</v>
      </c>
      <c r="U77" s="84" t="s">
        <v>3558</v>
      </c>
      <c r="V77" s="84" t="s">
        <v>4</v>
      </c>
      <c r="W77" s="84" t="s">
        <v>1</v>
      </c>
      <c r="X77" s="84" t="s">
        <v>3557</v>
      </c>
      <c r="Y77" s="84" t="s">
        <v>278</v>
      </c>
      <c r="Z77" s="84">
        <v>0.5</v>
      </c>
      <c r="AA77" s="90">
        <v>42430</v>
      </c>
      <c r="AB77" s="80" t="s">
        <v>2495</v>
      </c>
      <c r="AE77" s="25" t="s">
        <v>3556</v>
      </c>
      <c r="AF77" s="71">
        <v>3.2729000000000001E-2</v>
      </c>
      <c r="AG77" s="69">
        <v>2.5694444444444447E-2</v>
      </c>
    </row>
    <row r="78" spans="1:34" x14ac:dyDescent="0.15">
      <c r="B78" s="80" t="s">
        <v>1065</v>
      </c>
      <c r="C78" s="81" t="s">
        <v>1693</v>
      </c>
      <c r="D78" s="82">
        <v>750</v>
      </c>
      <c r="E78" s="80" t="s">
        <v>18</v>
      </c>
      <c r="F78" s="82">
        <v>85</v>
      </c>
      <c r="G78" s="82">
        <f>F78+Q78+T78+W78</f>
        <v>131.9</v>
      </c>
      <c r="H78" s="85">
        <v>44501</v>
      </c>
      <c r="I78" s="80" t="s">
        <v>2884</v>
      </c>
      <c r="J78" s="80" t="s">
        <v>3550</v>
      </c>
      <c r="K78" s="80" t="s">
        <v>2576</v>
      </c>
      <c r="L78" s="80" t="s">
        <v>2061</v>
      </c>
      <c r="M78" s="86">
        <v>43670</v>
      </c>
      <c r="N78" s="80" t="s">
        <v>3549</v>
      </c>
      <c r="O78" s="80" t="s">
        <v>3548</v>
      </c>
      <c r="P78" s="84" t="s">
        <v>7</v>
      </c>
      <c r="Q78" s="84">
        <v>28</v>
      </c>
      <c r="R78" s="84" t="s">
        <v>3547</v>
      </c>
      <c r="S78" s="84" t="s">
        <v>5</v>
      </c>
      <c r="T78" s="84">
        <v>15</v>
      </c>
      <c r="U78" s="84" t="s">
        <v>3546</v>
      </c>
      <c r="V78" s="84" t="s">
        <v>4</v>
      </c>
      <c r="W78" s="84">
        <v>3.9</v>
      </c>
      <c r="X78" s="84" t="s">
        <v>3545</v>
      </c>
      <c r="Y78" s="84" t="s">
        <v>1</v>
      </c>
      <c r="Z78" s="84" t="s">
        <v>1</v>
      </c>
      <c r="AA78" s="84" t="s">
        <v>1</v>
      </c>
      <c r="AB78" s="80" t="s">
        <v>2907</v>
      </c>
      <c r="AE78" s="25" t="s">
        <v>5104</v>
      </c>
      <c r="AF78" s="70">
        <v>3.8234999999999998E-2</v>
      </c>
      <c r="AG78" s="76">
        <v>2.4305555555555556E-2</v>
      </c>
    </row>
    <row r="79" spans="1:34" x14ac:dyDescent="0.15">
      <c r="B79" s="80" t="s">
        <v>1088</v>
      </c>
      <c r="C79" s="81" t="s">
        <v>1693</v>
      </c>
      <c r="D79" s="82">
        <v>750</v>
      </c>
      <c r="E79" s="80" t="s">
        <v>7</v>
      </c>
      <c r="F79" s="82">
        <v>100</v>
      </c>
      <c r="G79" s="82">
        <f>F79+Q79+T79</f>
        <v>138</v>
      </c>
      <c r="H79" s="85">
        <v>45042</v>
      </c>
      <c r="I79" s="80" t="s">
        <v>3360</v>
      </c>
      <c r="J79" s="80" t="s">
        <v>3555</v>
      </c>
      <c r="K79" s="80" t="s">
        <v>2576</v>
      </c>
      <c r="L79" s="80" t="s">
        <v>3359</v>
      </c>
      <c r="M79" s="80">
        <v>2019</v>
      </c>
      <c r="N79" s="80" t="s">
        <v>3554</v>
      </c>
      <c r="O79" s="80" t="s">
        <v>3553</v>
      </c>
      <c r="P79" s="84" t="s">
        <v>5</v>
      </c>
      <c r="Q79" s="84">
        <v>28</v>
      </c>
      <c r="R79" s="84" t="s">
        <v>3552</v>
      </c>
      <c r="S79" s="84" t="s">
        <v>4</v>
      </c>
      <c r="T79" s="84">
        <v>10</v>
      </c>
      <c r="U79" s="84" t="s">
        <v>3551</v>
      </c>
      <c r="V79" s="84" t="s">
        <v>1</v>
      </c>
      <c r="W79" s="84" t="s">
        <v>1</v>
      </c>
      <c r="X79" s="84" t="s">
        <v>1</v>
      </c>
      <c r="Y79" s="84" t="s">
        <v>1</v>
      </c>
      <c r="Z79" s="84" t="s">
        <v>1</v>
      </c>
      <c r="AA79" s="84" t="s">
        <v>1</v>
      </c>
      <c r="AB79" s="80" t="s">
        <v>2060</v>
      </c>
      <c r="AE79" s="25" t="s">
        <v>5103</v>
      </c>
      <c r="AF79" s="70">
        <v>0.80319799999999997</v>
      </c>
      <c r="AG79" s="76">
        <v>0.17986111111111111</v>
      </c>
    </row>
    <row r="80" spans="1:34" x14ac:dyDescent="0.15">
      <c r="B80" s="80" t="s">
        <v>2124</v>
      </c>
      <c r="C80" s="81" t="s">
        <v>1693</v>
      </c>
      <c r="D80" s="82">
        <v>700</v>
      </c>
      <c r="E80" s="80" t="s">
        <v>18</v>
      </c>
      <c r="F80" s="82">
        <v>300</v>
      </c>
      <c r="G80" s="82">
        <f>F80+T80+W80</f>
        <v>362.6</v>
      </c>
      <c r="H80" s="85">
        <v>44300</v>
      </c>
      <c r="I80" s="80" t="s">
        <v>4882</v>
      </c>
      <c r="J80" s="80" t="s">
        <v>4880</v>
      </c>
      <c r="K80" s="80" t="s">
        <v>2050</v>
      </c>
      <c r="L80" s="80" t="s">
        <v>2105</v>
      </c>
      <c r="M80" s="80">
        <v>2016</v>
      </c>
      <c r="N80" s="80" t="s">
        <v>5105</v>
      </c>
      <c r="O80" s="80" t="s">
        <v>4883</v>
      </c>
      <c r="P80" s="84" t="s">
        <v>7</v>
      </c>
      <c r="Q80" s="84" t="s">
        <v>1</v>
      </c>
      <c r="R80" s="84" t="s">
        <v>4893</v>
      </c>
      <c r="S80" s="84" t="s">
        <v>5</v>
      </c>
      <c r="T80" s="84">
        <v>52.3</v>
      </c>
      <c r="U80" s="84" t="s">
        <v>4894</v>
      </c>
      <c r="V80" s="84" t="s">
        <v>4</v>
      </c>
      <c r="W80" s="84">
        <v>10.3</v>
      </c>
      <c r="X80" s="84" t="s">
        <v>4914</v>
      </c>
      <c r="Y80" s="84" t="s">
        <v>1</v>
      </c>
      <c r="Z80" s="84" t="s">
        <v>1</v>
      </c>
      <c r="AA80" s="84" t="s">
        <v>1</v>
      </c>
      <c r="AB80" s="80" t="s">
        <v>2048</v>
      </c>
      <c r="AE80" s="25" t="s">
        <v>2123</v>
      </c>
      <c r="AF80" s="71">
        <v>2.3448E-2</v>
      </c>
      <c r="AG80" s="69">
        <v>3.8194444444444441E-2</v>
      </c>
    </row>
    <row r="81" spans="1:34" x14ac:dyDescent="0.15">
      <c r="B81" s="80" t="s">
        <v>3544</v>
      </c>
      <c r="C81" s="81" t="s">
        <v>1693</v>
      </c>
      <c r="D81" s="82">
        <v>615</v>
      </c>
      <c r="E81" s="80" t="s">
        <v>8</v>
      </c>
      <c r="F81" s="82">
        <v>135</v>
      </c>
      <c r="G81" s="82">
        <f>F81+Q81+T81</f>
        <v>240</v>
      </c>
      <c r="H81" s="85">
        <v>44880</v>
      </c>
      <c r="I81" s="80" t="s">
        <v>3543</v>
      </c>
      <c r="J81" s="80" t="s">
        <v>3542</v>
      </c>
      <c r="K81" s="80" t="s">
        <v>2050</v>
      </c>
      <c r="L81" s="80" t="s">
        <v>2061</v>
      </c>
      <c r="M81" s="80">
        <v>2013</v>
      </c>
      <c r="O81" s="80" t="s">
        <v>3541</v>
      </c>
      <c r="P81" s="84" t="s">
        <v>18</v>
      </c>
      <c r="Q81" s="84">
        <v>73</v>
      </c>
      <c r="R81" s="84" t="s">
        <v>3540</v>
      </c>
      <c r="S81" s="84" t="s">
        <v>7</v>
      </c>
      <c r="T81" s="84">
        <v>32</v>
      </c>
      <c r="U81" s="84" t="s">
        <v>3539</v>
      </c>
      <c r="V81" s="84" t="s">
        <v>1</v>
      </c>
      <c r="W81" s="84" t="s">
        <v>1</v>
      </c>
      <c r="X81" s="84" t="s">
        <v>1</v>
      </c>
      <c r="Y81" s="84" t="s">
        <v>1</v>
      </c>
      <c r="Z81" s="84" t="s">
        <v>1</v>
      </c>
      <c r="AA81" s="84" t="s">
        <v>1</v>
      </c>
      <c r="AB81" s="80" t="s">
        <v>2992</v>
      </c>
      <c r="AE81" s="25" t="s">
        <v>3538</v>
      </c>
      <c r="AF81" s="71">
        <v>5.7549999999999997E-2</v>
      </c>
      <c r="AG81" s="69">
        <v>8.1944444444444445E-2</v>
      </c>
    </row>
    <row r="82" spans="1:34" x14ac:dyDescent="0.15">
      <c r="B82" s="80" t="s">
        <v>3537</v>
      </c>
      <c r="C82" s="81" t="s">
        <v>1693</v>
      </c>
      <c r="D82" s="82">
        <v>600</v>
      </c>
      <c r="E82" s="80" t="s">
        <v>7</v>
      </c>
      <c r="F82" s="82">
        <v>64</v>
      </c>
      <c r="G82" s="82">
        <f>F82+Q82+T82</f>
        <v>118.5</v>
      </c>
      <c r="H82" s="85">
        <v>44754</v>
      </c>
      <c r="I82" s="80" t="s">
        <v>3536</v>
      </c>
      <c r="J82" s="80" t="s">
        <v>3535</v>
      </c>
      <c r="K82" s="80" t="s">
        <v>2576</v>
      </c>
      <c r="L82" s="80" t="s">
        <v>3176</v>
      </c>
      <c r="M82" s="80">
        <v>2017</v>
      </c>
      <c r="N82" s="25" t="s">
        <v>3534</v>
      </c>
      <c r="O82" s="34" t="s">
        <v>3533</v>
      </c>
      <c r="P82" s="84" t="s">
        <v>7</v>
      </c>
      <c r="Q82" s="84">
        <v>20</v>
      </c>
      <c r="R82" s="84" t="s">
        <v>3532</v>
      </c>
      <c r="S82" s="84" t="s">
        <v>5</v>
      </c>
      <c r="T82" s="84">
        <v>34.5</v>
      </c>
      <c r="U82" s="84" t="s">
        <v>3531</v>
      </c>
      <c r="V82" s="84" t="s">
        <v>4</v>
      </c>
      <c r="W82" s="84" t="s">
        <v>1</v>
      </c>
      <c r="X82" s="84" t="s">
        <v>3531</v>
      </c>
      <c r="Y82" s="84" t="s">
        <v>1</v>
      </c>
      <c r="Z82" s="84" t="s">
        <v>1</v>
      </c>
      <c r="AA82" s="84" t="s">
        <v>1</v>
      </c>
      <c r="AB82" s="80" t="s">
        <v>2083</v>
      </c>
      <c r="AE82" s="25" t="s">
        <v>5106</v>
      </c>
      <c r="AF82" s="70">
        <v>0.31137399999999998</v>
      </c>
      <c r="AG82" s="76">
        <v>5.7638888888888885E-2</v>
      </c>
    </row>
    <row r="83" spans="1:34" x14ac:dyDescent="0.15">
      <c r="B83" s="80" t="s">
        <v>176</v>
      </c>
      <c r="C83" s="81" t="s">
        <v>1693</v>
      </c>
      <c r="D83" s="87">
        <v>600</v>
      </c>
      <c r="E83" s="80" t="s">
        <v>53</v>
      </c>
      <c r="F83" s="82">
        <v>475</v>
      </c>
      <c r="H83" s="85">
        <v>44278</v>
      </c>
      <c r="I83" s="80" t="s">
        <v>3844</v>
      </c>
      <c r="J83" s="80" t="s">
        <v>3843</v>
      </c>
      <c r="K83" s="80" t="s">
        <v>2050</v>
      </c>
      <c r="L83" s="80" t="s">
        <v>3842</v>
      </c>
      <c r="M83" s="80">
        <v>2009</v>
      </c>
      <c r="N83" s="221" t="s">
        <v>7199</v>
      </c>
      <c r="O83" s="80" t="s">
        <v>3841</v>
      </c>
      <c r="P83" s="84" t="s">
        <v>3840</v>
      </c>
      <c r="Q83" s="84">
        <v>392</v>
      </c>
      <c r="R83" s="84" t="s">
        <v>3839</v>
      </c>
      <c r="S83" s="84" t="s">
        <v>3838</v>
      </c>
      <c r="T83" s="84">
        <v>130</v>
      </c>
      <c r="U83" s="84" t="s">
        <v>3837</v>
      </c>
      <c r="V83" s="84" t="s">
        <v>18</v>
      </c>
      <c r="W83" s="84">
        <v>34</v>
      </c>
      <c r="X83" s="84" t="s">
        <v>3836</v>
      </c>
      <c r="Y83" s="84" t="s">
        <v>7</v>
      </c>
      <c r="Z83" s="84">
        <v>16.5</v>
      </c>
      <c r="AA83" s="84" t="s">
        <v>3835</v>
      </c>
      <c r="AB83" s="181" t="s">
        <v>6662</v>
      </c>
      <c r="AC83" s="181" t="s">
        <v>6670</v>
      </c>
      <c r="AD83" s="181" t="s">
        <v>6670</v>
      </c>
      <c r="AE83" s="25" t="s">
        <v>3834</v>
      </c>
      <c r="AF83" s="71">
        <v>8.6777999999999994E-2</v>
      </c>
      <c r="AG83" s="69">
        <v>0.11666666666666665</v>
      </c>
    </row>
    <row r="84" spans="1:34" x14ac:dyDescent="0.15">
      <c r="B84" s="80" t="s">
        <v>3530</v>
      </c>
      <c r="C84" s="81" t="s">
        <v>1693</v>
      </c>
      <c r="D84" s="82">
        <v>550</v>
      </c>
      <c r="E84" s="80" t="s">
        <v>18</v>
      </c>
      <c r="F84" s="82">
        <v>50</v>
      </c>
      <c r="G84" s="82">
        <f>F84+Q84+T84+W84</f>
        <v>100</v>
      </c>
      <c r="H84" s="85">
        <v>44861</v>
      </c>
      <c r="I84" s="80" t="s">
        <v>3529</v>
      </c>
      <c r="J84" s="80" t="s">
        <v>3528</v>
      </c>
      <c r="K84" s="80" t="s">
        <v>2315</v>
      </c>
      <c r="L84" s="80" t="s">
        <v>2309</v>
      </c>
      <c r="M84" s="80">
        <v>2017</v>
      </c>
      <c r="N84" s="80" t="s">
        <v>3527</v>
      </c>
      <c r="O84" s="80" t="s">
        <v>3526</v>
      </c>
      <c r="P84" s="84" t="s">
        <v>7</v>
      </c>
      <c r="Q84" s="84">
        <v>30</v>
      </c>
      <c r="R84" s="84" t="s">
        <v>3525</v>
      </c>
      <c r="S84" s="84" t="s">
        <v>5</v>
      </c>
      <c r="T84" s="84">
        <v>15</v>
      </c>
      <c r="U84" s="84" t="s">
        <v>3524</v>
      </c>
      <c r="V84" s="84" t="s">
        <v>4</v>
      </c>
      <c r="W84" s="84">
        <v>5</v>
      </c>
      <c r="X84" s="84" t="s">
        <v>1148</v>
      </c>
      <c r="Y84" s="84" t="s">
        <v>1</v>
      </c>
      <c r="Z84" s="84" t="s">
        <v>1</v>
      </c>
      <c r="AA84" s="84" t="s">
        <v>1</v>
      </c>
      <c r="AB84" s="80" t="s">
        <v>2369</v>
      </c>
      <c r="AE84" s="25" t="s">
        <v>5107</v>
      </c>
      <c r="AF84" s="70">
        <v>1.9610000000000001</v>
      </c>
      <c r="AG84" s="76">
        <v>0.1013888888888889</v>
      </c>
    </row>
    <row r="85" spans="1:34" x14ac:dyDescent="0.15">
      <c r="B85" s="80" t="s">
        <v>449</v>
      </c>
      <c r="C85" s="81" t="s">
        <v>1693</v>
      </c>
      <c r="D85" s="82">
        <v>500</v>
      </c>
      <c r="E85" s="80" t="s">
        <v>8</v>
      </c>
      <c r="F85" s="82">
        <v>90</v>
      </c>
      <c r="G85" s="82">
        <f>+F85+Q85+T85+W85</f>
        <v>164.5</v>
      </c>
      <c r="H85" s="85">
        <v>44776</v>
      </c>
      <c r="I85" s="80" t="s">
        <v>3506</v>
      </c>
      <c r="J85" s="80" t="s">
        <v>3505</v>
      </c>
      <c r="K85" s="80" t="s">
        <v>2050</v>
      </c>
      <c r="L85" s="80" t="s">
        <v>2094</v>
      </c>
      <c r="M85" s="80">
        <v>2017</v>
      </c>
      <c r="O85" s="80" t="s">
        <v>3504</v>
      </c>
      <c r="P85" s="84" t="s">
        <v>18</v>
      </c>
      <c r="Q85" s="84">
        <v>40</v>
      </c>
      <c r="R85" s="84" t="s">
        <v>3503</v>
      </c>
      <c r="S85" s="84" t="s">
        <v>7</v>
      </c>
      <c r="T85" s="84">
        <v>20</v>
      </c>
      <c r="U85" s="84" t="s">
        <v>3502</v>
      </c>
      <c r="V85" s="84" t="s">
        <v>7</v>
      </c>
      <c r="W85" s="84">
        <v>14.5</v>
      </c>
      <c r="X85" s="84" t="s">
        <v>1087</v>
      </c>
      <c r="Y85" s="84" t="s">
        <v>1</v>
      </c>
      <c r="Z85" s="84" t="s">
        <v>1</v>
      </c>
      <c r="AA85" s="84" t="s">
        <v>1</v>
      </c>
      <c r="AB85" s="80" t="s">
        <v>2053</v>
      </c>
      <c r="AE85" s="25" t="s">
        <v>5112</v>
      </c>
      <c r="AF85" s="70">
        <v>4.3948000000000001E-2</v>
      </c>
      <c r="AG85" s="76">
        <v>0.23333333333333331</v>
      </c>
    </row>
    <row r="86" spans="1:34" x14ac:dyDescent="0.15">
      <c r="B86" s="12" t="s">
        <v>1005</v>
      </c>
      <c r="C86" s="29" t="s">
        <v>1693</v>
      </c>
      <c r="D86" s="15">
        <v>500</v>
      </c>
      <c r="E86" s="12" t="s">
        <v>5</v>
      </c>
      <c r="F86" s="15">
        <v>26</v>
      </c>
      <c r="G86" s="82">
        <f>+F86+Q86</f>
        <v>29.1</v>
      </c>
      <c r="H86" s="14">
        <v>45013</v>
      </c>
      <c r="I86" s="12" t="s">
        <v>3319</v>
      </c>
      <c r="J86" s="12" t="s">
        <v>3363</v>
      </c>
      <c r="K86" s="32" t="s">
        <v>2315</v>
      </c>
      <c r="L86" s="32" t="s">
        <v>2772</v>
      </c>
      <c r="M86" s="12">
        <v>2022</v>
      </c>
      <c r="N86" s="12" t="s">
        <v>1902</v>
      </c>
      <c r="O86" s="12" t="s">
        <v>3362</v>
      </c>
      <c r="P86" s="24" t="s">
        <v>4</v>
      </c>
      <c r="Q86" s="24">
        <v>3.1</v>
      </c>
      <c r="R86" s="24" t="s">
        <v>3361</v>
      </c>
      <c r="S86" s="24" t="s">
        <v>1</v>
      </c>
      <c r="T86" s="24" t="s">
        <v>1</v>
      </c>
      <c r="U86" s="24" t="s">
        <v>1</v>
      </c>
      <c r="V86" s="24" t="s">
        <v>1</v>
      </c>
      <c r="W86" s="24" t="s">
        <v>1</v>
      </c>
      <c r="X86" s="24" t="s">
        <v>1</v>
      </c>
      <c r="Y86" s="24" t="s">
        <v>1</v>
      </c>
      <c r="Z86" s="24" t="s">
        <v>1</v>
      </c>
      <c r="AA86" s="24" t="s">
        <v>1</v>
      </c>
      <c r="AB86" s="12" t="s">
        <v>2369</v>
      </c>
      <c r="AC86" s="12"/>
      <c r="AD86" s="12"/>
      <c r="AE86" s="25" t="s">
        <v>5143</v>
      </c>
      <c r="AF86" s="70">
        <v>21.07</v>
      </c>
      <c r="AG86" s="76">
        <v>0.33333333333333331</v>
      </c>
    </row>
    <row r="87" spans="1:34" x14ac:dyDescent="0.15">
      <c r="B87" s="12" t="s">
        <v>3893</v>
      </c>
      <c r="C87" s="81" t="s">
        <v>1693</v>
      </c>
      <c r="D87" s="87">
        <v>500</v>
      </c>
      <c r="E87" s="80" t="s">
        <v>505</v>
      </c>
      <c r="F87" s="82">
        <v>250</v>
      </c>
      <c r="H87" s="85">
        <v>44376</v>
      </c>
      <c r="I87" s="80" t="s">
        <v>2884</v>
      </c>
      <c r="J87" s="80" t="s">
        <v>3892</v>
      </c>
      <c r="K87" s="80" t="s">
        <v>2050</v>
      </c>
      <c r="L87" s="80" t="s">
        <v>2061</v>
      </c>
      <c r="M87" s="80">
        <v>2012</v>
      </c>
      <c r="N87" s="221" t="s">
        <v>7193</v>
      </c>
      <c r="O87" s="221" t="s">
        <v>7192</v>
      </c>
      <c r="P87" s="84" t="s">
        <v>53</v>
      </c>
      <c r="Q87" s="84">
        <v>270</v>
      </c>
      <c r="R87" s="84" t="s">
        <v>3891</v>
      </c>
      <c r="S87" s="84" t="s">
        <v>9</v>
      </c>
      <c r="T87" s="84">
        <v>206</v>
      </c>
      <c r="U87" s="84" t="s">
        <v>3890</v>
      </c>
      <c r="V87" s="84" t="s">
        <v>8</v>
      </c>
      <c r="W87" s="84">
        <v>100</v>
      </c>
      <c r="X87" s="84" t="s">
        <v>3889</v>
      </c>
      <c r="Y87" s="84" t="s">
        <v>18</v>
      </c>
      <c r="Z87" s="84">
        <v>67.2</v>
      </c>
      <c r="AA87" s="84" t="s">
        <v>3888</v>
      </c>
      <c r="AB87" s="181" t="s">
        <v>6662</v>
      </c>
      <c r="AC87" s="181" t="s">
        <v>6669</v>
      </c>
      <c r="AD87" s="181" t="s">
        <v>2359</v>
      </c>
      <c r="AE87" s="25" t="s">
        <v>4377</v>
      </c>
      <c r="AF87" s="71">
        <v>0.221168</v>
      </c>
      <c r="AG87" s="69">
        <v>0.15</v>
      </c>
    </row>
    <row r="88" spans="1:34" x14ac:dyDescent="0.15">
      <c r="B88" s="80" t="s">
        <v>5044</v>
      </c>
      <c r="C88" s="81" t="s">
        <v>1693</v>
      </c>
      <c r="D88" s="87">
        <v>500</v>
      </c>
      <c r="E88" s="80" t="s">
        <v>53</v>
      </c>
      <c r="F88" s="82">
        <v>100</v>
      </c>
      <c r="G88" s="82">
        <f>F88+Q88+T88+W88+Z88</f>
        <v>220.5</v>
      </c>
      <c r="H88" s="85">
        <v>44474</v>
      </c>
      <c r="I88" s="80" t="s">
        <v>5046</v>
      </c>
      <c r="J88" s="80" t="s">
        <v>5045</v>
      </c>
      <c r="K88" s="80" t="s">
        <v>2050</v>
      </c>
      <c r="L88" s="80" t="s">
        <v>2061</v>
      </c>
      <c r="M88" s="80">
        <v>2013</v>
      </c>
      <c r="N88" s="221" t="s">
        <v>7196</v>
      </c>
      <c r="O88" s="80" t="s">
        <v>5047</v>
      </c>
      <c r="P88" s="84" t="s">
        <v>9</v>
      </c>
      <c r="Q88" s="84">
        <v>43</v>
      </c>
      <c r="R88" s="84" t="s">
        <v>5050</v>
      </c>
      <c r="S88" s="84" t="s">
        <v>8</v>
      </c>
      <c r="T88" s="84">
        <v>40</v>
      </c>
      <c r="U88" s="84" t="s">
        <v>5051</v>
      </c>
      <c r="V88" s="84" t="s">
        <v>18</v>
      </c>
      <c r="W88" s="84">
        <v>27</v>
      </c>
      <c r="X88" s="84" t="s">
        <v>5052</v>
      </c>
      <c r="Y88" s="84" t="s">
        <v>7</v>
      </c>
      <c r="Z88" s="84">
        <v>10.5</v>
      </c>
      <c r="AA88" s="84" t="s">
        <v>1130</v>
      </c>
      <c r="AB88" s="181" t="s">
        <v>6662</v>
      </c>
      <c r="AC88" s="181" t="s">
        <v>6665</v>
      </c>
      <c r="AD88" s="181" t="s">
        <v>2369</v>
      </c>
      <c r="AE88" s="25" t="s">
        <v>2115</v>
      </c>
      <c r="AF88" s="71">
        <v>6.9675000000000001E-2</v>
      </c>
      <c r="AG88" s="69">
        <v>2.8472222222222222E-2</v>
      </c>
    </row>
    <row r="89" spans="1:34" s="192" customFormat="1" x14ac:dyDescent="0.15">
      <c r="A89" s="80"/>
      <c r="B89" s="80" t="s">
        <v>2106</v>
      </c>
      <c r="C89" s="81" t="s">
        <v>1693</v>
      </c>
      <c r="D89" s="82">
        <v>500</v>
      </c>
      <c r="E89" s="80" t="s">
        <v>18</v>
      </c>
      <c r="F89" s="82">
        <v>100</v>
      </c>
      <c r="G89" s="82">
        <f>+F89+Q89+T89+W89</f>
        <v>171</v>
      </c>
      <c r="H89" s="85">
        <v>44397</v>
      </c>
      <c r="I89" s="99" t="s">
        <v>5269</v>
      </c>
      <c r="J89" s="99" t="s">
        <v>5268</v>
      </c>
      <c r="K89" s="80" t="s">
        <v>2105</v>
      </c>
      <c r="L89" s="80" t="s">
        <v>2104</v>
      </c>
      <c r="M89" s="80">
        <v>2014</v>
      </c>
      <c r="N89" s="80"/>
      <c r="O89" s="99" t="s">
        <v>5270</v>
      </c>
      <c r="P89" s="101" t="s">
        <v>7</v>
      </c>
      <c r="Q89" s="84">
        <v>56</v>
      </c>
      <c r="R89" s="101" t="s">
        <v>5271</v>
      </c>
      <c r="S89" s="101" t="s">
        <v>5</v>
      </c>
      <c r="T89" s="84">
        <v>12.5</v>
      </c>
      <c r="U89" s="101" t="s">
        <v>5274</v>
      </c>
      <c r="V89" s="101" t="s">
        <v>4</v>
      </c>
      <c r="W89" s="84">
        <v>2.5</v>
      </c>
      <c r="X89" s="101" t="s">
        <v>5276</v>
      </c>
      <c r="Y89" s="101" t="s">
        <v>1</v>
      </c>
      <c r="Z89" s="101" t="s">
        <v>1</v>
      </c>
      <c r="AA89" s="101" t="s">
        <v>1</v>
      </c>
      <c r="AB89" s="80" t="s">
        <v>2103</v>
      </c>
      <c r="AC89" s="80"/>
      <c r="AD89" s="80"/>
      <c r="AE89" s="25" t="s">
        <v>2102</v>
      </c>
      <c r="AF89" s="71"/>
      <c r="AG89" s="66"/>
      <c r="AH89" s="80"/>
    </row>
    <row r="90" spans="1:34" s="192" customFormat="1" x14ac:dyDescent="0.15">
      <c r="A90" s="80"/>
      <c r="B90" s="80" t="s">
        <v>2101</v>
      </c>
      <c r="C90" s="81" t="s">
        <v>1693</v>
      </c>
      <c r="D90" s="82">
        <v>500</v>
      </c>
      <c r="E90" s="80" t="s">
        <v>18</v>
      </c>
      <c r="F90" s="82">
        <v>115</v>
      </c>
      <c r="G90" s="82">
        <f>+F90+Q90</f>
        <v>170</v>
      </c>
      <c r="H90" s="85">
        <v>44469</v>
      </c>
      <c r="I90" s="99" t="s">
        <v>5283</v>
      </c>
      <c r="J90" s="99" t="s">
        <v>5277</v>
      </c>
      <c r="K90" s="80" t="s">
        <v>2050</v>
      </c>
      <c r="L90" s="80" t="s">
        <v>2100</v>
      </c>
      <c r="M90" s="80">
        <v>2012</v>
      </c>
      <c r="N90" s="80"/>
      <c r="O90" s="99" t="s">
        <v>5279</v>
      </c>
      <c r="P90" s="101" t="s">
        <v>7</v>
      </c>
      <c r="Q90" s="84">
        <v>55</v>
      </c>
      <c r="R90" s="101" t="s">
        <v>1126</v>
      </c>
      <c r="S90" s="101" t="s">
        <v>5</v>
      </c>
      <c r="T90" s="101" t="s">
        <v>1</v>
      </c>
      <c r="U90" s="101" t="s">
        <v>1</v>
      </c>
      <c r="V90" s="101" t="s">
        <v>1</v>
      </c>
      <c r="W90" s="101" t="s">
        <v>1</v>
      </c>
      <c r="X90" s="101" t="s">
        <v>1</v>
      </c>
      <c r="Y90" s="101" t="s">
        <v>1</v>
      </c>
      <c r="Z90" s="101" t="s">
        <v>1</v>
      </c>
      <c r="AA90" s="101" t="s">
        <v>1</v>
      </c>
      <c r="AB90" s="80" t="s">
        <v>2099</v>
      </c>
      <c r="AC90" s="80"/>
      <c r="AD90" s="80"/>
      <c r="AE90" s="25" t="s">
        <v>2098</v>
      </c>
      <c r="AF90" s="71"/>
      <c r="AG90" s="66"/>
      <c r="AH90" s="80"/>
    </row>
    <row r="91" spans="1:34" x14ac:dyDescent="0.15">
      <c r="B91" s="80" t="s">
        <v>310</v>
      </c>
      <c r="C91" s="81" t="s">
        <v>1693</v>
      </c>
      <c r="D91" s="82">
        <v>500</v>
      </c>
      <c r="E91" s="80" t="s">
        <v>8</v>
      </c>
      <c r="F91" s="82">
        <v>69</v>
      </c>
      <c r="G91" s="82">
        <f>+F91+Q91+T91+W91</f>
        <v>233.7</v>
      </c>
      <c r="H91" s="85">
        <v>45091</v>
      </c>
      <c r="I91" s="80" t="s">
        <v>3483</v>
      </c>
      <c r="J91" s="80" t="s">
        <v>3482</v>
      </c>
      <c r="K91" s="80" t="s">
        <v>2050</v>
      </c>
      <c r="L91" s="80" t="s">
        <v>2407</v>
      </c>
      <c r="M91" s="80">
        <v>2015</v>
      </c>
      <c r="O91" s="80" t="s">
        <v>3481</v>
      </c>
      <c r="P91" s="84" t="s">
        <v>18</v>
      </c>
      <c r="Q91" s="84">
        <v>110</v>
      </c>
      <c r="R91" s="84" t="s">
        <v>3480</v>
      </c>
      <c r="S91" s="84" t="s">
        <v>7</v>
      </c>
      <c r="T91" s="84">
        <v>40</v>
      </c>
      <c r="U91" s="84" t="s">
        <v>3479</v>
      </c>
      <c r="V91" s="84" t="s">
        <v>5</v>
      </c>
      <c r="W91" s="84">
        <v>14.7</v>
      </c>
      <c r="X91" s="84" t="s">
        <v>3478</v>
      </c>
      <c r="Y91" s="84" t="s">
        <v>4</v>
      </c>
      <c r="Z91" s="84" t="s">
        <v>1</v>
      </c>
      <c r="AA91" s="84" t="s">
        <v>3477</v>
      </c>
      <c r="AB91" s="80" t="s">
        <v>2053</v>
      </c>
      <c r="AE91" s="25" t="s">
        <v>5118</v>
      </c>
      <c r="AF91" s="70">
        <v>9.9089999999999994E-3</v>
      </c>
      <c r="AG91" s="76">
        <v>0.11319444444444444</v>
      </c>
    </row>
    <row r="92" spans="1:34" s="192" customFormat="1" x14ac:dyDescent="0.15">
      <c r="A92" s="80"/>
      <c r="B92" s="80" t="s">
        <v>2077</v>
      </c>
      <c r="C92" s="81" t="s">
        <v>1693</v>
      </c>
      <c r="D92" s="82">
        <v>500</v>
      </c>
      <c r="E92" s="80" t="s">
        <v>18</v>
      </c>
      <c r="F92" s="82">
        <v>65</v>
      </c>
      <c r="G92" s="82">
        <f>F92+Q92+T92</f>
        <v>97.5</v>
      </c>
      <c r="H92" s="85">
        <v>44644</v>
      </c>
      <c r="I92" s="99" t="s">
        <v>5952</v>
      </c>
      <c r="J92" s="99" t="s">
        <v>5949</v>
      </c>
      <c r="K92" s="80" t="s">
        <v>2050</v>
      </c>
      <c r="L92" s="80" t="s">
        <v>2076</v>
      </c>
      <c r="M92" s="80">
        <v>2018</v>
      </c>
      <c r="N92" s="80"/>
      <c r="O92" s="99" t="s">
        <v>5950</v>
      </c>
      <c r="P92" s="101" t="s">
        <v>7</v>
      </c>
      <c r="Q92" s="84">
        <v>22</v>
      </c>
      <c r="R92" s="101" t="s">
        <v>5953</v>
      </c>
      <c r="S92" s="101" t="s">
        <v>5</v>
      </c>
      <c r="T92" s="84">
        <v>10.5</v>
      </c>
      <c r="U92" s="101" t="s">
        <v>5954</v>
      </c>
      <c r="V92" s="101" t="s">
        <v>1</v>
      </c>
      <c r="W92" s="101" t="s">
        <v>1</v>
      </c>
      <c r="X92" s="101" t="s">
        <v>1</v>
      </c>
      <c r="Y92" s="101" t="s">
        <v>1</v>
      </c>
      <c r="Z92" s="101" t="s">
        <v>1</v>
      </c>
      <c r="AA92" s="101" t="s">
        <v>1</v>
      </c>
      <c r="AB92" s="80" t="s">
        <v>2053</v>
      </c>
      <c r="AC92" s="80"/>
      <c r="AD92" s="80"/>
      <c r="AE92" s="235" t="s">
        <v>2075</v>
      </c>
      <c r="AF92" s="236"/>
      <c r="AG92" s="241"/>
      <c r="AH92" s="80"/>
    </row>
    <row r="93" spans="1:34" x14ac:dyDescent="0.15">
      <c r="B93" s="80" t="s">
        <v>425</v>
      </c>
      <c r="C93" s="81" t="s">
        <v>1693</v>
      </c>
      <c r="D93" s="82">
        <v>500</v>
      </c>
      <c r="E93" s="80" t="s">
        <v>18</v>
      </c>
      <c r="F93" s="82">
        <v>75</v>
      </c>
      <c r="G93" s="82">
        <f>+F93+Q93+T93+W93+Z93</f>
        <v>222</v>
      </c>
      <c r="H93" s="85">
        <v>45020</v>
      </c>
      <c r="I93" s="80" t="s">
        <v>3491</v>
      </c>
      <c r="J93" s="80" t="s">
        <v>3490</v>
      </c>
      <c r="K93" s="80" t="s">
        <v>2050</v>
      </c>
      <c r="L93" s="80" t="s">
        <v>2356</v>
      </c>
      <c r="M93" s="80">
        <v>2017</v>
      </c>
      <c r="O93" s="80" t="s">
        <v>3489</v>
      </c>
      <c r="P93" s="84" t="s">
        <v>18</v>
      </c>
      <c r="Q93" s="84">
        <v>80</v>
      </c>
      <c r="R93" s="84" t="s">
        <v>3488</v>
      </c>
      <c r="S93" s="84" t="s">
        <v>7</v>
      </c>
      <c r="T93" s="84">
        <v>40</v>
      </c>
      <c r="U93" s="84" t="s">
        <v>3487</v>
      </c>
      <c r="V93" s="84" t="s">
        <v>5</v>
      </c>
      <c r="W93" s="84">
        <v>20</v>
      </c>
      <c r="X93" s="84" t="s">
        <v>3486</v>
      </c>
      <c r="Y93" s="84" t="s">
        <v>4</v>
      </c>
      <c r="Z93" s="84">
        <v>7</v>
      </c>
      <c r="AA93" s="84" t="s">
        <v>3485</v>
      </c>
      <c r="AB93" s="80" t="s">
        <v>3484</v>
      </c>
      <c r="AE93" s="25" t="s">
        <v>5117</v>
      </c>
      <c r="AF93" s="70">
        <v>7.8969999999999995E-3</v>
      </c>
      <c r="AG93" s="76">
        <v>2.7777777777777776E-2</v>
      </c>
    </row>
    <row r="94" spans="1:34" s="233" customFormat="1" x14ac:dyDescent="0.15">
      <c r="B94" s="233" t="s">
        <v>1150</v>
      </c>
      <c r="C94" s="232" t="s">
        <v>1693</v>
      </c>
      <c r="D94" s="239">
        <v>500</v>
      </c>
      <c r="E94" s="233" t="s">
        <v>7</v>
      </c>
      <c r="F94" s="239">
        <v>140</v>
      </c>
      <c r="G94" s="239">
        <f>+F94+Q94</f>
        <v>190</v>
      </c>
      <c r="H94" s="240">
        <v>44393</v>
      </c>
      <c r="I94" s="233" t="s">
        <v>3523</v>
      </c>
      <c r="J94" s="233" t="s">
        <v>3522</v>
      </c>
      <c r="K94" s="233" t="s">
        <v>2050</v>
      </c>
      <c r="L94" s="233" t="s">
        <v>2061</v>
      </c>
      <c r="M94" s="233">
        <v>2019</v>
      </c>
      <c r="N94" s="233" t="s">
        <v>5109</v>
      </c>
      <c r="O94" s="233" t="s">
        <v>3521</v>
      </c>
      <c r="P94" s="234" t="s">
        <v>4</v>
      </c>
      <c r="Q94" s="234">
        <v>50</v>
      </c>
      <c r="R94" s="234" t="s">
        <v>1</v>
      </c>
      <c r="S94" s="234" t="s">
        <v>1</v>
      </c>
      <c r="T94" s="234" t="s">
        <v>1</v>
      </c>
      <c r="U94" s="234" t="s">
        <v>1</v>
      </c>
      <c r="V94" s="234" t="s">
        <v>1</v>
      </c>
      <c r="W94" s="234" t="s">
        <v>1</v>
      </c>
      <c r="X94" s="234" t="s">
        <v>1</v>
      </c>
      <c r="Y94" s="234" t="s">
        <v>1</v>
      </c>
      <c r="Z94" s="234" t="s">
        <v>1</v>
      </c>
      <c r="AA94" s="234" t="s">
        <v>1</v>
      </c>
      <c r="AB94" s="233" t="s">
        <v>2159</v>
      </c>
      <c r="AE94" s="25" t="s">
        <v>5108</v>
      </c>
      <c r="AF94" s="70">
        <v>0</v>
      </c>
      <c r="AG94" s="76">
        <v>1.3194444444444444E-2</v>
      </c>
    </row>
    <row r="95" spans="1:34" x14ac:dyDescent="0.15">
      <c r="B95" s="80" t="s">
        <v>432</v>
      </c>
      <c r="C95" s="81" t="s">
        <v>1693</v>
      </c>
      <c r="D95" s="82">
        <v>500</v>
      </c>
      <c r="E95" s="80" t="s">
        <v>7</v>
      </c>
      <c r="F95" s="82">
        <v>93</v>
      </c>
      <c r="G95" s="82">
        <f>+F95+Q95</f>
        <v>108</v>
      </c>
      <c r="H95" s="27">
        <v>43018</v>
      </c>
      <c r="I95" s="80" t="s">
        <v>3520</v>
      </c>
      <c r="J95" s="80" t="s">
        <v>3519</v>
      </c>
      <c r="K95" s="80" t="s">
        <v>2050</v>
      </c>
      <c r="L95" s="80" t="s">
        <v>2149</v>
      </c>
      <c r="M95" s="80">
        <v>2016</v>
      </c>
      <c r="N95" s="80" t="s">
        <v>3518</v>
      </c>
      <c r="O95" s="80" t="s">
        <v>3517</v>
      </c>
      <c r="P95" s="84" t="s">
        <v>5</v>
      </c>
      <c r="Q95" s="84">
        <v>15</v>
      </c>
      <c r="R95" s="84" t="s">
        <v>3516</v>
      </c>
      <c r="S95" s="84" t="s">
        <v>1</v>
      </c>
      <c r="T95" s="84" t="s">
        <v>1</v>
      </c>
      <c r="U95" s="84" t="s">
        <v>1</v>
      </c>
      <c r="V95" s="84" t="s">
        <v>1</v>
      </c>
      <c r="W95" s="84" t="s">
        <v>1</v>
      </c>
      <c r="X95" s="84" t="s">
        <v>1</v>
      </c>
      <c r="Y95" s="84" t="s">
        <v>1</v>
      </c>
      <c r="Z95" s="84" t="s">
        <v>1</v>
      </c>
      <c r="AA95" s="84" t="s">
        <v>1</v>
      </c>
      <c r="AB95" s="80" t="s">
        <v>3515</v>
      </c>
      <c r="AE95" s="25" t="s">
        <v>5110</v>
      </c>
      <c r="AF95" s="70">
        <v>0</v>
      </c>
      <c r="AG95" s="76">
        <v>6.5277777777777782E-2</v>
      </c>
    </row>
    <row r="96" spans="1:34" s="12" customFormat="1" x14ac:dyDescent="0.15">
      <c r="A96" s="80"/>
      <c r="B96" s="80" t="s">
        <v>3501</v>
      </c>
      <c r="C96" s="81" t="s">
        <v>1693</v>
      </c>
      <c r="D96" s="82">
        <v>500</v>
      </c>
      <c r="E96" s="80" t="s">
        <v>18</v>
      </c>
      <c r="F96" s="82">
        <v>80</v>
      </c>
      <c r="G96" s="82">
        <f>+F96+Q96+T96</f>
        <v>104</v>
      </c>
      <c r="H96" s="85">
        <v>44782</v>
      </c>
      <c r="I96" s="80"/>
      <c r="J96" s="80"/>
      <c r="K96" s="80" t="s">
        <v>2050</v>
      </c>
      <c r="L96" s="80" t="s">
        <v>3500</v>
      </c>
      <c r="M96" s="91">
        <v>43497</v>
      </c>
      <c r="N96" s="80" t="s">
        <v>3499</v>
      </c>
      <c r="O96" s="80" t="s">
        <v>3498</v>
      </c>
      <c r="P96" s="84" t="s">
        <v>4</v>
      </c>
      <c r="Q96" s="84">
        <v>14</v>
      </c>
      <c r="R96" s="84" t="s">
        <v>3497</v>
      </c>
      <c r="S96" s="84" t="s">
        <v>551</v>
      </c>
      <c r="T96" s="84">
        <v>10</v>
      </c>
      <c r="U96" s="84" t="s">
        <v>3496</v>
      </c>
      <c r="V96" s="84" t="s">
        <v>1</v>
      </c>
      <c r="W96" s="84" t="s">
        <v>1</v>
      </c>
      <c r="X96" s="84" t="s">
        <v>1</v>
      </c>
      <c r="Y96" s="84" t="s">
        <v>1</v>
      </c>
      <c r="Z96" s="84" t="s">
        <v>1</v>
      </c>
      <c r="AA96" s="84" t="s">
        <v>1</v>
      </c>
      <c r="AB96" s="80" t="s">
        <v>3495</v>
      </c>
      <c r="AC96" s="80"/>
      <c r="AD96" s="80"/>
      <c r="AE96" s="25" t="s">
        <v>5115</v>
      </c>
      <c r="AF96" s="70">
        <v>0</v>
      </c>
      <c r="AG96" s="76">
        <v>5.0694444444444452E-2</v>
      </c>
      <c r="AH96" s="80"/>
    </row>
    <row r="97" spans="1:34" x14ac:dyDescent="0.15">
      <c r="B97" s="80" t="s">
        <v>3494</v>
      </c>
      <c r="C97" s="81" t="s">
        <v>1693</v>
      </c>
      <c r="D97" s="82">
        <v>500</v>
      </c>
      <c r="E97" s="80" t="s">
        <v>7</v>
      </c>
      <c r="F97" s="82" t="s">
        <v>1</v>
      </c>
      <c r="G97" s="82" t="str">
        <f>+F97</f>
        <v>N/A</v>
      </c>
      <c r="H97" s="85">
        <v>44616</v>
      </c>
      <c r="I97" s="80" t="s">
        <v>3493</v>
      </c>
      <c r="K97" s="80" t="s">
        <v>2050</v>
      </c>
      <c r="L97" s="80" t="s">
        <v>2553</v>
      </c>
      <c r="M97" s="80">
        <v>2019</v>
      </c>
      <c r="N97" s="80" t="s">
        <v>3492</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2377</v>
      </c>
      <c r="AE97" s="25" t="s">
        <v>5116</v>
      </c>
      <c r="AF97" s="70">
        <v>0</v>
      </c>
      <c r="AG97" s="76">
        <v>2.4999999999999998E-2</v>
      </c>
    </row>
    <row r="98" spans="1:34" s="168" customFormat="1" x14ac:dyDescent="0.15">
      <c r="A98" s="80"/>
      <c r="B98" s="80" t="s">
        <v>318</v>
      </c>
      <c r="C98" s="81" t="s">
        <v>1693</v>
      </c>
      <c r="D98" s="82">
        <v>500</v>
      </c>
      <c r="E98" s="80" t="s">
        <v>18</v>
      </c>
      <c r="F98" s="82">
        <v>91</v>
      </c>
      <c r="G98" s="82">
        <f>+F98+Q98+T98+W98</f>
        <v>165.2</v>
      </c>
      <c r="H98" s="85">
        <v>44867</v>
      </c>
      <c r="I98" s="80" t="s">
        <v>3514</v>
      </c>
      <c r="J98" s="80" t="s">
        <v>3513</v>
      </c>
      <c r="K98" s="80" t="s">
        <v>2050</v>
      </c>
      <c r="L98" s="80" t="s">
        <v>3512</v>
      </c>
      <c r="M98" s="80">
        <v>2015</v>
      </c>
      <c r="N98" s="80"/>
      <c r="O98" s="80" t="s">
        <v>3511</v>
      </c>
      <c r="P98" s="84" t="s">
        <v>7</v>
      </c>
      <c r="Q98" s="84">
        <v>55</v>
      </c>
      <c r="R98" s="84" t="s">
        <v>3510</v>
      </c>
      <c r="S98" s="84" t="s">
        <v>5</v>
      </c>
      <c r="T98" s="84">
        <v>16</v>
      </c>
      <c r="U98" s="84" t="s">
        <v>3509</v>
      </c>
      <c r="V98" s="84" t="s">
        <v>4</v>
      </c>
      <c r="W98" s="84">
        <v>3.2</v>
      </c>
      <c r="X98" s="84" t="s">
        <v>3508</v>
      </c>
      <c r="Y98" s="84" t="s">
        <v>1</v>
      </c>
      <c r="Z98" s="84" t="s">
        <v>1</v>
      </c>
      <c r="AA98" s="84" t="s">
        <v>1</v>
      </c>
      <c r="AB98" s="80" t="s">
        <v>3507</v>
      </c>
      <c r="AC98" s="80"/>
      <c r="AD98" s="80"/>
      <c r="AE98" s="25" t="s">
        <v>5111</v>
      </c>
      <c r="AF98" s="70">
        <v>1.7176E-2</v>
      </c>
      <c r="AG98" s="76">
        <v>0.15833333333333333</v>
      </c>
      <c r="AH98" s="80"/>
    </row>
    <row r="99" spans="1:34" x14ac:dyDescent="0.15">
      <c r="B99" s="80" t="s">
        <v>2117</v>
      </c>
      <c r="C99" s="81" t="s">
        <v>1693</v>
      </c>
      <c r="D99" s="87">
        <v>400</v>
      </c>
      <c r="E99" s="80" t="s">
        <v>9</v>
      </c>
      <c r="F99" s="82">
        <v>100</v>
      </c>
      <c r="G99" s="82">
        <f>F99+Q99+T99+W99+Z99</f>
        <v>246.4</v>
      </c>
      <c r="H99" s="85">
        <v>44507</v>
      </c>
      <c r="I99" s="80" t="s">
        <v>5024</v>
      </c>
      <c r="J99" s="80" t="s">
        <v>5022</v>
      </c>
      <c r="K99" s="80" t="s">
        <v>2050</v>
      </c>
      <c r="L99" s="80" t="s">
        <v>2061</v>
      </c>
      <c r="M99" s="80">
        <v>2012</v>
      </c>
      <c r="N99" s="221" t="s">
        <v>7198</v>
      </c>
      <c r="O99" s="221" t="s">
        <v>5025</v>
      </c>
      <c r="P99" s="84" t="s">
        <v>8</v>
      </c>
      <c r="Q99" s="84">
        <v>72.5</v>
      </c>
      <c r="R99" s="84" t="s">
        <v>5029</v>
      </c>
      <c r="S99" s="84" t="s">
        <v>18</v>
      </c>
      <c r="T99" s="84">
        <v>40</v>
      </c>
      <c r="U99" s="84" t="s">
        <v>5032</v>
      </c>
      <c r="V99" s="84" t="s">
        <v>7</v>
      </c>
      <c r="W99" s="84">
        <v>25</v>
      </c>
      <c r="X99" s="84" t="s">
        <v>5035</v>
      </c>
      <c r="Y99" s="84" t="s">
        <v>5</v>
      </c>
      <c r="Z99" s="84">
        <v>8.9</v>
      </c>
      <c r="AA99" s="84" t="s">
        <v>5036</v>
      </c>
      <c r="AB99" s="181" t="s">
        <v>6662</v>
      </c>
      <c r="AC99" s="181" t="s">
        <v>6665</v>
      </c>
      <c r="AD99" s="181" t="s">
        <v>6673</v>
      </c>
      <c r="AE99" s="25" t="s">
        <v>2116</v>
      </c>
      <c r="AF99" s="71">
        <v>0.50777300000000003</v>
      </c>
      <c r="AG99" s="69">
        <v>0.13333333333333333</v>
      </c>
    </row>
    <row r="100" spans="1:34" x14ac:dyDescent="0.15">
      <c r="B100" s="192" t="s">
        <v>5120</v>
      </c>
      <c r="C100" s="201" t="s">
        <v>1693</v>
      </c>
      <c r="D100" s="194">
        <v>400</v>
      </c>
      <c r="E100" s="192" t="s">
        <v>5</v>
      </c>
      <c r="F100" s="194">
        <v>90</v>
      </c>
      <c r="G100" s="194">
        <f>+F100</f>
        <v>90</v>
      </c>
      <c r="H100" s="202">
        <v>45006</v>
      </c>
      <c r="I100" s="192" t="s">
        <v>3471</v>
      </c>
      <c r="J100" s="192" t="s">
        <v>3470</v>
      </c>
      <c r="K100" s="192" t="s">
        <v>2050</v>
      </c>
      <c r="L100" s="192" t="s">
        <v>2067</v>
      </c>
      <c r="M100" s="192">
        <v>2021</v>
      </c>
      <c r="N100" s="212" t="s">
        <v>4309</v>
      </c>
      <c r="O100" s="192" t="s">
        <v>3469</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3043</v>
      </c>
      <c r="AC100" s="192"/>
      <c r="AD100" s="192"/>
      <c r="AE100" s="25" t="s">
        <v>5121</v>
      </c>
      <c r="AF100" s="70">
        <v>9.9749999999999995E-3</v>
      </c>
      <c r="AG100" s="76">
        <v>2.4305555555555556E-2</v>
      </c>
      <c r="AH100" s="192"/>
    </row>
    <row r="101" spans="1:34" x14ac:dyDescent="0.15">
      <c r="B101" s="192" t="s">
        <v>415</v>
      </c>
      <c r="C101" s="201" t="s">
        <v>1693</v>
      </c>
      <c r="D101" s="194">
        <v>400</v>
      </c>
      <c r="E101" s="192" t="s">
        <v>18</v>
      </c>
      <c r="F101" s="194">
        <v>65</v>
      </c>
      <c r="G101" s="194">
        <f>+F101+Q101+T101</f>
        <v>74.3</v>
      </c>
      <c r="H101" s="202">
        <v>43789</v>
      </c>
      <c r="I101" s="192" t="s">
        <v>3151</v>
      </c>
      <c r="J101" s="192" t="s">
        <v>3476</v>
      </c>
      <c r="K101" s="192" t="s">
        <v>2050</v>
      </c>
      <c r="L101" s="192" t="s">
        <v>3151</v>
      </c>
      <c r="M101" s="192">
        <v>2010</v>
      </c>
      <c r="N101" s="192"/>
      <c r="O101" s="192" t="s">
        <v>3475</v>
      </c>
      <c r="P101" s="195" t="s">
        <v>7</v>
      </c>
      <c r="Q101" s="195">
        <v>7.3</v>
      </c>
      <c r="R101" s="195" t="s">
        <v>3474</v>
      </c>
      <c r="S101" s="195" t="s">
        <v>5</v>
      </c>
      <c r="T101" s="195">
        <v>2</v>
      </c>
      <c r="U101" s="209" t="s">
        <v>3473</v>
      </c>
      <c r="V101" s="195" t="s">
        <v>1</v>
      </c>
      <c r="W101" s="195" t="s">
        <v>1</v>
      </c>
      <c r="X101" s="195" t="s">
        <v>1</v>
      </c>
      <c r="Y101" s="195" t="s">
        <v>1</v>
      </c>
      <c r="Z101" s="195" t="s">
        <v>1</v>
      </c>
      <c r="AA101" s="195" t="s">
        <v>1</v>
      </c>
      <c r="AB101" s="192" t="s">
        <v>3472</v>
      </c>
      <c r="AC101" s="192"/>
      <c r="AD101" s="192"/>
      <c r="AE101" s="25" t="s">
        <v>5119</v>
      </c>
      <c r="AF101" s="70">
        <v>5.3367999999999999E-2</v>
      </c>
      <c r="AG101" s="76">
        <v>8.2638888888888887E-2</v>
      </c>
      <c r="AH101" s="192"/>
    </row>
    <row r="102" spans="1:34" s="192" customFormat="1" x14ac:dyDescent="0.15">
      <c r="A102" s="80"/>
      <c r="B102" s="192" t="s">
        <v>2025</v>
      </c>
      <c r="C102" s="201" t="s">
        <v>1693</v>
      </c>
      <c r="D102" s="194">
        <v>350</v>
      </c>
      <c r="E102" s="192" t="s">
        <v>5</v>
      </c>
      <c r="F102" s="194"/>
      <c r="G102" s="194"/>
      <c r="H102" s="202">
        <v>45091</v>
      </c>
      <c r="I102" s="192" t="s">
        <v>6815</v>
      </c>
      <c r="J102" s="192" t="s">
        <v>6818</v>
      </c>
      <c r="K102" s="192" t="s">
        <v>2050</v>
      </c>
      <c r="L102" s="192" t="s">
        <v>2746</v>
      </c>
      <c r="M102" s="192">
        <v>2020</v>
      </c>
      <c r="O102" s="192" t="s">
        <v>1139</v>
      </c>
      <c r="P102" s="195" t="s">
        <v>4</v>
      </c>
      <c r="Q102" s="195">
        <v>10</v>
      </c>
      <c r="R102" s="195" t="s">
        <v>6819</v>
      </c>
      <c r="S102" s="195" t="s">
        <v>1</v>
      </c>
      <c r="T102" s="195" t="s">
        <v>1</v>
      </c>
      <c r="U102" s="195" t="s">
        <v>1</v>
      </c>
      <c r="V102" s="195" t="s">
        <v>1</v>
      </c>
      <c r="W102" s="195" t="s">
        <v>1</v>
      </c>
      <c r="X102" s="195" t="s">
        <v>1</v>
      </c>
      <c r="Y102" s="195" t="s">
        <v>1</v>
      </c>
      <c r="Z102" s="195" t="s">
        <v>1</v>
      </c>
      <c r="AA102" s="195" t="s">
        <v>1</v>
      </c>
      <c r="AB102" s="192" t="s">
        <v>6662</v>
      </c>
      <c r="AC102" s="192" t="s">
        <v>6670</v>
      </c>
      <c r="AD102" s="192" t="s">
        <v>6670</v>
      </c>
      <c r="AE102" s="25" t="s">
        <v>6820</v>
      </c>
      <c r="AF102" s="70"/>
      <c r="AG102" s="65"/>
    </row>
    <row r="103" spans="1:34" x14ac:dyDescent="0.15">
      <c r="B103" s="192" t="s">
        <v>363</v>
      </c>
      <c r="C103" s="201" t="s">
        <v>1693</v>
      </c>
      <c r="D103" s="194">
        <v>300</v>
      </c>
      <c r="E103" s="192" t="s">
        <v>7</v>
      </c>
      <c r="F103" s="194">
        <v>120</v>
      </c>
      <c r="G103" s="194">
        <f>+F103+Q103+T103</f>
        <v>190</v>
      </c>
      <c r="H103" s="202">
        <v>44602</v>
      </c>
      <c r="I103" s="192" t="s">
        <v>3468</v>
      </c>
      <c r="J103" s="192" t="s">
        <v>3467</v>
      </c>
      <c r="K103" s="192" t="s">
        <v>2050</v>
      </c>
      <c r="L103" s="192" t="s">
        <v>3040</v>
      </c>
      <c r="M103" s="192">
        <v>2011</v>
      </c>
      <c r="N103" s="192"/>
      <c r="O103" s="192" t="s">
        <v>3466</v>
      </c>
      <c r="P103" s="195" t="s">
        <v>5</v>
      </c>
      <c r="Q103" s="195">
        <v>50</v>
      </c>
      <c r="R103" s="195" t="s">
        <v>3465</v>
      </c>
      <c r="S103" s="195" t="s">
        <v>4</v>
      </c>
      <c r="T103" s="195">
        <v>20</v>
      </c>
      <c r="U103" s="195" t="s">
        <v>1</v>
      </c>
      <c r="V103" s="195" t="s">
        <v>1</v>
      </c>
      <c r="W103" s="195" t="s">
        <v>1</v>
      </c>
      <c r="X103" s="195" t="s">
        <v>1</v>
      </c>
      <c r="Y103" s="195" t="s">
        <v>1</v>
      </c>
      <c r="Z103" s="195" t="s">
        <v>1</v>
      </c>
      <c r="AA103" s="195" t="s">
        <v>1</v>
      </c>
      <c r="AB103" s="192" t="s">
        <v>2086</v>
      </c>
      <c r="AC103" s="192"/>
      <c r="AD103" s="192"/>
      <c r="AE103" s="25" t="s">
        <v>5122</v>
      </c>
      <c r="AF103" s="70">
        <v>1.8180000000000001</v>
      </c>
      <c r="AG103" s="76">
        <v>3.4722222222222224E-2</v>
      </c>
      <c r="AH103" s="192"/>
    </row>
    <row r="104" spans="1:34" s="196" customFormat="1" x14ac:dyDescent="0.15">
      <c r="A104" s="80"/>
      <c r="B104" s="80" t="s">
        <v>3328</v>
      </c>
      <c r="C104" s="81" t="s">
        <v>1693</v>
      </c>
      <c r="D104" s="82">
        <v>300</v>
      </c>
      <c r="E104" s="80" t="s">
        <v>7</v>
      </c>
      <c r="F104" s="82">
        <v>13</v>
      </c>
      <c r="G104" s="82">
        <f>+F104+Q104+T104+W104+Z104</f>
        <v>190</v>
      </c>
      <c r="H104" s="85">
        <v>45090</v>
      </c>
      <c r="I104" s="80" t="s">
        <v>3327</v>
      </c>
      <c r="J104" s="80" t="s">
        <v>3326</v>
      </c>
      <c r="K104" s="80" t="s">
        <v>2105</v>
      </c>
      <c r="L104" s="80" t="s">
        <v>2084</v>
      </c>
      <c r="M104" s="92">
        <v>43405</v>
      </c>
      <c r="N104" s="80"/>
      <c r="O104" s="80" t="s">
        <v>3325</v>
      </c>
      <c r="P104" s="84" t="s">
        <v>7</v>
      </c>
      <c r="Q104" s="84">
        <v>37</v>
      </c>
      <c r="R104" s="84" t="s">
        <v>3324</v>
      </c>
      <c r="S104" s="84" t="s">
        <v>7</v>
      </c>
      <c r="T104" s="84">
        <v>30</v>
      </c>
      <c r="U104" s="84" t="s">
        <v>3323</v>
      </c>
      <c r="V104" s="84" t="s">
        <v>7</v>
      </c>
      <c r="W104" s="84">
        <v>80</v>
      </c>
      <c r="X104" s="84" t="s">
        <v>3322</v>
      </c>
      <c r="Y104" s="84" t="s">
        <v>5</v>
      </c>
      <c r="Z104" s="84">
        <v>30</v>
      </c>
      <c r="AA104" s="84" t="s">
        <v>3321</v>
      </c>
      <c r="AB104" s="80" t="s">
        <v>2752</v>
      </c>
      <c r="AC104" s="80"/>
      <c r="AD104" s="80"/>
      <c r="AE104" s="25" t="s">
        <v>5151</v>
      </c>
      <c r="AF104" s="70">
        <v>9.1590000000000005E-3</v>
      </c>
      <c r="AG104" s="76">
        <v>8.819444444444445E-2</v>
      </c>
      <c r="AH104" s="80"/>
    </row>
    <row r="105" spans="1:34" x14ac:dyDescent="0.15">
      <c r="B105" s="80" t="s">
        <v>381</v>
      </c>
      <c r="C105" s="81" t="s">
        <v>1693</v>
      </c>
      <c r="D105" s="82">
        <v>300</v>
      </c>
      <c r="E105" s="80" t="s">
        <v>5</v>
      </c>
      <c r="F105" s="82">
        <f>72*1.2</f>
        <v>86.399999999999991</v>
      </c>
      <c r="G105" s="82">
        <f>+F105+Q105+T105</f>
        <v>95.649999999999991</v>
      </c>
      <c r="H105" s="85">
        <v>44488</v>
      </c>
      <c r="I105" s="80" t="s">
        <v>3458</v>
      </c>
      <c r="J105" s="80" t="s">
        <v>3457</v>
      </c>
      <c r="K105" s="80" t="s">
        <v>2050</v>
      </c>
      <c r="L105" s="80" t="s">
        <v>2528</v>
      </c>
      <c r="M105" s="80">
        <v>2017</v>
      </c>
      <c r="N105" s="80" t="s">
        <v>3456</v>
      </c>
      <c r="O105" s="80" t="s">
        <v>3455</v>
      </c>
      <c r="P105" s="84" t="s">
        <v>4</v>
      </c>
      <c r="Q105" s="84">
        <v>8.5</v>
      </c>
      <c r="R105" s="84" t="s">
        <v>3454</v>
      </c>
      <c r="S105" s="84" t="s">
        <v>4</v>
      </c>
      <c r="T105" s="84">
        <v>0.75</v>
      </c>
      <c r="U105" s="84" t="s">
        <v>3453</v>
      </c>
      <c r="V105" s="84" t="s">
        <v>1</v>
      </c>
      <c r="W105" s="84" t="s">
        <v>1</v>
      </c>
      <c r="X105" s="84" t="s">
        <v>1</v>
      </c>
      <c r="Y105" s="84" t="s">
        <v>1</v>
      </c>
      <c r="Z105" s="84" t="s">
        <v>1</v>
      </c>
      <c r="AA105" s="84" t="s">
        <v>1</v>
      </c>
      <c r="AB105" s="80" t="s">
        <v>2099</v>
      </c>
      <c r="AE105" s="25" t="s">
        <v>5124</v>
      </c>
      <c r="AF105" s="70">
        <v>0.11515400000000001</v>
      </c>
      <c r="AG105" s="76">
        <v>0.13263888888888889</v>
      </c>
    </row>
    <row r="106" spans="1:34" x14ac:dyDescent="0.15">
      <c r="B106" s="12" t="s">
        <v>3220</v>
      </c>
      <c r="C106" s="29" t="s">
        <v>1693</v>
      </c>
      <c r="D106" s="15">
        <v>300</v>
      </c>
      <c r="E106" s="12" t="s">
        <v>1</v>
      </c>
      <c r="F106" s="15">
        <v>18.5</v>
      </c>
      <c r="G106" s="82">
        <f>+F106</f>
        <v>18.5</v>
      </c>
      <c r="H106" s="14">
        <v>45063</v>
      </c>
      <c r="I106" s="12" t="s">
        <v>3219</v>
      </c>
      <c r="J106" s="12" t="s">
        <v>3218</v>
      </c>
      <c r="K106" s="12" t="s">
        <v>2576</v>
      </c>
      <c r="L106" s="80" t="s">
        <v>2531</v>
      </c>
      <c r="M106" s="91">
        <v>44652</v>
      </c>
      <c r="O106" s="34" t="s">
        <v>5481</v>
      </c>
      <c r="P106" s="84" t="s">
        <v>4</v>
      </c>
      <c r="Q106" s="84" t="s">
        <v>1</v>
      </c>
      <c r="R106" s="84" t="s">
        <v>3217</v>
      </c>
      <c r="S106" s="84" t="s">
        <v>4</v>
      </c>
      <c r="T106" s="84">
        <v>2</v>
      </c>
      <c r="U106" s="84" t="s">
        <v>3216</v>
      </c>
      <c r="V106" s="84" t="s">
        <v>1</v>
      </c>
      <c r="W106" s="84" t="s">
        <v>1</v>
      </c>
      <c r="X106" s="84" t="s">
        <v>1</v>
      </c>
      <c r="Y106" s="84" t="s">
        <v>1</v>
      </c>
      <c r="Z106" s="84" t="s">
        <v>1</v>
      </c>
      <c r="AA106" s="84" t="s">
        <v>1</v>
      </c>
      <c r="AB106" s="80" t="s">
        <v>2060</v>
      </c>
      <c r="AE106" s="25" t="s">
        <v>5183</v>
      </c>
      <c r="AF106" s="70">
        <v>8.4960000000000004</v>
      </c>
      <c r="AG106" s="76">
        <v>0.23750000000000002</v>
      </c>
    </row>
    <row r="107" spans="1:34" x14ac:dyDescent="0.15">
      <c r="B107" s="80" t="s">
        <v>3464</v>
      </c>
      <c r="C107" s="81" t="s">
        <v>1693</v>
      </c>
      <c r="D107" s="82">
        <v>300</v>
      </c>
      <c r="E107" s="80" t="s">
        <v>5</v>
      </c>
      <c r="F107" s="82">
        <v>100</v>
      </c>
      <c r="G107" s="82">
        <f>+F107</f>
        <v>100</v>
      </c>
      <c r="H107" s="27">
        <v>44349</v>
      </c>
      <c r="I107" s="80" t="s">
        <v>3463</v>
      </c>
      <c r="J107" s="80" t="s">
        <v>3462</v>
      </c>
      <c r="K107" s="80" t="s">
        <v>2050</v>
      </c>
      <c r="L107" s="80" t="s">
        <v>3461</v>
      </c>
      <c r="M107" s="80">
        <v>2020</v>
      </c>
      <c r="O107" s="80" t="s">
        <v>3460</v>
      </c>
      <c r="P107" s="84" t="s">
        <v>1</v>
      </c>
      <c r="Q107" s="84" t="s">
        <v>1</v>
      </c>
      <c r="R107" s="84" t="s">
        <v>1</v>
      </c>
      <c r="S107" s="84" t="s">
        <v>1</v>
      </c>
      <c r="T107" s="84" t="s">
        <v>1</v>
      </c>
      <c r="U107" s="84" t="s">
        <v>1</v>
      </c>
      <c r="V107" s="84" t="s">
        <v>1</v>
      </c>
      <c r="W107" s="84" t="s">
        <v>1</v>
      </c>
      <c r="X107" s="84" t="s">
        <v>1</v>
      </c>
      <c r="Y107" s="84" t="s">
        <v>1</v>
      </c>
      <c r="Z107" s="84" t="s">
        <v>1</v>
      </c>
      <c r="AA107" s="84" t="s">
        <v>1</v>
      </c>
      <c r="AB107" s="80" t="s">
        <v>3459</v>
      </c>
      <c r="AE107" s="25" t="s">
        <v>5123</v>
      </c>
      <c r="AF107" s="70">
        <v>0</v>
      </c>
      <c r="AG107" s="76">
        <v>8.3333333333333332E-3</v>
      </c>
    </row>
    <row r="108" spans="1:34" s="192" customFormat="1" x14ac:dyDescent="0.15">
      <c r="A108" s="80"/>
      <c r="B108" s="192" t="s">
        <v>5700</v>
      </c>
      <c r="C108" s="201" t="s">
        <v>1693</v>
      </c>
      <c r="D108" s="194">
        <v>300</v>
      </c>
      <c r="E108" s="192" t="s">
        <v>18</v>
      </c>
      <c r="F108" s="194">
        <v>75</v>
      </c>
      <c r="G108" s="194">
        <f>F108+Q108+T108+W108</f>
        <v>118</v>
      </c>
      <c r="H108" s="202">
        <v>44627</v>
      </c>
      <c r="I108" s="192" t="s">
        <v>5703</v>
      </c>
      <c r="J108" s="192" t="s">
        <v>5701</v>
      </c>
      <c r="K108" s="192" t="s">
        <v>2050</v>
      </c>
      <c r="L108" s="192" t="s">
        <v>2084</v>
      </c>
      <c r="M108" s="192">
        <v>2018</v>
      </c>
      <c r="O108" s="192" t="s">
        <v>5702</v>
      </c>
      <c r="P108" s="195" t="s">
        <v>7</v>
      </c>
      <c r="Q108" s="195">
        <v>30</v>
      </c>
      <c r="R108" s="195" t="s">
        <v>5707</v>
      </c>
      <c r="S108" s="195" t="s">
        <v>5</v>
      </c>
      <c r="T108" s="195">
        <v>10</v>
      </c>
      <c r="U108" s="195" t="s">
        <v>5708</v>
      </c>
      <c r="V108" s="195" t="s">
        <v>4</v>
      </c>
      <c r="W108" s="195">
        <v>3</v>
      </c>
      <c r="X108" s="195" t="s">
        <v>1038</v>
      </c>
      <c r="Y108" s="195" t="s">
        <v>1</v>
      </c>
      <c r="Z108" s="195" t="s">
        <v>1</v>
      </c>
      <c r="AA108" s="195" t="s">
        <v>1</v>
      </c>
      <c r="AB108" s="192" t="s">
        <v>2083</v>
      </c>
      <c r="AE108" s="25" t="s">
        <v>2082</v>
      </c>
      <c r="AF108" s="71"/>
      <c r="AG108" s="66"/>
    </row>
    <row r="109" spans="1:34" s="192" customFormat="1" x14ac:dyDescent="0.15">
      <c r="A109" s="80"/>
      <c r="B109" s="80" t="s">
        <v>2092</v>
      </c>
      <c r="C109" s="81" t="s">
        <v>1693</v>
      </c>
      <c r="D109" s="82">
        <v>300</v>
      </c>
      <c r="E109" s="99" t="s">
        <v>7</v>
      </c>
      <c r="F109" s="82">
        <v>75</v>
      </c>
      <c r="G109" s="82">
        <f>F109+Q109</f>
        <v>115</v>
      </c>
      <c r="H109" s="85">
        <v>44677</v>
      </c>
      <c r="I109" s="99" t="s">
        <v>5489</v>
      </c>
      <c r="J109" s="99" t="s">
        <v>5488</v>
      </c>
      <c r="K109" s="80" t="s">
        <v>2050</v>
      </c>
      <c r="L109" s="80" t="s">
        <v>2091</v>
      </c>
      <c r="M109" s="80">
        <v>2017</v>
      </c>
      <c r="N109" s="80"/>
      <c r="O109" s="99" t="s">
        <v>5490</v>
      </c>
      <c r="P109" s="101" t="s">
        <v>5</v>
      </c>
      <c r="Q109" s="84">
        <v>40</v>
      </c>
      <c r="R109" s="101" t="s">
        <v>1066</v>
      </c>
      <c r="S109" s="101" t="s">
        <v>1</v>
      </c>
      <c r="T109" s="101" t="s">
        <v>1</v>
      </c>
      <c r="U109" s="101" t="s">
        <v>1</v>
      </c>
      <c r="V109" s="101" t="s">
        <v>1</v>
      </c>
      <c r="W109" s="101" t="s">
        <v>1</v>
      </c>
      <c r="X109" s="101" t="s">
        <v>1</v>
      </c>
      <c r="Y109" s="101" t="s">
        <v>1</v>
      </c>
      <c r="Z109" s="101" t="s">
        <v>1</v>
      </c>
      <c r="AA109" s="101" t="s">
        <v>1</v>
      </c>
      <c r="AB109" s="80" t="s">
        <v>2090</v>
      </c>
      <c r="AC109" s="80"/>
      <c r="AD109" s="80"/>
      <c r="AE109" s="25" t="s">
        <v>2089</v>
      </c>
      <c r="AF109" s="71"/>
      <c r="AG109" s="66"/>
      <c r="AH109" s="80"/>
    </row>
    <row r="110" spans="1:34" s="192" customFormat="1" x14ac:dyDescent="0.15">
      <c r="A110" s="80"/>
      <c r="B110" s="80" t="s">
        <v>2095</v>
      </c>
      <c r="C110" s="81" t="s">
        <v>1693</v>
      </c>
      <c r="D110" s="87">
        <v>300</v>
      </c>
      <c r="E110" s="80" t="s">
        <v>18</v>
      </c>
      <c r="F110" s="82">
        <v>80</v>
      </c>
      <c r="G110" s="82">
        <f>F110+Q110+T110+W110</f>
        <v>151</v>
      </c>
      <c r="H110" s="85">
        <v>44637</v>
      </c>
      <c r="I110" s="99" t="s">
        <v>5468</v>
      </c>
      <c r="J110" s="99" t="s">
        <v>5469</v>
      </c>
      <c r="K110" s="80" t="s">
        <v>2050</v>
      </c>
      <c r="L110" s="80" t="s">
        <v>2094</v>
      </c>
      <c r="M110" s="80">
        <v>2017</v>
      </c>
      <c r="N110" s="221" t="s">
        <v>7197</v>
      </c>
      <c r="O110" s="99" t="s">
        <v>5470</v>
      </c>
      <c r="P110" s="101" t="s">
        <v>7</v>
      </c>
      <c r="Q110" s="84">
        <v>50</v>
      </c>
      <c r="R110" s="101" t="s">
        <v>5477</v>
      </c>
      <c r="S110" s="101" t="s">
        <v>5</v>
      </c>
      <c r="T110" s="84">
        <v>15</v>
      </c>
      <c r="U110" s="106" t="s">
        <v>5480</v>
      </c>
      <c r="V110" s="101" t="s">
        <v>4</v>
      </c>
      <c r="W110" s="84">
        <v>6</v>
      </c>
      <c r="X110" s="101" t="s">
        <v>1148</v>
      </c>
      <c r="Y110" s="101" t="s">
        <v>1</v>
      </c>
      <c r="Z110" s="101" t="s">
        <v>1</v>
      </c>
      <c r="AA110" s="101" t="s">
        <v>1</v>
      </c>
      <c r="AB110" s="181" t="s">
        <v>6662</v>
      </c>
      <c r="AC110" s="181" t="s">
        <v>6665</v>
      </c>
      <c r="AD110" s="181" t="s">
        <v>2369</v>
      </c>
      <c r="AE110" s="25" t="s">
        <v>2093</v>
      </c>
      <c r="AF110" s="71"/>
      <c r="AG110" s="66"/>
      <c r="AH110" s="80"/>
    </row>
    <row r="111" spans="1:34" s="192" customFormat="1" x14ac:dyDescent="0.15">
      <c r="A111" s="80"/>
      <c r="B111" s="80" t="s">
        <v>2088</v>
      </c>
      <c r="C111" s="81" t="s">
        <v>1693</v>
      </c>
      <c r="D111" s="82">
        <v>300</v>
      </c>
      <c r="E111" s="80" t="s">
        <v>5</v>
      </c>
      <c r="F111" s="82">
        <v>110</v>
      </c>
      <c r="G111" s="82">
        <f>F111</f>
        <v>110</v>
      </c>
      <c r="H111" s="85">
        <v>44509</v>
      </c>
      <c r="I111" s="99" t="s">
        <v>5694</v>
      </c>
      <c r="J111" s="80"/>
      <c r="K111" s="80" t="s">
        <v>2050</v>
      </c>
      <c r="L111" s="80" t="s">
        <v>2087</v>
      </c>
      <c r="M111" s="80">
        <v>2021</v>
      </c>
      <c r="N111" s="99" t="s">
        <v>5695</v>
      </c>
      <c r="O111" s="99" t="s">
        <v>5693</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2086</v>
      </c>
      <c r="AC111" s="80"/>
      <c r="AD111" s="80"/>
      <c r="AE111" s="25" t="s">
        <v>2085</v>
      </c>
      <c r="AF111" s="71"/>
      <c r="AG111" s="66"/>
      <c r="AH111" s="80"/>
    </row>
    <row r="112" spans="1:34" s="192" customFormat="1" x14ac:dyDescent="0.15">
      <c r="A112" s="80"/>
      <c r="B112" s="80" t="s">
        <v>2074</v>
      </c>
      <c r="C112" s="81" t="s">
        <v>1693</v>
      </c>
      <c r="D112" s="82">
        <v>300</v>
      </c>
      <c r="E112" s="80" t="s">
        <v>7</v>
      </c>
      <c r="F112" s="82">
        <v>60</v>
      </c>
      <c r="G112" s="82">
        <f>F112+Q112+T112</f>
        <v>85</v>
      </c>
      <c r="H112" s="85">
        <v>44278</v>
      </c>
      <c r="I112" s="99" t="s">
        <v>5956</v>
      </c>
      <c r="J112" s="99" t="s">
        <v>5957</v>
      </c>
      <c r="K112" s="80" t="s">
        <v>2067</v>
      </c>
      <c r="L112" s="80" t="s">
        <v>2073</v>
      </c>
      <c r="M112" s="80">
        <v>2018</v>
      </c>
      <c r="N112" s="80"/>
      <c r="O112" s="99" t="s">
        <v>5958</v>
      </c>
      <c r="P112" s="101" t="s">
        <v>5</v>
      </c>
      <c r="Q112" s="84">
        <v>20</v>
      </c>
      <c r="R112" s="101" t="s">
        <v>5960</v>
      </c>
      <c r="S112" s="101" t="s">
        <v>4</v>
      </c>
      <c r="T112" s="84">
        <v>5</v>
      </c>
      <c r="U112" s="101" t="s">
        <v>5961</v>
      </c>
      <c r="V112" s="101" t="s">
        <v>1</v>
      </c>
      <c r="W112" s="101" t="s">
        <v>1</v>
      </c>
      <c r="X112" s="101" t="s">
        <v>1</v>
      </c>
      <c r="Y112" s="101" t="s">
        <v>1</v>
      </c>
      <c r="Z112" s="101" t="s">
        <v>1</v>
      </c>
      <c r="AA112" s="101" t="s">
        <v>1</v>
      </c>
      <c r="AB112" s="80" t="s">
        <v>2053</v>
      </c>
      <c r="AC112" s="80"/>
      <c r="AD112" s="80"/>
      <c r="AE112" s="25" t="s">
        <v>2072</v>
      </c>
      <c r="AF112" s="71"/>
      <c r="AG112" s="66"/>
      <c r="AH112" s="80"/>
    </row>
    <row r="113" spans="1:34" x14ac:dyDescent="0.15">
      <c r="B113" s="80" t="s">
        <v>543</v>
      </c>
      <c r="C113" s="81" t="s">
        <v>1693</v>
      </c>
      <c r="D113" s="82">
        <v>260</v>
      </c>
      <c r="E113" s="80" t="s">
        <v>5</v>
      </c>
      <c r="F113" s="82">
        <v>40</v>
      </c>
      <c r="G113" s="82">
        <f>+F113+Q113+T113</f>
        <v>66</v>
      </c>
      <c r="H113" s="85">
        <v>44811</v>
      </c>
      <c r="I113" s="80" t="s">
        <v>2637</v>
      </c>
      <c r="K113" s="80" t="s">
        <v>2050</v>
      </c>
      <c r="L113" s="80" t="s">
        <v>2637</v>
      </c>
      <c r="M113" s="80">
        <v>2017</v>
      </c>
      <c r="O113" s="80" t="s">
        <v>3452</v>
      </c>
      <c r="P113" s="84" t="s">
        <v>5</v>
      </c>
      <c r="Q113" s="84">
        <v>14</v>
      </c>
      <c r="R113" s="84" t="s">
        <v>3451</v>
      </c>
      <c r="S113" s="84" t="s">
        <v>5</v>
      </c>
      <c r="T113" s="84">
        <v>12</v>
      </c>
      <c r="U113" s="84" t="s">
        <v>3450</v>
      </c>
      <c r="V113" s="84" t="s">
        <v>4</v>
      </c>
      <c r="W113" s="84" t="s">
        <v>1</v>
      </c>
      <c r="X113" s="84" t="s">
        <v>545</v>
      </c>
      <c r="Y113" s="84" t="s">
        <v>1</v>
      </c>
      <c r="Z113" s="84" t="s">
        <v>1</v>
      </c>
      <c r="AA113" s="84" t="s">
        <v>1</v>
      </c>
      <c r="AB113" s="80" t="s">
        <v>2170</v>
      </c>
      <c r="AE113" s="25" t="s">
        <v>5125</v>
      </c>
      <c r="AF113" s="70">
        <v>3.8922999999999999E-2</v>
      </c>
      <c r="AG113" s="76">
        <v>5.4166666666666669E-2</v>
      </c>
    </row>
    <row r="114" spans="1:34" x14ac:dyDescent="0.15">
      <c r="B114" s="80" t="s">
        <v>1012</v>
      </c>
      <c r="C114" s="81" t="s">
        <v>1693</v>
      </c>
      <c r="D114" s="82">
        <v>257</v>
      </c>
      <c r="E114" s="80" t="s">
        <v>7</v>
      </c>
      <c r="F114" s="82">
        <v>43</v>
      </c>
      <c r="G114" s="82">
        <f>+F114+Q114</f>
        <v>69</v>
      </c>
      <c r="H114" s="85">
        <v>44978</v>
      </c>
      <c r="I114" s="80" t="s">
        <v>3449</v>
      </c>
      <c r="K114" s="80" t="s">
        <v>2050</v>
      </c>
      <c r="L114" s="80" t="s">
        <v>2705</v>
      </c>
      <c r="M114" s="92" t="s">
        <v>3136</v>
      </c>
      <c r="O114" s="80" t="s">
        <v>3448</v>
      </c>
      <c r="P114" s="84" t="s">
        <v>5</v>
      </c>
      <c r="Q114" s="84">
        <v>26</v>
      </c>
      <c r="R114" s="84" t="s">
        <v>3447</v>
      </c>
      <c r="S114" s="84" t="s">
        <v>4</v>
      </c>
      <c r="T114" s="84" t="s">
        <v>1</v>
      </c>
      <c r="U114" s="84" t="s">
        <v>3446</v>
      </c>
      <c r="V114" s="84" t="s">
        <v>1</v>
      </c>
      <c r="W114" s="84" t="s">
        <v>1</v>
      </c>
      <c r="X114" s="84" t="s">
        <v>1</v>
      </c>
      <c r="Y114" s="84" t="s">
        <v>1</v>
      </c>
      <c r="Z114" s="84" t="s">
        <v>1</v>
      </c>
      <c r="AA114" s="84" t="s">
        <v>1</v>
      </c>
      <c r="AB114" s="80" t="s">
        <v>2369</v>
      </c>
      <c r="AE114" s="25" t="s">
        <v>4349</v>
      </c>
      <c r="AF114" s="71">
        <v>13.41</v>
      </c>
      <c r="AG114" s="69">
        <v>0.16458333333333333</v>
      </c>
    </row>
    <row r="115" spans="1:34" x14ac:dyDescent="0.15">
      <c r="B115" s="80" t="s">
        <v>799</v>
      </c>
      <c r="C115" s="81" t="s">
        <v>1693</v>
      </c>
      <c r="D115" s="82">
        <v>250</v>
      </c>
      <c r="E115" s="80" t="s">
        <v>18</v>
      </c>
      <c r="F115" s="82">
        <v>50</v>
      </c>
      <c r="G115" s="82">
        <f>+F115+Q115+T115+W115</f>
        <v>90.3</v>
      </c>
      <c r="H115" s="27">
        <v>44496</v>
      </c>
      <c r="I115" s="80" t="s">
        <v>3440</v>
      </c>
      <c r="J115" s="80" t="s">
        <v>3439</v>
      </c>
      <c r="K115" s="80" t="s">
        <v>2576</v>
      </c>
      <c r="L115" s="80" t="s">
        <v>2061</v>
      </c>
      <c r="M115" s="91">
        <v>43556</v>
      </c>
      <c r="O115" s="80" t="s">
        <v>3438</v>
      </c>
      <c r="P115" s="84" t="s">
        <v>7</v>
      </c>
      <c r="Q115" s="84">
        <v>22</v>
      </c>
      <c r="R115" s="84" t="s">
        <v>3437</v>
      </c>
      <c r="S115" s="84" t="s">
        <v>3436</v>
      </c>
      <c r="T115" s="84">
        <v>13</v>
      </c>
      <c r="U115" s="84" t="s">
        <v>3435</v>
      </c>
      <c r="V115" s="84" t="s">
        <v>3434</v>
      </c>
      <c r="W115" s="84">
        <v>5.3</v>
      </c>
      <c r="X115" s="84" t="s">
        <v>3433</v>
      </c>
      <c r="Y115" s="84" t="s">
        <v>1</v>
      </c>
      <c r="Z115" s="84" t="s">
        <v>1</v>
      </c>
      <c r="AA115" s="84" t="s">
        <v>1</v>
      </c>
      <c r="AB115" s="80" t="s">
        <v>2369</v>
      </c>
      <c r="AE115" s="25" t="s">
        <v>5129</v>
      </c>
      <c r="AF115" s="70">
        <v>8.3259E-2</v>
      </c>
      <c r="AG115" s="76">
        <v>1.4583333333333332E-2</v>
      </c>
    </row>
    <row r="116" spans="1:34" s="192" customFormat="1" x14ac:dyDescent="0.15">
      <c r="A116" s="80"/>
      <c r="B116" s="80" t="s">
        <v>2071</v>
      </c>
      <c r="C116" s="81" t="s">
        <v>1693</v>
      </c>
      <c r="D116" s="82">
        <v>250</v>
      </c>
      <c r="E116" s="99" t="s">
        <v>18</v>
      </c>
      <c r="F116" s="82">
        <v>15</v>
      </c>
      <c r="G116" s="82">
        <f>F116+Z116+W116+T116+Q116</f>
        <v>84.2</v>
      </c>
      <c r="H116" s="85">
        <v>45006</v>
      </c>
      <c r="I116" s="99" t="s">
        <v>6050</v>
      </c>
      <c r="J116" s="99" t="s">
        <v>6038</v>
      </c>
      <c r="K116" s="80" t="s">
        <v>2067</v>
      </c>
      <c r="L116" s="80" t="s">
        <v>2070</v>
      </c>
      <c r="M116" s="80">
        <v>2017</v>
      </c>
      <c r="N116" s="80"/>
      <c r="O116" s="99" t="s">
        <v>6039</v>
      </c>
      <c r="P116" s="101" t="s">
        <v>7</v>
      </c>
      <c r="Q116" s="84">
        <v>50</v>
      </c>
      <c r="R116" s="101" t="s">
        <v>6043</v>
      </c>
      <c r="S116" s="101" t="s">
        <v>5</v>
      </c>
      <c r="T116" s="84">
        <v>3</v>
      </c>
      <c r="U116" s="101" t="s">
        <v>6044</v>
      </c>
      <c r="V116" s="101" t="s">
        <v>5</v>
      </c>
      <c r="W116" s="84">
        <v>12</v>
      </c>
      <c r="X116" s="101" t="s">
        <v>6048</v>
      </c>
      <c r="Y116" s="101" t="s">
        <v>4</v>
      </c>
      <c r="Z116" s="84">
        <v>4.2</v>
      </c>
      <c r="AA116" s="101" t="s">
        <v>6049</v>
      </c>
      <c r="AB116" s="80" t="s">
        <v>2053</v>
      </c>
      <c r="AC116" s="80"/>
      <c r="AD116" s="80"/>
      <c r="AE116" s="25" t="s">
        <v>2069</v>
      </c>
      <c r="AF116" s="71"/>
      <c r="AG116" s="66"/>
      <c r="AH116" s="80"/>
    </row>
    <row r="117" spans="1:34" x14ac:dyDescent="0.15">
      <c r="B117" s="80" t="s">
        <v>3432</v>
      </c>
      <c r="C117" s="81" t="s">
        <v>1693</v>
      </c>
      <c r="D117" s="82">
        <v>250</v>
      </c>
      <c r="E117" s="80" t="s">
        <v>5</v>
      </c>
      <c r="F117" s="82">
        <v>40</v>
      </c>
      <c r="G117" s="82">
        <f>+F117+Q117+T117</f>
        <v>60</v>
      </c>
      <c r="H117" s="85">
        <v>45014</v>
      </c>
      <c r="I117" s="80" t="s">
        <v>3431</v>
      </c>
      <c r="J117" s="80" t="s">
        <v>3430</v>
      </c>
      <c r="K117" s="80" t="s">
        <v>2315</v>
      </c>
      <c r="L117" s="80" t="s">
        <v>3429</v>
      </c>
      <c r="M117" s="80">
        <v>2017</v>
      </c>
      <c r="N117" s="80" t="s">
        <v>3428</v>
      </c>
      <c r="O117" s="80" t="s">
        <v>3427</v>
      </c>
      <c r="P117" s="84" t="s">
        <v>4</v>
      </c>
      <c r="Q117" s="84">
        <v>5</v>
      </c>
      <c r="R117" s="84" t="s">
        <v>3426</v>
      </c>
      <c r="S117" s="84" t="s">
        <v>4</v>
      </c>
      <c r="T117" s="84">
        <v>15</v>
      </c>
      <c r="U117" s="84" t="s">
        <v>3425</v>
      </c>
      <c r="V117" s="84" t="s">
        <v>1</v>
      </c>
      <c r="W117" s="84" t="s">
        <v>1</v>
      </c>
      <c r="X117" s="84" t="s">
        <v>1</v>
      </c>
      <c r="Y117" s="84" t="s">
        <v>1</v>
      </c>
      <c r="Z117" s="84" t="s">
        <v>1</v>
      </c>
      <c r="AA117" s="84" t="s">
        <v>1</v>
      </c>
      <c r="AB117" s="80" t="s">
        <v>2064</v>
      </c>
      <c r="AE117" s="25" t="s">
        <v>5130</v>
      </c>
      <c r="AF117" s="70">
        <v>4.2204999999999999E-2</v>
      </c>
      <c r="AG117" s="76">
        <v>0.16458333333333333</v>
      </c>
    </row>
    <row r="118" spans="1:34" x14ac:dyDescent="0.15">
      <c r="B118" s="80" t="s">
        <v>3445</v>
      </c>
      <c r="C118" s="81" t="s">
        <v>1693</v>
      </c>
      <c r="D118" s="82">
        <v>250</v>
      </c>
      <c r="E118" s="80" t="s">
        <v>5</v>
      </c>
      <c r="F118" s="82">
        <v>50</v>
      </c>
      <c r="G118" s="82">
        <f>+F118+Q118</f>
        <v>56</v>
      </c>
      <c r="H118" s="85">
        <v>44655</v>
      </c>
      <c r="K118" s="34" t="s">
        <v>2050</v>
      </c>
      <c r="L118" s="34" t="s">
        <v>3444</v>
      </c>
      <c r="M118" s="91">
        <v>44075</v>
      </c>
      <c r="N118" s="80" t="s">
        <v>5127</v>
      </c>
      <c r="O118" s="80" t="s">
        <v>3443</v>
      </c>
      <c r="P118" s="84" t="s">
        <v>4</v>
      </c>
      <c r="Q118" s="84">
        <v>6</v>
      </c>
      <c r="R118" s="84" t="s">
        <v>3442</v>
      </c>
      <c r="S118" s="84" t="s">
        <v>1</v>
      </c>
      <c r="T118" s="84" t="s">
        <v>1</v>
      </c>
      <c r="U118" s="84" t="s">
        <v>1</v>
      </c>
      <c r="V118" s="84" t="s">
        <v>1</v>
      </c>
      <c r="W118" s="84" t="s">
        <v>1</v>
      </c>
      <c r="X118" s="84" t="s">
        <v>1</v>
      </c>
      <c r="Y118" s="84" t="s">
        <v>1</v>
      </c>
      <c r="Z118" s="84" t="s">
        <v>1</v>
      </c>
      <c r="AA118" s="84" t="s">
        <v>1</v>
      </c>
      <c r="AB118" s="80" t="s">
        <v>3441</v>
      </c>
      <c r="AE118" s="25" t="s">
        <v>5128</v>
      </c>
      <c r="AF118" s="70">
        <v>8.0569999999999999E-3</v>
      </c>
      <c r="AG118" s="76">
        <v>3.4722222222222224E-2</v>
      </c>
    </row>
    <row r="119" spans="1:34" x14ac:dyDescent="0.15">
      <c r="B119" s="80" t="s">
        <v>3424</v>
      </c>
      <c r="C119" s="81" t="s">
        <v>1693</v>
      </c>
      <c r="D119" s="82">
        <v>245</v>
      </c>
      <c r="E119" s="80" t="s">
        <v>7</v>
      </c>
      <c r="F119" s="82">
        <v>30</v>
      </c>
      <c r="G119" s="82">
        <f>+F119+Q119</f>
        <v>51.4</v>
      </c>
      <c r="H119" s="27">
        <v>44510</v>
      </c>
      <c r="I119" s="80" t="s">
        <v>3423</v>
      </c>
      <c r="K119" s="80" t="s">
        <v>2050</v>
      </c>
      <c r="L119" s="32" t="s">
        <v>2067</v>
      </c>
      <c r="M119" s="38">
        <v>43497</v>
      </c>
      <c r="N119" s="34" t="s">
        <v>2067</v>
      </c>
      <c r="O119" s="80" t="s">
        <v>3422</v>
      </c>
      <c r="P119" s="84" t="s">
        <v>5</v>
      </c>
      <c r="Q119" s="84">
        <v>21.4</v>
      </c>
      <c r="R119" s="84" t="s">
        <v>3421</v>
      </c>
      <c r="S119" s="84" t="s">
        <v>3420</v>
      </c>
      <c r="T119" s="84" t="s">
        <v>1</v>
      </c>
      <c r="U119" s="84" t="s">
        <v>991</v>
      </c>
      <c r="V119" s="84" t="s">
        <v>1</v>
      </c>
      <c r="W119" s="84" t="s">
        <v>1</v>
      </c>
      <c r="X119" s="84" t="s">
        <v>1</v>
      </c>
      <c r="Y119" s="84" t="s">
        <v>1</v>
      </c>
      <c r="Z119" s="84" t="s">
        <v>1</v>
      </c>
      <c r="AA119" s="84" t="s">
        <v>1</v>
      </c>
      <c r="AB119" s="80" t="s">
        <v>2369</v>
      </c>
      <c r="AE119" s="25" t="s">
        <v>5131</v>
      </c>
      <c r="AF119" s="70">
        <v>8.9449999999999998E-3</v>
      </c>
      <c r="AG119" s="76">
        <v>2.9166666666666664E-2</v>
      </c>
    </row>
    <row r="120" spans="1:34" x14ac:dyDescent="0.15">
      <c r="B120" s="80" t="s">
        <v>706</v>
      </c>
      <c r="C120" s="81" t="s">
        <v>1693</v>
      </c>
      <c r="D120" s="82">
        <v>240</v>
      </c>
      <c r="E120" s="80" t="s">
        <v>4</v>
      </c>
      <c r="F120" s="82">
        <v>120</v>
      </c>
      <c r="G120" s="82">
        <f>+F120</f>
        <v>120</v>
      </c>
      <c r="H120" s="85">
        <v>45090</v>
      </c>
      <c r="I120" s="80" t="s">
        <v>2553</v>
      </c>
      <c r="J120" s="80" t="s">
        <v>3419</v>
      </c>
      <c r="K120" s="80" t="s">
        <v>2576</v>
      </c>
      <c r="L120" s="80" t="s">
        <v>3176</v>
      </c>
      <c r="M120" s="93" t="s">
        <v>3418</v>
      </c>
      <c r="N120" s="80" t="s">
        <v>3417</v>
      </c>
      <c r="O120" s="80" t="s">
        <v>3416</v>
      </c>
      <c r="P120" s="84" t="s">
        <v>1</v>
      </c>
      <c r="Q120" s="84" t="s">
        <v>1</v>
      </c>
      <c r="R120" s="84" t="s">
        <v>1</v>
      </c>
      <c r="S120" s="84" t="s">
        <v>1</v>
      </c>
      <c r="T120" s="84" t="s">
        <v>1</v>
      </c>
      <c r="U120" s="84" t="s">
        <v>1</v>
      </c>
      <c r="V120" s="84" t="s">
        <v>1</v>
      </c>
      <c r="W120" s="84" t="s">
        <v>1</v>
      </c>
      <c r="X120" s="84" t="s">
        <v>1</v>
      </c>
      <c r="Y120" s="84" t="s">
        <v>1</v>
      </c>
      <c r="Z120" s="84" t="s">
        <v>1</v>
      </c>
      <c r="AA120" s="84" t="s">
        <v>1</v>
      </c>
      <c r="AB120" s="80" t="s">
        <v>2152</v>
      </c>
      <c r="AE120" s="25" t="s">
        <v>5132</v>
      </c>
      <c r="AF120" s="70">
        <v>0.36059000000000002</v>
      </c>
      <c r="AG120" s="76">
        <v>7.6388888888888886E-3</v>
      </c>
    </row>
    <row r="121" spans="1:34" x14ac:dyDescent="0.15">
      <c r="B121" s="80" t="s">
        <v>666</v>
      </c>
      <c r="C121" s="81" t="s">
        <v>1693</v>
      </c>
      <c r="D121" s="82">
        <v>200</v>
      </c>
      <c r="E121" s="80" t="s">
        <v>4</v>
      </c>
      <c r="F121" s="82">
        <v>100</v>
      </c>
      <c r="G121" s="82">
        <f>+F121</f>
        <v>100</v>
      </c>
      <c r="H121" s="85">
        <v>44663</v>
      </c>
      <c r="I121" s="80" t="s">
        <v>3411</v>
      </c>
      <c r="K121" s="80" t="s">
        <v>2050</v>
      </c>
      <c r="L121" s="80" t="s">
        <v>2067</v>
      </c>
      <c r="M121" s="80">
        <v>2022</v>
      </c>
      <c r="O121" s="80" t="s">
        <v>3410</v>
      </c>
      <c r="P121" s="84" t="s">
        <v>1</v>
      </c>
      <c r="Q121" s="84" t="s">
        <v>1</v>
      </c>
      <c r="R121" s="84" t="s">
        <v>1</v>
      </c>
      <c r="S121" s="84" t="s">
        <v>1</v>
      </c>
      <c r="T121" s="84" t="s">
        <v>1</v>
      </c>
      <c r="U121" s="84" t="s">
        <v>1</v>
      </c>
      <c r="V121" s="84" t="s">
        <v>1</v>
      </c>
      <c r="W121" s="84" t="s">
        <v>1</v>
      </c>
      <c r="X121" s="84" t="s">
        <v>1</v>
      </c>
      <c r="Y121" s="84" t="s">
        <v>1</v>
      </c>
      <c r="Z121" s="84" t="s">
        <v>1</v>
      </c>
      <c r="AA121" s="84" t="s">
        <v>1</v>
      </c>
      <c r="AB121" s="80" t="s">
        <v>2060</v>
      </c>
      <c r="AE121" s="25" t="s">
        <v>5134</v>
      </c>
      <c r="AF121" s="70">
        <v>0</v>
      </c>
      <c r="AG121" s="76">
        <v>2.7777777777777779E-3</v>
      </c>
    </row>
    <row r="122" spans="1:34" s="192" customFormat="1" x14ac:dyDescent="0.15">
      <c r="A122" s="80"/>
      <c r="B122" s="80" t="s">
        <v>281</v>
      </c>
      <c r="C122" s="81" t="s">
        <v>1693</v>
      </c>
      <c r="D122" s="82">
        <v>200</v>
      </c>
      <c r="E122" s="80" t="s">
        <v>5</v>
      </c>
      <c r="F122" s="82">
        <v>32</v>
      </c>
      <c r="G122" s="82">
        <f>+F122+Q122+T122</f>
        <v>64.2</v>
      </c>
      <c r="H122" s="85">
        <v>44851</v>
      </c>
      <c r="I122" s="80" t="s">
        <v>3386</v>
      </c>
      <c r="J122" s="80" t="s">
        <v>3385</v>
      </c>
      <c r="K122" s="80" t="s">
        <v>2105</v>
      </c>
      <c r="L122" s="80" t="s">
        <v>2356</v>
      </c>
      <c r="M122" s="80">
        <v>2018</v>
      </c>
      <c r="N122" s="80"/>
      <c r="O122" s="80" t="s">
        <v>3384</v>
      </c>
      <c r="P122" s="84" t="s">
        <v>5</v>
      </c>
      <c r="Q122" s="84">
        <v>26</v>
      </c>
      <c r="R122" s="84" t="s">
        <v>3383</v>
      </c>
      <c r="S122" s="84" t="s">
        <v>4</v>
      </c>
      <c r="T122" s="84">
        <v>6.2</v>
      </c>
      <c r="U122" s="84" t="s">
        <v>3382</v>
      </c>
      <c r="V122" s="84" t="s">
        <v>278</v>
      </c>
      <c r="W122" s="84" t="s">
        <v>1</v>
      </c>
      <c r="X122" s="84" t="s">
        <v>3381</v>
      </c>
      <c r="Y122" s="84" t="s">
        <v>1</v>
      </c>
      <c r="Z122" s="84" t="s">
        <v>1</v>
      </c>
      <c r="AA122" s="84" t="s">
        <v>1</v>
      </c>
      <c r="AB122" s="80" t="s">
        <v>2090</v>
      </c>
      <c r="AC122" s="80"/>
      <c r="AD122" s="80"/>
      <c r="AE122" s="25" t="s">
        <v>5102</v>
      </c>
      <c r="AF122" s="71">
        <v>0</v>
      </c>
      <c r="AG122" s="69">
        <v>0.10277777777777779</v>
      </c>
      <c r="AH122" s="80"/>
    </row>
    <row r="123" spans="1:34" s="192" customFormat="1" x14ac:dyDescent="0.15">
      <c r="A123" s="80"/>
      <c r="B123" s="80" t="s">
        <v>2058</v>
      </c>
      <c r="C123" s="81" t="s">
        <v>1693</v>
      </c>
      <c r="D123" s="82">
        <v>200</v>
      </c>
      <c r="E123" s="143" t="s">
        <v>7</v>
      </c>
      <c r="F123" s="82">
        <v>52.2</v>
      </c>
      <c r="G123" s="82"/>
      <c r="H123" s="85">
        <v>44476</v>
      </c>
      <c r="I123" s="143" t="s">
        <v>2057</v>
      </c>
      <c r="J123" s="143" t="s">
        <v>6329</v>
      </c>
      <c r="K123" s="80" t="s">
        <v>2050</v>
      </c>
      <c r="L123" s="80" t="s">
        <v>2057</v>
      </c>
      <c r="M123" s="80">
        <v>2020</v>
      </c>
      <c r="N123" s="80"/>
      <c r="O123" s="143" t="s">
        <v>6330</v>
      </c>
      <c r="P123" s="148" t="s">
        <v>5</v>
      </c>
      <c r="Q123" s="84">
        <v>12</v>
      </c>
      <c r="R123" s="148" t="s">
        <v>6334</v>
      </c>
      <c r="S123" s="148" t="s">
        <v>4</v>
      </c>
      <c r="T123" s="148" t="s">
        <v>1</v>
      </c>
      <c r="U123" s="148" t="s">
        <v>6335</v>
      </c>
      <c r="V123" s="148" t="s">
        <v>4</v>
      </c>
      <c r="W123" s="84">
        <v>3.5</v>
      </c>
      <c r="X123" s="148" t="s">
        <v>6336</v>
      </c>
      <c r="Y123" s="148" t="s">
        <v>1</v>
      </c>
      <c r="Z123" s="148" t="s">
        <v>1</v>
      </c>
      <c r="AA123" s="148" t="s">
        <v>1</v>
      </c>
      <c r="AB123" s="80" t="s">
        <v>2056</v>
      </c>
      <c r="AC123" s="80"/>
      <c r="AD123" s="80"/>
      <c r="AE123" s="25" t="s">
        <v>2055</v>
      </c>
      <c r="AF123" s="71"/>
      <c r="AG123" s="66"/>
      <c r="AH123" s="80"/>
    </row>
    <row r="124" spans="1:34" s="192" customFormat="1" x14ac:dyDescent="0.15">
      <c r="A124" s="80"/>
      <c r="B124" s="233" t="s">
        <v>2062</v>
      </c>
      <c r="C124" s="81" t="s">
        <v>1693</v>
      </c>
      <c r="D124" s="82">
        <v>200</v>
      </c>
      <c r="E124" s="80" t="s">
        <v>7</v>
      </c>
      <c r="F124" s="82">
        <v>50</v>
      </c>
      <c r="G124" s="82">
        <f>F124+Q124+T124+W124</f>
        <v>69.8</v>
      </c>
      <c r="H124" s="85">
        <v>44518</v>
      </c>
      <c r="I124" s="143" t="s">
        <v>2884</v>
      </c>
      <c r="J124" s="143" t="s">
        <v>6260</v>
      </c>
      <c r="K124" s="80" t="s">
        <v>2050</v>
      </c>
      <c r="L124" s="80" t="s">
        <v>2061</v>
      </c>
      <c r="M124" s="80">
        <v>2017</v>
      </c>
      <c r="N124" s="80"/>
      <c r="O124" s="143" t="s">
        <v>6262</v>
      </c>
      <c r="P124" s="148" t="s">
        <v>5</v>
      </c>
      <c r="Q124" s="84">
        <v>13</v>
      </c>
      <c r="R124" s="148" t="s">
        <v>6265</v>
      </c>
      <c r="S124" s="148" t="s">
        <v>4</v>
      </c>
      <c r="T124" s="148">
        <v>4.5</v>
      </c>
      <c r="U124" s="148" t="s">
        <v>6266</v>
      </c>
      <c r="V124" s="148" t="s">
        <v>4</v>
      </c>
      <c r="W124" s="84">
        <v>2.2999999999999998</v>
      </c>
      <c r="X124" s="148" t="s">
        <v>6268</v>
      </c>
      <c r="Y124" s="148" t="s">
        <v>278</v>
      </c>
      <c r="Z124" s="148" t="s">
        <v>1</v>
      </c>
      <c r="AA124" s="148" t="s">
        <v>6270</v>
      </c>
      <c r="AB124" s="80" t="s">
        <v>2060</v>
      </c>
      <c r="AC124" s="80"/>
      <c r="AD124" s="80"/>
      <c r="AE124" s="25" t="s">
        <v>2059</v>
      </c>
      <c r="AF124" s="71"/>
      <c r="AG124" s="66"/>
      <c r="AH124" s="80"/>
    </row>
    <row r="125" spans="1:34" x14ac:dyDescent="0.15">
      <c r="B125" s="80" t="s">
        <v>3396</v>
      </c>
      <c r="C125" s="81" t="s">
        <v>1693</v>
      </c>
      <c r="D125" s="82">
        <v>200</v>
      </c>
      <c r="E125" s="80" t="s">
        <v>5</v>
      </c>
      <c r="F125" s="82">
        <v>40.799999999999997</v>
      </c>
      <c r="G125" s="82">
        <f>+F125</f>
        <v>40.799999999999997</v>
      </c>
      <c r="H125" s="85">
        <v>45112</v>
      </c>
      <c r="J125" s="80" t="s">
        <v>3395</v>
      </c>
      <c r="K125" s="80" t="s">
        <v>2050</v>
      </c>
      <c r="L125" s="80" t="s">
        <v>3394</v>
      </c>
      <c r="N125" s="80" t="s">
        <v>2703</v>
      </c>
      <c r="O125" s="80" t="s">
        <v>3393</v>
      </c>
      <c r="P125" s="84" t="s">
        <v>1</v>
      </c>
      <c r="Q125" s="84" t="s">
        <v>1</v>
      </c>
      <c r="R125" s="84" t="s">
        <v>1</v>
      </c>
      <c r="S125" s="84" t="s">
        <v>1</v>
      </c>
      <c r="T125" s="84" t="s">
        <v>1</v>
      </c>
      <c r="U125" s="84" t="s">
        <v>1</v>
      </c>
      <c r="V125" s="84" t="s">
        <v>1</v>
      </c>
      <c r="W125" s="84" t="s">
        <v>1</v>
      </c>
      <c r="X125" s="84" t="s">
        <v>1</v>
      </c>
      <c r="Y125" s="84" t="s">
        <v>1</v>
      </c>
      <c r="Z125" s="84" t="s">
        <v>1</v>
      </c>
      <c r="AA125" s="84" t="s">
        <v>1</v>
      </c>
      <c r="AE125" s="25" t="s">
        <v>5137</v>
      </c>
      <c r="AF125" s="70">
        <v>7.4489999999999998</v>
      </c>
      <c r="AG125" s="76">
        <v>0.3527777777777778</v>
      </c>
    </row>
    <row r="126" spans="1:34" x14ac:dyDescent="0.15">
      <c r="B126" s="80" t="s">
        <v>3368</v>
      </c>
      <c r="C126" s="81" t="s">
        <v>1693</v>
      </c>
      <c r="D126" s="82">
        <v>200</v>
      </c>
      <c r="E126" s="80" t="s">
        <v>4</v>
      </c>
      <c r="F126" s="82">
        <v>10</v>
      </c>
      <c r="G126" s="82">
        <f>+F126</f>
        <v>10</v>
      </c>
      <c r="H126" s="85">
        <v>45005</v>
      </c>
      <c r="I126" s="80" t="s">
        <v>3367</v>
      </c>
      <c r="J126" s="80" t="s">
        <v>3366</v>
      </c>
      <c r="K126" s="80" t="s">
        <v>2576</v>
      </c>
      <c r="L126" s="80" t="s">
        <v>3365</v>
      </c>
      <c r="M126" s="86">
        <v>41275</v>
      </c>
      <c r="N126" s="80" t="s">
        <v>3364</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2369</v>
      </c>
      <c r="AE126" s="25" t="s">
        <v>5142</v>
      </c>
      <c r="AF126" s="70">
        <v>3.855</v>
      </c>
      <c r="AG126" s="76">
        <v>0.26458333333333334</v>
      </c>
    </row>
    <row r="127" spans="1:34" x14ac:dyDescent="0.15">
      <c r="A127" s="192"/>
      <c r="B127" s="192" t="s">
        <v>2539</v>
      </c>
      <c r="C127" s="201" t="s">
        <v>1693</v>
      </c>
      <c r="D127" s="194">
        <v>200</v>
      </c>
      <c r="E127" s="206" t="s">
        <v>1</v>
      </c>
      <c r="F127" s="194" t="s">
        <v>1</v>
      </c>
      <c r="G127" s="194">
        <v>0</v>
      </c>
      <c r="H127" s="194" t="s">
        <v>1</v>
      </c>
      <c r="I127" s="192" t="s">
        <v>2474</v>
      </c>
      <c r="J127" s="192"/>
      <c r="K127" s="192" t="s">
        <v>2315</v>
      </c>
      <c r="L127" s="192" t="s">
        <v>2538</v>
      </c>
      <c r="M127" s="194" t="s">
        <v>1</v>
      </c>
      <c r="N127" s="192" t="s">
        <v>4505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6662</v>
      </c>
      <c r="AC127" s="206" t="s">
        <v>6665</v>
      </c>
      <c r="AD127" s="206" t="s">
        <v>2369</v>
      </c>
      <c r="AE127" s="25" t="s">
        <v>4506</v>
      </c>
      <c r="AF127" s="71">
        <v>19.43</v>
      </c>
      <c r="AG127" s="77" t="s">
        <v>5074</v>
      </c>
      <c r="AH127" s="192"/>
    </row>
    <row r="128" spans="1:34" x14ac:dyDescent="0.15">
      <c r="B128" s="12" t="s">
        <v>3380</v>
      </c>
      <c r="C128" s="29" t="s">
        <v>1693</v>
      </c>
      <c r="D128" s="15">
        <v>200</v>
      </c>
      <c r="E128" s="12" t="s">
        <v>7</v>
      </c>
      <c r="F128" s="15">
        <v>25</v>
      </c>
      <c r="G128" s="82">
        <f>+F128+Q128+T128+W128</f>
        <v>47.8</v>
      </c>
      <c r="H128" s="14">
        <v>44642</v>
      </c>
      <c r="I128" s="12" t="s">
        <v>2310</v>
      </c>
      <c r="J128" s="12" t="s">
        <v>3379</v>
      </c>
      <c r="K128" s="12" t="s">
        <v>2050</v>
      </c>
      <c r="L128" s="12" t="s">
        <v>2474</v>
      </c>
      <c r="M128" s="12">
        <v>2017</v>
      </c>
      <c r="N128" s="12" t="s">
        <v>3378</v>
      </c>
      <c r="O128" s="12" t="s">
        <v>3377</v>
      </c>
      <c r="P128" s="24" t="s">
        <v>5</v>
      </c>
      <c r="Q128" s="24">
        <v>13.5</v>
      </c>
      <c r="R128" s="24" t="s">
        <v>3376</v>
      </c>
      <c r="S128" s="24" t="s">
        <v>4</v>
      </c>
      <c r="T128" s="24">
        <v>5.3</v>
      </c>
      <c r="U128" s="24" t="s">
        <v>3375</v>
      </c>
      <c r="V128" s="24" t="s">
        <v>4</v>
      </c>
      <c r="W128" s="24">
        <v>4</v>
      </c>
      <c r="X128" s="24" t="s">
        <v>3374</v>
      </c>
      <c r="Y128" s="24" t="s">
        <v>1</v>
      </c>
      <c r="Z128" s="24" t="s">
        <v>1</v>
      </c>
      <c r="AA128" s="24" t="s">
        <v>1</v>
      </c>
      <c r="AB128" s="12" t="s">
        <v>2083</v>
      </c>
      <c r="AC128" s="12"/>
      <c r="AD128" s="12"/>
      <c r="AE128" s="37" t="s">
        <v>3373</v>
      </c>
      <c r="AF128" s="73">
        <v>7.0490000000000004</v>
      </c>
      <c r="AG128" s="79">
        <v>0.36944444444444446</v>
      </c>
      <c r="AH128" s="12"/>
    </row>
    <row r="129" spans="1:34" x14ac:dyDescent="0.15">
      <c r="B129" s="80" t="s">
        <v>3409</v>
      </c>
      <c r="C129" s="81" t="s">
        <v>1693</v>
      </c>
      <c r="D129" s="82">
        <v>200</v>
      </c>
      <c r="E129" s="80" t="s">
        <v>5</v>
      </c>
      <c r="F129" s="82">
        <v>58</v>
      </c>
      <c r="G129" s="82">
        <f>+F129</f>
        <v>58</v>
      </c>
      <c r="H129" s="85">
        <v>45104</v>
      </c>
      <c r="I129" s="80" t="s">
        <v>3408</v>
      </c>
      <c r="K129" s="80" t="s">
        <v>2050</v>
      </c>
      <c r="L129" s="80" t="s">
        <v>3176</v>
      </c>
      <c r="M129" s="83" t="s">
        <v>3407</v>
      </c>
      <c r="O129" s="80" t="s">
        <v>3406</v>
      </c>
      <c r="P129" s="84" t="s">
        <v>1</v>
      </c>
      <c r="Q129" s="84" t="s">
        <v>1</v>
      </c>
      <c r="R129" s="84" t="s">
        <v>1</v>
      </c>
      <c r="S129" s="84" t="s">
        <v>1</v>
      </c>
      <c r="T129" s="84" t="s">
        <v>1</v>
      </c>
      <c r="U129" s="84" t="s">
        <v>1</v>
      </c>
      <c r="V129" s="84" t="s">
        <v>1</v>
      </c>
      <c r="W129" s="84" t="s">
        <v>1</v>
      </c>
      <c r="X129" s="84" t="s">
        <v>1</v>
      </c>
      <c r="Y129" s="84" t="s">
        <v>1</v>
      </c>
      <c r="Z129" s="84" t="s">
        <v>1</v>
      </c>
      <c r="AA129" s="84" t="s">
        <v>1</v>
      </c>
      <c r="AB129" s="80" t="s">
        <v>2198</v>
      </c>
      <c r="AE129" s="25" t="s">
        <v>5135</v>
      </c>
      <c r="AF129" s="70">
        <v>7.7016000000000001E-2</v>
      </c>
      <c r="AG129" s="76">
        <v>4.5833333333333337E-2</v>
      </c>
    </row>
    <row r="130" spans="1:34" x14ac:dyDescent="0.15">
      <c r="B130" s="12" t="s">
        <v>476</v>
      </c>
      <c r="C130" s="29" t="s">
        <v>1693</v>
      </c>
      <c r="D130" s="15">
        <v>200</v>
      </c>
      <c r="E130" s="12" t="s">
        <v>7</v>
      </c>
      <c r="F130" s="15">
        <v>90</v>
      </c>
      <c r="G130" s="82">
        <f>+F130</f>
        <v>90</v>
      </c>
      <c r="H130" s="14">
        <v>44398</v>
      </c>
      <c r="I130" s="12" t="s">
        <v>2596</v>
      </c>
      <c r="J130" s="12" t="s">
        <v>3415</v>
      </c>
      <c r="K130" s="12" t="s">
        <v>2315</v>
      </c>
      <c r="L130" s="12" t="s">
        <v>2067</v>
      </c>
      <c r="M130" s="12">
        <v>2017</v>
      </c>
      <c r="N130" s="12"/>
      <c r="O130" s="12" t="s">
        <v>3414</v>
      </c>
      <c r="P130" s="24" t="s">
        <v>2232</v>
      </c>
      <c r="Q130" s="24">
        <v>9.5</v>
      </c>
      <c r="R130" s="24" t="s">
        <v>3413</v>
      </c>
      <c r="S130" s="24" t="s">
        <v>5</v>
      </c>
      <c r="T130" s="24">
        <v>22.8</v>
      </c>
      <c r="U130" s="24" t="s">
        <v>3412</v>
      </c>
      <c r="V130" s="24" t="s">
        <v>1</v>
      </c>
      <c r="W130" s="24" t="s">
        <v>1</v>
      </c>
      <c r="X130" s="24" t="s">
        <v>1</v>
      </c>
      <c r="Y130" s="24" t="s">
        <v>1</v>
      </c>
      <c r="Z130" s="24" t="s">
        <v>1</v>
      </c>
      <c r="AA130" s="24" t="s">
        <v>1</v>
      </c>
      <c r="AB130" s="12" t="s">
        <v>2053</v>
      </c>
      <c r="AC130" s="12"/>
      <c r="AD130" s="12"/>
      <c r="AE130" s="25" t="s">
        <v>5133</v>
      </c>
      <c r="AF130" s="72">
        <v>6.1334E-2</v>
      </c>
      <c r="AG130" s="78">
        <v>6.6666666666666666E-2</v>
      </c>
      <c r="AH130" s="12"/>
    </row>
    <row r="131" spans="1:34" x14ac:dyDescent="0.15">
      <c r="B131" s="80" t="s">
        <v>1057</v>
      </c>
      <c r="C131" s="81" t="s">
        <v>1693</v>
      </c>
      <c r="D131" s="82">
        <v>200</v>
      </c>
      <c r="E131" s="80" t="s">
        <v>18</v>
      </c>
      <c r="F131" s="82">
        <v>40</v>
      </c>
      <c r="G131" s="82">
        <f>+F131+Q131+T131+V131</f>
        <v>82</v>
      </c>
      <c r="H131" s="83">
        <v>2016</v>
      </c>
      <c r="I131" s="80" t="s">
        <v>3392</v>
      </c>
      <c r="J131" s="80" t="s">
        <v>3391</v>
      </c>
      <c r="K131" s="80" t="s">
        <v>2050</v>
      </c>
      <c r="L131" s="80" t="s">
        <v>2067</v>
      </c>
      <c r="M131" s="80">
        <v>2016</v>
      </c>
      <c r="N131" s="80" t="s">
        <v>2171</v>
      </c>
      <c r="O131" s="80" t="s">
        <v>3390</v>
      </c>
      <c r="P131" s="84" t="s">
        <v>7</v>
      </c>
      <c r="Q131" s="84">
        <v>28</v>
      </c>
      <c r="R131" s="84" t="s">
        <v>3389</v>
      </c>
      <c r="S131" s="84" t="s">
        <v>5</v>
      </c>
      <c r="T131" s="84">
        <v>9.6999999999999993</v>
      </c>
      <c r="U131" s="84" t="s">
        <v>4</v>
      </c>
      <c r="V131" s="84">
        <v>4.3</v>
      </c>
      <c r="W131" s="84" t="s">
        <v>3388</v>
      </c>
      <c r="X131" s="84" t="s">
        <v>1</v>
      </c>
      <c r="Y131" s="84" t="s">
        <v>1</v>
      </c>
      <c r="Z131" s="84" t="s">
        <v>1</v>
      </c>
      <c r="AA131" s="84" t="s">
        <v>1</v>
      </c>
      <c r="AB131" s="80" t="s">
        <v>2198</v>
      </c>
      <c r="AE131" s="25" t="s">
        <v>3387</v>
      </c>
      <c r="AF131" s="71">
        <v>1.6847000000000001E-2</v>
      </c>
      <c r="AG131" s="69">
        <v>1.3888888888888889E-3</v>
      </c>
    </row>
    <row r="132" spans="1:34" x14ac:dyDescent="0.15">
      <c r="B132" s="80" t="s">
        <v>708</v>
      </c>
      <c r="C132" s="81" t="s">
        <v>1693</v>
      </c>
      <c r="D132" s="39">
        <v>250</v>
      </c>
      <c r="E132" s="80" t="s">
        <v>9</v>
      </c>
      <c r="F132" s="82">
        <v>222</v>
      </c>
      <c r="G132" s="82">
        <f>F132+Q132+T132+W132+Z132</f>
        <v>652</v>
      </c>
      <c r="H132" s="85">
        <v>44194</v>
      </c>
      <c r="I132" s="80" t="s">
        <v>3786</v>
      </c>
      <c r="J132" s="80" t="s">
        <v>3787</v>
      </c>
      <c r="K132" s="80" t="s">
        <v>2105</v>
      </c>
      <c r="L132" s="80" t="s">
        <v>3786</v>
      </c>
      <c r="M132" s="80">
        <v>2016</v>
      </c>
      <c r="N132" s="80" t="s">
        <v>3785</v>
      </c>
      <c r="O132" s="80" t="s">
        <v>3784</v>
      </c>
      <c r="P132" s="84" t="s">
        <v>8</v>
      </c>
      <c r="Q132" s="84">
        <v>150</v>
      </c>
      <c r="R132" s="84" t="s">
        <v>3783</v>
      </c>
      <c r="S132" s="84" t="s">
        <v>8</v>
      </c>
      <c r="T132" s="84">
        <v>200</v>
      </c>
      <c r="U132" s="84" t="s">
        <v>3782</v>
      </c>
      <c r="V132" s="84" t="s">
        <v>18</v>
      </c>
      <c r="W132" s="84">
        <v>50</v>
      </c>
      <c r="X132" s="84" t="s">
        <v>3781</v>
      </c>
      <c r="Y132" s="84" t="s">
        <v>5</v>
      </c>
      <c r="Z132" s="84">
        <v>30</v>
      </c>
      <c r="AA132" s="84" t="s">
        <v>3780</v>
      </c>
      <c r="AB132" s="181" t="s">
        <v>6687</v>
      </c>
      <c r="AD132" s="181" t="s">
        <v>6683</v>
      </c>
      <c r="AE132" s="25" t="s">
        <v>3779</v>
      </c>
      <c r="AF132" s="71">
        <v>3.8457999999999999E-2</v>
      </c>
      <c r="AG132" s="69">
        <v>0.11388888888888889</v>
      </c>
    </row>
    <row r="133" spans="1:34" s="12" customFormat="1" x14ac:dyDescent="0.15">
      <c r="A133" s="80"/>
      <c r="B133" s="80" t="s">
        <v>3405</v>
      </c>
      <c r="C133" s="81" t="s">
        <v>1693</v>
      </c>
      <c r="D133" s="82">
        <v>200</v>
      </c>
      <c r="E133" s="80" t="s">
        <v>18</v>
      </c>
      <c r="F133" s="82">
        <v>45</v>
      </c>
      <c r="G133" s="82">
        <f>+F133</f>
        <v>45</v>
      </c>
      <c r="H133" s="27">
        <v>44159</v>
      </c>
      <c r="I133" s="80" t="s">
        <v>3404</v>
      </c>
      <c r="J133" s="80" t="s">
        <v>3403</v>
      </c>
      <c r="K133" s="80" t="s">
        <v>2050</v>
      </c>
      <c r="L133" s="80" t="s">
        <v>2067</v>
      </c>
      <c r="M133" s="80">
        <v>2015</v>
      </c>
      <c r="N133" s="80"/>
      <c r="O133" s="80" t="s">
        <v>3402</v>
      </c>
      <c r="P133" s="84" t="s">
        <v>7</v>
      </c>
      <c r="Q133" s="84" t="s">
        <v>1</v>
      </c>
      <c r="R133" s="84" t="s">
        <v>3401</v>
      </c>
      <c r="S133" s="84" t="s">
        <v>5</v>
      </c>
      <c r="T133" s="84" t="s">
        <v>1</v>
      </c>
      <c r="U133" s="84" t="s">
        <v>3400</v>
      </c>
      <c r="V133" s="84" t="s">
        <v>4</v>
      </c>
      <c r="W133" s="84" t="s">
        <v>1</v>
      </c>
      <c r="X133" s="84" t="s">
        <v>3399</v>
      </c>
      <c r="Y133" s="84" t="s">
        <v>4</v>
      </c>
      <c r="Z133" s="84" t="s">
        <v>1</v>
      </c>
      <c r="AA133" s="84" t="s">
        <v>3398</v>
      </c>
      <c r="AB133" s="80" t="s">
        <v>3397</v>
      </c>
      <c r="AC133" s="80"/>
      <c r="AD133" s="80"/>
      <c r="AE133" s="25" t="s">
        <v>5136</v>
      </c>
      <c r="AF133" s="70">
        <v>2.3637999999999999E-2</v>
      </c>
      <c r="AG133" s="76">
        <v>6.3194444444444442E-2</v>
      </c>
      <c r="AH133" s="80"/>
    </row>
    <row r="134" spans="1:34" x14ac:dyDescent="0.15">
      <c r="B134" s="80" t="s">
        <v>892</v>
      </c>
      <c r="C134" s="81" t="s">
        <v>1693</v>
      </c>
      <c r="D134" s="82">
        <v>150</v>
      </c>
      <c r="E134" s="80" t="s">
        <v>7</v>
      </c>
      <c r="F134" s="82">
        <v>40</v>
      </c>
      <c r="G134" s="82">
        <f>+F134+Q134</f>
        <v>54</v>
      </c>
      <c r="H134" s="85">
        <v>44650</v>
      </c>
      <c r="K134" s="80" t="s">
        <v>2050</v>
      </c>
      <c r="L134" s="80" t="s">
        <v>2237</v>
      </c>
      <c r="M134" s="92">
        <v>43361</v>
      </c>
      <c r="O134" s="80" t="s">
        <v>3330</v>
      </c>
      <c r="P134" s="84" t="s">
        <v>5</v>
      </c>
      <c r="Q134" s="84">
        <v>14</v>
      </c>
      <c r="R134" s="84" t="s">
        <v>3329</v>
      </c>
      <c r="S134" s="84" t="s">
        <v>1</v>
      </c>
      <c r="T134" s="84" t="s">
        <v>1</v>
      </c>
      <c r="U134" s="84" t="s">
        <v>1</v>
      </c>
      <c r="V134" s="84" t="s">
        <v>1</v>
      </c>
      <c r="W134" s="84" t="s">
        <v>1</v>
      </c>
      <c r="X134" s="84" t="s">
        <v>1</v>
      </c>
      <c r="Y134" s="84" t="s">
        <v>1</v>
      </c>
      <c r="Z134" s="84" t="s">
        <v>1</v>
      </c>
      <c r="AA134" s="84" t="s">
        <v>1</v>
      </c>
      <c r="AB134" s="80" t="s">
        <v>2369</v>
      </c>
      <c r="AE134" s="25" t="s">
        <v>5150</v>
      </c>
      <c r="AF134" s="70">
        <v>5.2790999999999998E-2</v>
      </c>
      <c r="AG134" s="76">
        <v>0.14861111111111111</v>
      </c>
    </row>
    <row r="135" spans="1:34" s="192" customFormat="1" x14ac:dyDescent="0.15">
      <c r="A135" s="80"/>
      <c r="B135" s="80" t="s">
        <v>3350</v>
      </c>
      <c r="C135" s="81" t="s">
        <v>1693</v>
      </c>
      <c r="D135" s="239">
        <v>150</v>
      </c>
      <c r="E135" s="80" t="s">
        <v>5</v>
      </c>
      <c r="F135" s="82">
        <v>21</v>
      </c>
      <c r="G135" s="82">
        <f>+F135+Q135</f>
        <v>26</v>
      </c>
      <c r="H135" s="85">
        <v>45027</v>
      </c>
      <c r="I135" s="80" t="s">
        <v>3349</v>
      </c>
      <c r="J135" s="80" t="s">
        <v>3348</v>
      </c>
      <c r="K135" s="34" t="s">
        <v>2050</v>
      </c>
      <c r="L135" s="34" t="s">
        <v>2463</v>
      </c>
      <c r="M135" s="91">
        <v>44562</v>
      </c>
      <c r="N135" s="80" t="s">
        <v>3347</v>
      </c>
      <c r="O135" s="80" t="s">
        <v>3346</v>
      </c>
      <c r="P135" s="84" t="s">
        <v>4</v>
      </c>
      <c r="Q135" s="84">
        <v>5</v>
      </c>
      <c r="R135" s="84" t="s">
        <v>3345</v>
      </c>
      <c r="S135" s="84" t="s">
        <v>1</v>
      </c>
      <c r="T135" s="84" t="s">
        <v>1</v>
      </c>
      <c r="U135" s="84" t="s">
        <v>1</v>
      </c>
      <c r="V135" s="84" t="s">
        <v>1</v>
      </c>
      <c r="W135" s="84" t="s">
        <v>1</v>
      </c>
      <c r="X135" s="84" t="s">
        <v>1</v>
      </c>
      <c r="Y135" s="84" t="s">
        <v>1</v>
      </c>
      <c r="Z135" s="84" t="s">
        <v>1</v>
      </c>
      <c r="AA135" s="84" t="s">
        <v>1</v>
      </c>
      <c r="AB135" s="80" t="s">
        <v>2369</v>
      </c>
      <c r="AC135" s="80"/>
      <c r="AD135" s="80"/>
      <c r="AE135" s="25" t="s">
        <v>5146</v>
      </c>
      <c r="AF135" s="70">
        <v>5.7058999999999999E-2</v>
      </c>
      <c r="AG135" s="76">
        <v>5.9722222222222225E-2</v>
      </c>
      <c r="AH135" s="80"/>
    </row>
    <row r="136" spans="1:34" x14ac:dyDescent="0.15">
      <c r="B136" s="80" t="s">
        <v>797</v>
      </c>
      <c r="C136" s="81" t="s">
        <v>1693</v>
      </c>
      <c r="D136" s="82">
        <v>150</v>
      </c>
      <c r="E136" s="80" t="s">
        <v>7</v>
      </c>
      <c r="F136" s="82">
        <v>60</v>
      </c>
      <c r="G136" s="82">
        <f>+F136+Q136+T136</f>
        <v>77.7</v>
      </c>
      <c r="H136" s="85">
        <v>45036</v>
      </c>
      <c r="I136" s="80" t="s">
        <v>3360</v>
      </c>
      <c r="K136" s="80" t="s">
        <v>2576</v>
      </c>
      <c r="L136" s="80" t="s">
        <v>3359</v>
      </c>
      <c r="M136" s="92" t="s">
        <v>2989</v>
      </c>
      <c r="O136" s="80" t="s">
        <v>3358</v>
      </c>
      <c r="P136" s="84" t="s">
        <v>5</v>
      </c>
      <c r="Q136" s="84">
        <v>16.5</v>
      </c>
      <c r="R136" s="84" t="s">
        <v>3357</v>
      </c>
      <c r="S136" s="84" t="s">
        <v>4</v>
      </c>
      <c r="T136" s="84">
        <v>1.2</v>
      </c>
      <c r="U136" s="84" t="s">
        <v>3356</v>
      </c>
      <c r="V136" s="84" t="s">
        <v>1</v>
      </c>
      <c r="W136" s="84" t="s">
        <v>1</v>
      </c>
      <c r="X136" s="84" t="s">
        <v>1</v>
      </c>
      <c r="Y136" s="84" t="s">
        <v>1</v>
      </c>
      <c r="Z136" s="84" t="s">
        <v>1</v>
      </c>
      <c r="AA136" s="84" t="s">
        <v>1</v>
      </c>
      <c r="AB136" s="80" t="s">
        <v>3355</v>
      </c>
      <c r="AE136" s="25" t="s">
        <v>5144</v>
      </c>
      <c r="AF136" s="70">
        <v>0.20650399999999999</v>
      </c>
      <c r="AG136" s="76">
        <v>0.22708333333333333</v>
      </c>
    </row>
    <row r="137" spans="1:34" x14ac:dyDescent="0.15">
      <c r="B137" s="80" t="s">
        <v>313</v>
      </c>
      <c r="C137" s="81" t="s">
        <v>1693</v>
      </c>
      <c r="D137" s="82">
        <v>150</v>
      </c>
      <c r="E137" s="80" t="s">
        <v>5</v>
      </c>
      <c r="F137" s="82">
        <v>57</v>
      </c>
      <c r="G137" s="82">
        <f>+F137</f>
        <v>57</v>
      </c>
      <c r="H137" s="85">
        <v>44508</v>
      </c>
      <c r="I137" s="80" t="s">
        <v>3317</v>
      </c>
      <c r="J137" s="80" t="s">
        <v>3316</v>
      </c>
      <c r="K137" s="80" t="s">
        <v>2050</v>
      </c>
      <c r="L137" s="80" t="s">
        <v>2633</v>
      </c>
      <c r="M137" s="80">
        <v>2017</v>
      </c>
      <c r="O137" s="80" t="s">
        <v>3315</v>
      </c>
      <c r="P137" s="84" t="s">
        <v>4</v>
      </c>
      <c r="Q137" s="84" t="s">
        <v>1</v>
      </c>
      <c r="R137" s="84" t="s">
        <v>3314</v>
      </c>
      <c r="S137" s="84" t="s">
        <v>1</v>
      </c>
      <c r="T137" s="84" t="s">
        <v>1</v>
      </c>
      <c r="U137" s="84" t="s">
        <v>1</v>
      </c>
      <c r="V137" s="84" t="s">
        <v>1</v>
      </c>
      <c r="W137" s="84" t="s">
        <v>1</v>
      </c>
      <c r="X137" s="84" t="s">
        <v>1</v>
      </c>
      <c r="Y137" s="84" t="s">
        <v>1</v>
      </c>
      <c r="Z137" s="84" t="s">
        <v>1</v>
      </c>
      <c r="AA137" s="84" t="s">
        <v>1</v>
      </c>
      <c r="AB137" s="80" t="s">
        <v>2159</v>
      </c>
      <c r="AE137" s="25" t="s">
        <v>5153</v>
      </c>
      <c r="AF137" s="70">
        <v>4.4072E-2</v>
      </c>
      <c r="AG137" s="76">
        <v>0.21875</v>
      </c>
    </row>
    <row r="138" spans="1:34" s="12" customFormat="1" x14ac:dyDescent="0.15">
      <c r="B138" s="12" t="s">
        <v>447</v>
      </c>
      <c r="C138" s="29" t="s">
        <v>1693</v>
      </c>
      <c r="D138" s="15">
        <v>150</v>
      </c>
      <c r="E138" s="12" t="s">
        <v>7</v>
      </c>
      <c r="F138" s="15">
        <v>30</v>
      </c>
      <c r="G138" s="15">
        <f>+F138+Q138+T138+W138</f>
        <v>63.12</v>
      </c>
      <c r="H138" s="14">
        <v>44756</v>
      </c>
      <c r="I138" s="12" t="s">
        <v>3340</v>
      </c>
      <c r="J138" s="12" t="s">
        <v>3339</v>
      </c>
      <c r="K138" s="12" t="s">
        <v>2050</v>
      </c>
      <c r="L138" s="12" t="s">
        <v>3338</v>
      </c>
      <c r="M138" s="12">
        <v>2017</v>
      </c>
      <c r="O138" s="12" t="s">
        <v>3337</v>
      </c>
      <c r="P138" s="24" t="s">
        <v>5</v>
      </c>
      <c r="Q138" s="24">
        <v>28</v>
      </c>
      <c r="R138" s="24" t="s">
        <v>3336</v>
      </c>
      <c r="S138" s="24" t="s">
        <v>4</v>
      </c>
      <c r="T138" s="24">
        <v>5</v>
      </c>
      <c r="U138" s="24" t="s">
        <v>3335</v>
      </c>
      <c r="V138" s="24" t="s">
        <v>4</v>
      </c>
      <c r="W138" s="24">
        <v>0.12</v>
      </c>
      <c r="X138" s="24" t="s">
        <v>1069</v>
      </c>
      <c r="Y138" s="24" t="s">
        <v>1</v>
      </c>
      <c r="Z138" s="24" t="s">
        <v>1</v>
      </c>
      <c r="AA138" s="24" t="s">
        <v>1</v>
      </c>
      <c r="AB138" s="12" t="s">
        <v>2053</v>
      </c>
      <c r="AE138" s="37" t="s">
        <v>5148</v>
      </c>
      <c r="AF138" s="72">
        <v>0.72334200000000004</v>
      </c>
      <c r="AG138" s="78">
        <v>0.14722222222222223</v>
      </c>
    </row>
    <row r="139" spans="1:34" x14ac:dyDescent="0.15">
      <c r="B139" s="80" t="s">
        <v>895</v>
      </c>
      <c r="C139" s="81" t="s">
        <v>1693</v>
      </c>
      <c r="D139" s="82">
        <v>150</v>
      </c>
      <c r="E139" s="80" t="s">
        <v>7</v>
      </c>
      <c r="F139" s="82">
        <v>40</v>
      </c>
      <c r="G139" s="82">
        <f>+F139+Q139</f>
        <v>58.6</v>
      </c>
      <c r="H139" s="85">
        <v>44728</v>
      </c>
      <c r="I139" s="80" t="s">
        <v>3334</v>
      </c>
      <c r="K139" s="80" t="s">
        <v>2576</v>
      </c>
      <c r="L139" s="80" t="s">
        <v>2061</v>
      </c>
      <c r="M139" s="92" t="s">
        <v>2989</v>
      </c>
      <c r="O139" s="80" t="s">
        <v>3333</v>
      </c>
      <c r="P139" s="84" t="s">
        <v>5</v>
      </c>
      <c r="Q139" s="84">
        <v>18.600000000000001</v>
      </c>
      <c r="R139" s="84" t="s">
        <v>3332</v>
      </c>
      <c r="S139" s="84" t="s">
        <v>4</v>
      </c>
      <c r="T139" s="84" t="s">
        <v>1</v>
      </c>
      <c r="U139" s="84" t="s">
        <v>3331</v>
      </c>
      <c r="V139" s="84" t="s">
        <v>1</v>
      </c>
      <c r="W139" s="84" t="s">
        <v>1</v>
      </c>
      <c r="X139" s="84" t="s">
        <v>1</v>
      </c>
      <c r="Y139" s="80" t="s">
        <v>1</v>
      </c>
      <c r="Z139" s="84" t="s">
        <v>1</v>
      </c>
      <c r="AA139" s="84" t="s">
        <v>1</v>
      </c>
      <c r="AB139" s="80" t="s">
        <v>2060</v>
      </c>
      <c r="AE139" s="25" t="s">
        <v>5149</v>
      </c>
      <c r="AF139" s="70">
        <v>0.522698</v>
      </c>
      <c r="AG139" s="76">
        <v>0.17500000000000002</v>
      </c>
    </row>
    <row r="140" spans="1:34" x14ac:dyDescent="0.15">
      <c r="B140" s="80" t="s">
        <v>865</v>
      </c>
      <c r="C140" s="81" t="s">
        <v>1693</v>
      </c>
      <c r="D140" s="82">
        <v>150</v>
      </c>
      <c r="E140" s="80" t="s">
        <v>7</v>
      </c>
      <c r="F140" s="82">
        <v>50</v>
      </c>
      <c r="G140" s="82">
        <f>+F140+Q140</f>
        <v>60</v>
      </c>
      <c r="H140" s="85">
        <v>44628</v>
      </c>
      <c r="I140" s="80" t="s">
        <v>3354</v>
      </c>
      <c r="K140" s="80" t="s">
        <v>2576</v>
      </c>
      <c r="L140" s="80" t="s">
        <v>2172</v>
      </c>
      <c r="M140" s="92">
        <v>43647</v>
      </c>
      <c r="O140" s="80" t="s">
        <v>3353</v>
      </c>
      <c r="P140" s="84" t="s">
        <v>5</v>
      </c>
      <c r="Q140" s="84">
        <v>10</v>
      </c>
      <c r="R140" s="84" t="s">
        <v>3352</v>
      </c>
      <c r="S140" s="84" t="s">
        <v>4</v>
      </c>
      <c r="T140" s="84" t="s">
        <v>1</v>
      </c>
      <c r="U140" s="84" t="s">
        <v>3351</v>
      </c>
      <c r="V140" s="84" t="s">
        <v>1</v>
      </c>
      <c r="W140" s="84" t="s">
        <v>1</v>
      </c>
      <c r="X140" s="84" t="s">
        <v>1</v>
      </c>
      <c r="Y140" s="84" t="s">
        <v>1</v>
      </c>
      <c r="Z140" s="84" t="s">
        <v>1</v>
      </c>
      <c r="AA140" s="84" t="s">
        <v>1</v>
      </c>
      <c r="AB140" s="80" t="s">
        <v>2442</v>
      </c>
      <c r="AE140" s="25" t="s">
        <v>5145</v>
      </c>
      <c r="AF140" s="70">
        <v>0</v>
      </c>
      <c r="AG140" s="76">
        <v>0.16597222222222222</v>
      </c>
    </row>
    <row r="141" spans="1:34" s="192" customFormat="1" x14ac:dyDescent="0.15">
      <c r="A141" s="80"/>
      <c r="B141" s="168" t="s">
        <v>2051</v>
      </c>
      <c r="C141" s="173" t="s">
        <v>1693</v>
      </c>
      <c r="D141" s="170">
        <v>150</v>
      </c>
      <c r="E141" s="168" t="s">
        <v>7</v>
      </c>
      <c r="F141" s="170">
        <v>50</v>
      </c>
      <c r="G141" s="170">
        <f>F141+Q141+T141</f>
        <v>63</v>
      </c>
      <c r="H141" s="171">
        <v>44252</v>
      </c>
      <c r="I141" s="168" t="s">
        <v>6424</v>
      </c>
      <c r="J141" s="168" t="s">
        <v>6417</v>
      </c>
      <c r="K141" s="168" t="s">
        <v>2050</v>
      </c>
      <c r="L141" s="168" t="s">
        <v>2049</v>
      </c>
      <c r="M141" s="174">
        <v>42401</v>
      </c>
      <c r="N141" s="168"/>
      <c r="O141" s="168" t="s">
        <v>6419</v>
      </c>
      <c r="P141" s="172" t="s">
        <v>5</v>
      </c>
      <c r="Q141" s="172">
        <v>10</v>
      </c>
      <c r="R141" s="172" t="s">
        <v>6425</v>
      </c>
      <c r="S141" s="172" t="s">
        <v>4</v>
      </c>
      <c r="T141" s="172">
        <v>3</v>
      </c>
      <c r="U141" s="172" t="s">
        <v>6427</v>
      </c>
      <c r="V141" s="172" t="s">
        <v>1</v>
      </c>
      <c r="W141" s="172" t="s">
        <v>1</v>
      </c>
      <c r="X141" s="172" t="s">
        <v>1</v>
      </c>
      <c r="Y141" s="172" t="s">
        <v>1</v>
      </c>
      <c r="Z141" s="172" t="s">
        <v>1</v>
      </c>
      <c r="AA141" s="172" t="s">
        <v>1</v>
      </c>
      <c r="AB141" s="168" t="s">
        <v>2048</v>
      </c>
      <c r="AC141" s="168"/>
      <c r="AD141" s="168"/>
      <c r="AE141" s="25" t="s">
        <v>2047</v>
      </c>
      <c r="AF141" s="71"/>
      <c r="AG141" s="66"/>
      <c r="AH141" s="168"/>
    </row>
    <row r="142" spans="1:34" s="192" customFormat="1" x14ac:dyDescent="0.15">
      <c r="A142" s="80"/>
      <c r="B142" s="168" t="s">
        <v>2046</v>
      </c>
      <c r="C142" s="173" t="s">
        <v>1693</v>
      </c>
      <c r="D142" s="170">
        <v>150</v>
      </c>
      <c r="E142" s="168" t="s">
        <v>7</v>
      </c>
      <c r="F142" s="170">
        <v>42</v>
      </c>
      <c r="G142" s="170">
        <f>F142+Q142+T142</f>
        <v>60.3</v>
      </c>
      <c r="H142" s="171">
        <v>44831</v>
      </c>
      <c r="I142" s="168" t="s">
        <v>6432</v>
      </c>
      <c r="J142" s="168" t="s">
        <v>6431</v>
      </c>
      <c r="K142" s="168" t="s">
        <v>2050</v>
      </c>
      <c r="L142" s="168" t="s">
        <v>2061</v>
      </c>
      <c r="M142" s="168">
        <v>2018</v>
      </c>
      <c r="N142" s="168"/>
      <c r="O142" s="168" t="s">
        <v>6433</v>
      </c>
      <c r="P142" s="172" t="s">
        <v>5</v>
      </c>
      <c r="Q142" s="172">
        <v>15</v>
      </c>
      <c r="R142" s="172" t="s">
        <v>6438</v>
      </c>
      <c r="S142" s="172" t="s">
        <v>4</v>
      </c>
      <c r="T142" s="172">
        <v>3.3</v>
      </c>
      <c r="U142" s="172" t="s">
        <v>6440</v>
      </c>
      <c r="V142" s="172" t="s">
        <v>1</v>
      </c>
      <c r="W142" s="172" t="s">
        <v>1</v>
      </c>
      <c r="X142" s="172" t="s">
        <v>1</v>
      </c>
      <c r="Y142" s="172" t="s">
        <v>1</v>
      </c>
      <c r="Z142" s="172" t="s">
        <v>1</v>
      </c>
      <c r="AA142" s="172" t="s">
        <v>1</v>
      </c>
      <c r="AB142" s="168" t="s">
        <v>2060</v>
      </c>
      <c r="AC142" s="168"/>
      <c r="AD142" s="168"/>
      <c r="AE142" s="25" t="s">
        <v>6430</v>
      </c>
      <c r="AF142" s="70"/>
      <c r="AG142" s="65"/>
      <c r="AH142" s="168"/>
    </row>
    <row r="143" spans="1:34" x14ac:dyDescent="0.15">
      <c r="B143" s="80" t="s">
        <v>1071</v>
      </c>
      <c r="C143" s="81" t="s">
        <v>1693</v>
      </c>
      <c r="D143" s="82">
        <v>150</v>
      </c>
      <c r="E143" s="80" t="s">
        <v>7</v>
      </c>
      <c r="F143" s="82">
        <v>18</v>
      </c>
      <c r="G143" s="82">
        <f>+F143+Q143</f>
        <v>36.5</v>
      </c>
      <c r="H143" s="85">
        <v>44831</v>
      </c>
      <c r="I143" s="80" t="s">
        <v>3344</v>
      </c>
      <c r="J143" s="80" t="s">
        <v>3343</v>
      </c>
      <c r="K143" s="80" t="s">
        <v>2050</v>
      </c>
      <c r="L143" s="80" t="s">
        <v>2237</v>
      </c>
      <c r="M143" s="80">
        <v>2021</v>
      </c>
      <c r="O143" s="80" t="s">
        <v>3342</v>
      </c>
      <c r="P143" s="84" t="s">
        <v>5</v>
      </c>
      <c r="Q143" s="84">
        <v>18.5</v>
      </c>
      <c r="R143" s="84" t="s">
        <v>3341</v>
      </c>
      <c r="S143" s="84" t="s">
        <v>1</v>
      </c>
      <c r="T143" s="84" t="s">
        <v>1</v>
      </c>
      <c r="U143" s="84" t="s">
        <v>1</v>
      </c>
      <c r="V143" s="84" t="s">
        <v>1</v>
      </c>
      <c r="W143" s="84" t="s">
        <v>1</v>
      </c>
      <c r="X143" s="84" t="s">
        <v>1</v>
      </c>
      <c r="Y143" s="84" t="s">
        <v>1</v>
      </c>
      <c r="Z143" s="84" t="s">
        <v>1</v>
      </c>
      <c r="AA143" s="84" t="s">
        <v>1</v>
      </c>
      <c r="AB143" s="80" t="s">
        <v>2048</v>
      </c>
      <c r="AE143" s="25" t="s">
        <v>5147</v>
      </c>
      <c r="AF143" s="70">
        <v>1.3032E-2</v>
      </c>
      <c r="AG143" s="76">
        <v>6.458333333333334E-2</v>
      </c>
    </row>
    <row r="144" spans="1:34" x14ac:dyDescent="0.15">
      <c r="B144" s="80" t="s">
        <v>526</v>
      </c>
      <c r="C144" s="81" t="s">
        <v>1693</v>
      </c>
      <c r="D144" s="82">
        <v>125</v>
      </c>
      <c r="E144" s="80" t="s">
        <v>7</v>
      </c>
      <c r="F144" s="82">
        <v>32</v>
      </c>
      <c r="G144" s="82">
        <f>+F144+Q144+T144</f>
        <v>45.2</v>
      </c>
      <c r="H144" s="27">
        <v>44364</v>
      </c>
      <c r="I144" s="80" t="s">
        <v>2744</v>
      </c>
      <c r="J144" s="80" t="s">
        <v>3308</v>
      </c>
      <c r="K144" s="80" t="s">
        <v>2050</v>
      </c>
      <c r="L144" s="80" t="s">
        <v>2061</v>
      </c>
      <c r="M144" s="80">
        <v>2018</v>
      </c>
      <c r="O144" s="80" t="s">
        <v>3307</v>
      </c>
      <c r="P144" s="84" t="s">
        <v>5</v>
      </c>
      <c r="Q144" s="84">
        <v>10.199999999999999</v>
      </c>
      <c r="R144" s="84" t="s">
        <v>3306</v>
      </c>
      <c r="S144" s="84" t="s">
        <v>4</v>
      </c>
      <c r="T144" s="84">
        <v>3</v>
      </c>
      <c r="U144" s="84" t="s">
        <v>3305</v>
      </c>
      <c r="V144" s="84" t="s">
        <v>1</v>
      </c>
      <c r="W144" s="84" t="s">
        <v>1</v>
      </c>
      <c r="X144" s="84" t="s">
        <v>1</v>
      </c>
      <c r="Y144" s="84" t="s">
        <v>1</v>
      </c>
      <c r="Z144" s="84" t="s">
        <v>1</v>
      </c>
      <c r="AA144" s="84" t="s">
        <v>1</v>
      </c>
      <c r="AB144" s="80" t="s">
        <v>2159</v>
      </c>
      <c r="AE144" s="25" t="s">
        <v>5155</v>
      </c>
      <c r="AF144" s="70">
        <v>2.0410999999999999E-2</v>
      </c>
      <c r="AG144" s="76">
        <v>5.5555555555555552E-2</v>
      </c>
    </row>
    <row r="145" spans="1:34" s="192" customFormat="1" x14ac:dyDescent="0.15">
      <c r="A145" s="80"/>
      <c r="B145" s="80" t="s">
        <v>844</v>
      </c>
      <c r="C145" s="81" t="s">
        <v>1693</v>
      </c>
      <c r="D145" s="82">
        <v>125</v>
      </c>
      <c r="E145" s="80" t="s">
        <v>5</v>
      </c>
      <c r="F145" s="82">
        <v>44</v>
      </c>
      <c r="G145" s="82">
        <f>+F145</f>
        <v>44</v>
      </c>
      <c r="H145" s="85">
        <v>44671</v>
      </c>
      <c r="I145" s="80" t="s">
        <v>3312</v>
      </c>
      <c r="J145" s="80" t="s">
        <v>3313</v>
      </c>
      <c r="K145" s="80" t="s">
        <v>2576</v>
      </c>
      <c r="L145" s="80" t="s">
        <v>2084</v>
      </c>
      <c r="M145" s="92" t="s">
        <v>2989</v>
      </c>
      <c r="N145" s="80" t="s">
        <v>3312</v>
      </c>
      <c r="O145" s="80" t="s">
        <v>3311</v>
      </c>
      <c r="P145" s="84" t="s">
        <v>3310</v>
      </c>
      <c r="Q145" s="80" t="s">
        <v>1</v>
      </c>
      <c r="R145" s="84" t="s">
        <v>3309</v>
      </c>
      <c r="S145" s="80" t="s">
        <v>1</v>
      </c>
      <c r="T145" s="80" t="s">
        <v>1</v>
      </c>
      <c r="U145" s="84" t="s">
        <v>1</v>
      </c>
      <c r="V145" s="84" t="s">
        <v>1</v>
      </c>
      <c r="W145" s="84" t="s">
        <v>1</v>
      </c>
      <c r="X145" s="84" t="s">
        <v>1</v>
      </c>
      <c r="Y145" s="80" t="s">
        <v>1</v>
      </c>
      <c r="Z145" s="84" t="s">
        <v>1</v>
      </c>
      <c r="AA145" s="84" t="s">
        <v>1</v>
      </c>
      <c r="AB145" s="80" t="s">
        <v>2369</v>
      </c>
      <c r="AC145" s="80"/>
      <c r="AD145" s="80"/>
      <c r="AE145" s="25" t="s">
        <v>5154</v>
      </c>
      <c r="AF145" s="70">
        <v>0</v>
      </c>
      <c r="AG145" s="76">
        <v>0.1451388888888889</v>
      </c>
      <c r="AH145" s="80"/>
    </row>
    <row r="146" spans="1:34" x14ac:dyDescent="0.15">
      <c r="B146" s="80" t="s">
        <v>3320</v>
      </c>
      <c r="C146" s="81" t="s">
        <v>1693</v>
      </c>
      <c r="D146" s="82">
        <v>125</v>
      </c>
      <c r="E146" s="80" t="s">
        <v>5</v>
      </c>
      <c r="F146" s="82">
        <v>65</v>
      </c>
      <c r="G146" s="82">
        <f>+F146</f>
        <v>65</v>
      </c>
      <c r="H146" s="27">
        <v>44287</v>
      </c>
      <c r="I146" s="80" t="s">
        <v>3319</v>
      </c>
      <c r="J146" s="80" t="s">
        <v>3318</v>
      </c>
      <c r="K146" s="80" t="s">
        <v>2315</v>
      </c>
      <c r="L146" s="80" t="s">
        <v>2772</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3048</v>
      </c>
      <c r="AE146" s="25" t="s">
        <v>5152</v>
      </c>
      <c r="AF146" s="70">
        <v>0.121147</v>
      </c>
      <c r="AG146" s="76">
        <v>0.34652777777777777</v>
      </c>
    </row>
    <row r="147" spans="1:34" s="12" customFormat="1" x14ac:dyDescent="0.15">
      <c r="A147" s="80"/>
      <c r="B147" s="12" t="s">
        <v>3304</v>
      </c>
      <c r="C147" s="29" t="s">
        <v>1693</v>
      </c>
      <c r="D147" s="15">
        <v>125</v>
      </c>
      <c r="E147" s="12" t="s">
        <v>5</v>
      </c>
      <c r="F147" s="15">
        <v>20</v>
      </c>
      <c r="G147" s="82">
        <f>+F147</f>
        <v>20</v>
      </c>
      <c r="H147" s="14">
        <v>44854</v>
      </c>
      <c r="I147" s="12" t="s">
        <v>3303</v>
      </c>
      <c r="J147" s="12" t="s">
        <v>3302</v>
      </c>
      <c r="K147" s="12" t="s">
        <v>2322</v>
      </c>
      <c r="L147" s="12" t="s">
        <v>3183</v>
      </c>
      <c r="M147" s="12">
        <v>2021</v>
      </c>
      <c r="O147" s="12" t="s">
        <v>3301</v>
      </c>
      <c r="P147" s="24" t="s">
        <v>4</v>
      </c>
      <c r="Q147" s="24" t="s">
        <v>1</v>
      </c>
      <c r="R147" s="24" t="s">
        <v>2703</v>
      </c>
      <c r="S147" s="24" t="s">
        <v>1</v>
      </c>
      <c r="T147" s="24" t="s">
        <v>1</v>
      </c>
      <c r="U147" s="24" t="s">
        <v>1</v>
      </c>
      <c r="V147" s="24" t="s">
        <v>1</v>
      </c>
      <c r="W147" s="24" t="s">
        <v>1</v>
      </c>
      <c r="X147" s="24" t="s">
        <v>1</v>
      </c>
      <c r="Y147" s="24" t="s">
        <v>1</v>
      </c>
      <c r="Z147" s="24" t="s">
        <v>1</v>
      </c>
      <c r="AA147" s="24" t="s">
        <v>1</v>
      </c>
      <c r="AB147" s="12" t="s">
        <v>2369</v>
      </c>
      <c r="AE147" s="25" t="s">
        <v>5156</v>
      </c>
      <c r="AF147" s="72">
        <v>2.4740999999999999E-2</v>
      </c>
      <c r="AG147" s="78">
        <v>0.14444444444444446</v>
      </c>
    </row>
    <row r="148" spans="1:34" x14ac:dyDescent="0.15">
      <c r="B148" s="80" t="s">
        <v>985</v>
      </c>
      <c r="C148" s="81" t="s">
        <v>1693</v>
      </c>
      <c r="D148" s="82">
        <v>125</v>
      </c>
      <c r="E148" s="80" t="s">
        <v>7</v>
      </c>
      <c r="F148" s="82">
        <v>38</v>
      </c>
      <c r="G148" s="82">
        <f>+F148+Q148+T148</f>
        <v>61</v>
      </c>
      <c r="H148" s="85">
        <v>44812</v>
      </c>
      <c r="I148" s="80" t="s">
        <v>3128</v>
      </c>
      <c r="J148" s="80" t="s">
        <v>3300</v>
      </c>
      <c r="K148" s="80" t="s">
        <v>2576</v>
      </c>
      <c r="L148" s="80" t="s">
        <v>2061</v>
      </c>
      <c r="M148" s="92" t="s">
        <v>3136</v>
      </c>
      <c r="O148" s="80" t="s">
        <v>3299</v>
      </c>
      <c r="P148" s="84" t="s">
        <v>5</v>
      </c>
      <c r="Q148" s="84">
        <v>19</v>
      </c>
      <c r="R148" s="84" t="s">
        <v>3298</v>
      </c>
      <c r="S148" s="84" t="s">
        <v>4</v>
      </c>
      <c r="T148" s="84">
        <v>4</v>
      </c>
      <c r="U148" s="84" t="s">
        <v>3297</v>
      </c>
      <c r="V148" s="84" t="s">
        <v>278</v>
      </c>
      <c r="W148" s="84" t="s">
        <v>1</v>
      </c>
      <c r="X148" s="84" t="s">
        <v>1027</v>
      </c>
      <c r="Y148" s="84" t="s">
        <v>1</v>
      </c>
      <c r="Z148" s="84" t="s">
        <v>1</v>
      </c>
      <c r="AA148" s="84" t="s">
        <v>1</v>
      </c>
      <c r="AB148" s="80" t="s">
        <v>2090</v>
      </c>
      <c r="AE148" s="25" t="s">
        <v>5157</v>
      </c>
      <c r="AF148" s="70">
        <v>6.6060999999999995E-2</v>
      </c>
      <c r="AG148" s="76">
        <v>0.1125</v>
      </c>
    </row>
    <row r="149" spans="1:34" x14ac:dyDescent="0.15">
      <c r="B149" s="80" t="s">
        <v>698</v>
      </c>
      <c r="C149" s="81" t="s">
        <v>1693</v>
      </c>
      <c r="D149" s="82">
        <v>110</v>
      </c>
      <c r="E149" s="80" t="s">
        <v>5</v>
      </c>
      <c r="F149" s="82">
        <v>23.5</v>
      </c>
      <c r="G149" s="82">
        <f>+F149+Q149</f>
        <v>29.1</v>
      </c>
      <c r="H149" s="85">
        <v>44875</v>
      </c>
      <c r="I149" s="80" t="s">
        <v>3215</v>
      </c>
      <c r="J149" s="80" t="s">
        <v>3214</v>
      </c>
      <c r="K149" s="80" t="s">
        <v>2050</v>
      </c>
      <c r="L149" s="80" t="s">
        <v>2576</v>
      </c>
      <c r="M149" s="86">
        <v>44292</v>
      </c>
      <c r="O149" s="80" t="s">
        <v>3213</v>
      </c>
      <c r="P149" s="84" t="s">
        <v>4</v>
      </c>
      <c r="Q149" s="84">
        <v>5.6</v>
      </c>
      <c r="R149" s="84" t="s">
        <v>3212</v>
      </c>
      <c r="S149" s="84" t="s">
        <v>278</v>
      </c>
      <c r="T149" s="84" t="s">
        <v>1</v>
      </c>
      <c r="U149" s="84" t="s">
        <v>3211</v>
      </c>
      <c r="V149" s="84" t="s">
        <v>1</v>
      </c>
      <c r="W149" s="84" t="s">
        <v>1</v>
      </c>
      <c r="X149" s="84" t="s">
        <v>1</v>
      </c>
      <c r="Y149" s="84" t="s">
        <v>1</v>
      </c>
      <c r="Z149" s="84" t="s">
        <v>1</v>
      </c>
      <c r="AA149" s="84" t="s">
        <v>1</v>
      </c>
      <c r="AB149" s="80" t="s">
        <v>3210</v>
      </c>
      <c r="AE149" s="25" t="s">
        <v>5184</v>
      </c>
      <c r="AF149" s="70">
        <v>0.63859900000000003</v>
      </c>
      <c r="AG149" s="76">
        <v>0.18611111111111112</v>
      </c>
    </row>
    <row r="150" spans="1:34" x14ac:dyDescent="0.15">
      <c r="B150" s="80" t="s">
        <v>3260</v>
      </c>
      <c r="C150" s="81" t="s">
        <v>1693</v>
      </c>
      <c r="D150" s="82">
        <v>100</v>
      </c>
      <c r="E150" s="80" t="s">
        <v>18</v>
      </c>
      <c r="F150" s="82">
        <v>38</v>
      </c>
      <c r="G150" s="82">
        <f>+F150+Q150+T150+W150</f>
        <v>61.5</v>
      </c>
      <c r="H150" s="85">
        <v>44580</v>
      </c>
      <c r="I150" s="80" t="s">
        <v>3259</v>
      </c>
      <c r="J150" s="80" t="s">
        <v>3258</v>
      </c>
      <c r="K150" s="80" t="s">
        <v>2050</v>
      </c>
      <c r="L150" s="80" t="s">
        <v>3257</v>
      </c>
      <c r="M150" s="80">
        <v>2017</v>
      </c>
      <c r="N150" s="80" t="s">
        <v>3256</v>
      </c>
      <c r="O150" s="80" t="s">
        <v>3255</v>
      </c>
      <c r="P150" s="84" t="s">
        <v>7</v>
      </c>
      <c r="Q150" s="84">
        <v>13.5</v>
      </c>
      <c r="R150" s="84" t="s">
        <v>3254</v>
      </c>
      <c r="S150" s="84" t="s">
        <v>5</v>
      </c>
      <c r="T150" s="84">
        <v>8.4</v>
      </c>
      <c r="U150" s="84" t="s">
        <v>3253</v>
      </c>
      <c r="V150" s="84" t="s">
        <v>4</v>
      </c>
      <c r="W150" s="84">
        <v>1.6</v>
      </c>
      <c r="X150" s="84" t="s">
        <v>3253</v>
      </c>
      <c r="Y150" s="84" t="s">
        <v>1</v>
      </c>
      <c r="Z150" s="84" t="s">
        <v>1</v>
      </c>
      <c r="AA150" s="84" t="s">
        <v>1</v>
      </c>
      <c r="AB150" s="80" t="s">
        <v>3252</v>
      </c>
      <c r="AE150" s="25" t="s">
        <v>5169</v>
      </c>
      <c r="AF150" s="70">
        <v>7.8155000000000002E-2</v>
      </c>
      <c r="AG150" s="76">
        <v>0.47152777777777777</v>
      </c>
    </row>
    <row r="151" spans="1:34" x14ac:dyDescent="0.15">
      <c r="A151" s="192"/>
      <c r="B151" s="192" t="s">
        <v>3095</v>
      </c>
      <c r="C151" s="201" t="s">
        <v>1693</v>
      </c>
      <c r="D151" s="194">
        <v>100</v>
      </c>
      <c r="E151" s="192" t="s">
        <v>5</v>
      </c>
      <c r="F151" s="194">
        <v>21</v>
      </c>
      <c r="G151" s="194"/>
      <c r="H151" s="202">
        <v>44295</v>
      </c>
      <c r="I151" s="192" t="s">
        <v>3094</v>
      </c>
      <c r="J151" s="192" t="s">
        <v>3093</v>
      </c>
      <c r="K151" s="192" t="s">
        <v>2050</v>
      </c>
      <c r="L151" s="192" t="s">
        <v>2067</v>
      </c>
      <c r="M151" s="205">
        <v>43282</v>
      </c>
      <c r="N151" s="192"/>
      <c r="O151" s="192" t="s">
        <v>1</v>
      </c>
      <c r="P151" s="195" t="s">
        <v>4</v>
      </c>
      <c r="Q151" s="195" t="s">
        <v>1</v>
      </c>
      <c r="R151" s="195" t="s">
        <v>3092</v>
      </c>
      <c r="S151" s="195" t="s">
        <v>1</v>
      </c>
      <c r="T151" s="195" t="s">
        <v>1</v>
      </c>
      <c r="U151" s="195" t="s">
        <v>1</v>
      </c>
      <c r="V151" s="195" t="s">
        <v>1</v>
      </c>
      <c r="W151" s="195" t="s">
        <v>1</v>
      </c>
      <c r="X151" s="195" t="s">
        <v>1</v>
      </c>
      <c r="Y151" s="195" t="s">
        <v>1</v>
      </c>
      <c r="Z151" s="195" t="s">
        <v>1</v>
      </c>
      <c r="AA151" s="195" t="s">
        <v>1</v>
      </c>
      <c r="AB151" s="192" t="s">
        <v>2152</v>
      </c>
      <c r="AC151" s="192"/>
      <c r="AD151" s="192"/>
      <c r="AE151" s="25" t="s">
        <v>5227</v>
      </c>
      <c r="AF151" s="70">
        <v>7.8120999999999996E-2</v>
      </c>
      <c r="AG151" s="76">
        <v>4.6527777777777779E-2</v>
      </c>
      <c r="AH151" s="192"/>
    </row>
    <row r="152" spans="1:34" s="192" customFormat="1" x14ac:dyDescent="0.15">
      <c r="B152" s="192" t="s">
        <v>736</v>
      </c>
      <c r="C152" s="201" t="s">
        <v>1693</v>
      </c>
      <c r="D152" s="194">
        <v>100</v>
      </c>
      <c r="E152" s="192" t="s">
        <v>7</v>
      </c>
      <c r="F152" s="194">
        <v>25</v>
      </c>
      <c r="G152" s="194"/>
      <c r="H152" s="202">
        <v>44764</v>
      </c>
      <c r="I152" s="192" t="s">
        <v>3122</v>
      </c>
      <c r="J152" s="192" t="s">
        <v>3121</v>
      </c>
      <c r="K152" s="192" t="s">
        <v>2576</v>
      </c>
      <c r="L152" s="192" t="s">
        <v>2061</v>
      </c>
      <c r="M152" s="205" t="s">
        <v>2989</v>
      </c>
      <c r="O152" s="195" t="s">
        <v>3120</v>
      </c>
      <c r="P152" s="195" t="s">
        <v>5</v>
      </c>
      <c r="Q152" s="195">
        <v>21</v>
      </c>
      <c r="R152" s="195" t="s">
        <v>3119</v>
      </c>
      <c r="S152" s="195" t="s">
        <v>4</v>
      </c>
      <c r="T152" s="195">
        <v>9.1</v>
      </c>
      <c r="U152" s="195" t="s">
        <v>3118</v>
      </c>
      <c r="V152" s="195" t="s">
        <v>1</v>
      </c>
      <c r="W152" s="195" t="s">
        <v>1</v>
      </c>
      <c r="X152" s="195" t="s">
        <v>1</v>
      </c>
      <c r="Y152" s="195" t="s">
        <v>1</v>
      </c>
      <c r="Z152" s="195" t="s">
        <v>1</v>
      </c>
      <c r="AA152" s="195" t="s">
        <v>1</v>
      </c>
      <c r="AB152" s="192" t="s">
        <v>2083</v>
      </c>
      <c r="AE152" s="25" t="s">
        <v>5222</v>
      </c>
      <c r="AF152" s="70">
        <v>5.6669999999999998E-2</v>
      </c>
      <c r="AG152" s="76">
        <v>0.22013888888888888</v>
      </c>
    </row>
    <row r="153" spans="1:34" x14ac:dyDescent="0.15">
      <c r="B153" s="80" t="s">
        <v>3178</v>
      </c>
      <c r="C153" s="81" t="s">
        <v>1693</v>
      </c>
      <c r="D153" s="82">
        <v>100</v>
      </c>
      <c r="E153" s="80" t="s">
        <v>5</v>
      </c>
      <c r="F153" s="82">
        <v>25</v>
      </c>
      <c r="G153" s="82">
        <f>+F153</f>
        <v>25</v>
      </c>
      <c r="H153" s="85">
        <v>44404</v>
      </c>
      <c r="I153" s="80" t="s">
        <v>2396</v>
      </c>
      <c r="J153" s="80" t="s">
        <v>3177</v>
      </c>
      <c r="K153" s="80" t="s">
        <v>2576</v>
      </c>
      <c r="L153" s="80" t="s">
        <v>3176</v>
      </c>
      <c r="M153" s="92">
        <v>43496</v>
      </c>
      <c r="O153" s="34" t="s">
        <v>3175</v>
      </c>
      <c r="P153" s="84" t="s">
        <v>4</v>
      </c>
      <c r="Q153" s="84" t="s">
        <v>3174</v>
      </c>
      <c r="R153" s="84" t="s">
        <v>1</v>
      </c>
      <c r="S153" s="84" t="s">
        <v>1</v>
      </c>
      <c r="T153" s="84" t="s">
        <v>1</v>
      </c>
      <c r="U153" s="84" t="s">
        <v>1</v>
      </c>
      <c r="V153" s="84" t="s">
        <v>1</v>
      </c>
      <c r="W153" s="84" t="s">
        <v>1</v>
      </c>
      <c r="X153" s="84" t="s">
        <v>1</v>
      </c>
      <c r="Y153" s="84" t="s">
        <v>1</v>
      </c>
      <c r="Z153" s="84" t="s">
        <v>1</v>
      </c>
      <c r="AA153" s="84" t="s">
        <v>1</v>
      </c>
      <c r="AB153" s="80" t="s">
        <v>3173</v>
      </c>
      <c r="AE153" s="25" t="s">
        <v>5190</v>
      </c>
      <c r="AF153" s="70">
        <v>4.9446999999999998E-2</v>
      </c>
      <c r="AG153" s="76">
        <v>0.21458333333333335</v>
      </c>
    </row>
    <row r="154" spans="1:34" x14ac:dyDescent="0.15">
      <c r="B154" s="80" t="s">
        <v>780</v>
      </c>
      <c r="C154" s="81" t="s">
        <v>1693</v>
      </c>
      <c r="D154" s="82">
        <v>100</v>
      </c>
      <c r="E154" s="80" t="s">
        <v>5</v>
      </c>
      <c r="F154" s="82">
        <v>30</v>
      </c>
      <c r="G154" s="82">
        <f>+F154+Q154+T154</f>
        <v>40</v>
      </c>
      <c r="H154" s="85">
        <v>44893</v>
      </c>
      <c r="I154" s="80" t="s">
        <v>3151</v>
      </c>
      <c r="J154" s="80" t="s">
        <v>3251</v>
      </c>
      <c r="K154" s="80" t="s">
        <v>2576</v>
      </c>
      <c r="L154" s="80" t="s">
        <v>2061</v>
      </c>
      <c r="M154" s="92">
        <v>43313</v>
      </c>
      <c r="O154" s="80" t="s">
        <v>3250</v>
      </c>
      <c r="P154" s="84" t="s">
        <v>4</v>
      </c>
      <c r="Q154" s="84">
        <v>7</v>
      </c>
      <c r="R154" s="84" t="s">
        <v>1</v>
      </c>
      <c r="S154" s="84" t="s">
        <v>278</v>
      </c>
      <c r="T154" s="84">
        <v>3</v>
      </c>
      <c r="U154" s="84" t="s">
        <v>3249</v>
      </c>
      <c r="V154" s="84" t="s">
        <v>1</v>
      </c>
      <c r="W154" s="84" t="s">
        <v>1</v>
      </c>
      <c r="X154" s="84" t="s">
        <v>1</v>
      </c>
      <c r="Y154" s="84" t="s">
        <v>1</v>
      </c>
      <c r="Z154" s="84" t="s">
        <v>1</v>
      </c>
      <c r="AA154" s="84" t="s">
        <v>1</v>
      </c>
      <c r="AB154" s="80" t="s">
        <v>2099</v>
      </c>
      <c r="AE154" s="25" t="s">
        <v>5101</v>
      </c>
      <c r="AF154" s="70">
        <v>0.32195000000000001</v>
      </c>
      <c r="AG154" s="76">
        <v>0.26874999999999999</v>
      </c>
    </row>
    <row r="155" spans="1:34" x14ac:dyDescent="0.15">
      <c r="B155" s="12" t="s">
        <v>3283</v>
      </c>
      <c r="C155" s="29" t="s">
        <v>1693</v>
      </c>
      <c r="D155" s="15">
        <v>100</v>
      </c>
      <c r="E155" s="12" t="s">
        <v>5</v>
      </c>
      <c r="F155" s="15">
        <v>50</v>
      </c>
      <c r="G155" s="82">
        <f>+F155+Q155+T155</f>
        <v>69.7</v>
      </c>
      <c r="H155" s="14">
        <v>44796</v>
      </c>
      <c r="I155" s="12" t="s">
        <v>3282</v>
      </c>
      <c r="J155" s="12" t="s">
        <v>3281</v>
      </c>
      <c r="K155" s="32" t="s">
        <v>2315</v>
      </c>
      <c r="L155" s="32" t="s">
        <v>3280</v>
      </c>
      <c r="M155" s="30">
        <v>44378</v>
      </c>
      <c r="O155" s="80" t="s">
        <v>3279</v>
      </c>
      <c r="P155" s="84" t="s">
        <v>4</v>
      </c>
      <c r="Q155" s="84">
        <v>12.5</v>
      </c>
      <c r="R155" s="84" t="s">
        <v>3278</v>
      </c>
      <c r="S155" s="84" t="s">
        <v>4</v>
      </c>
      <c r="T155" s="84">
        <v>7.2</v>
      </c>
      <c r="U155" s="84" t="s">
        <v>3277</v>
      </c>
      <c r="V155" s="84" t="s">
        <v>1</v>
      </c>
      <c r="W155" s="84" t="s">
        <v>1</v>
      </c>
      <c r="X155" s="84" t="s">
        <v>1</v>
      </c>
      <c r="Y155" s="84" t="s">
        <v>1</v>
      </c>
      <c r="Z155" s="84" t="s">
        <v>1</v>
      </c>
      <c r="AA155" s="84" t="s">
        <v>1</v>
      </c>
      <c r="AB155" s="80" t="s">
        <v>2369</v>
      </c>
      <c r="AE155" s="25" t="s">
        <v>5160</v>
      </c>
      <c r="AF155" s="70">
        <v>0.36492400000000003</v>
      </c>
      <c r="AG155" s="76">
        <v>0.48680555555555555</v>
      </c>
    </row>
    <row r="156" spans="1:34" x14ac:dyDescent="0.15">
      <c r="B156" s="80" t="s">
        <v>3248</v>
      </c>
      <c r="C156" s="81" t="s">
        <v>1693</v>
      </c>
      <c r="D156" s="82">
        <v>100</v>
      </c>
      <c r="E156" s="80" t="s">
        <v>5</v>
      </c>
      <c r="F156" s="82">
        <v>23</v>
      </c>
      <c r="G156" s="82">
        <f>+F156+Q156</f>
        <v>28.1</v>
      </c>
      <c r="H156" s="85">
        <v>44963</v>
      </c>
      <c r="I156" s="12" t="s">
        <v>3247</v>
      </c>
      <c r="K156" s="80" t="s">
        <v>2576</v>
      </c>
      <c r="L156" s="80" t="s">
        <v>2244</v>
      </c>
      <c r="M156" s="91">
        <v>44621</v>
      </c>
      <c r="O156" s="80" t="s">
        <v>3246</v>
      </c>
      <c r="P156" s="84" t="s">
        <v>4</v>
      </c>
      <c r="Q156" s="84">
        <v>5.0999999999999996</v>
      </c>
      <c r="R156" s="84" t="s">
        <v>1015</v>
      </c>
      <c r="S156" s="84" t="s">
        <v>1</v>
      </c>
      <c r="T156" s="84" t="s">
        <v>1</v>
      </c>
      <c r="U156" s="84" t="s">
        <v>1</v>
      </c>
      <c r="V156" s="84" t="s">
        <v>1</v>
      </c>
      <c r="W156" s="84" t="s">
        <v>1</v>
      </c>
      <c r="X156" s="84" t="s">
        <v>1</v>
      </c>
      <c r="Y156" s="84" t="s">
        <v>1</v>
      </c>
      <c r="Z156" s="84" t="s">
        <v>1</v>
      </c>
      <c r="AA156" s="84" t="s">
        <v>1</v>
      </c>
      <c r="AB156" s="80" t="s">
        <v>2369</v>
      </c>
      <c r="AE156" s="25" t="s">
        <v>5172</v>
      </c>
      <c r="AF156" s="70">
        <v>7.2140999999999997E-2</v>
      </c>
      <c r="AG156" s="76">
        <v>3.5416666666666666E-2</v>
      </c>
    </row>
    <row r="157" spans="1:34" x14ac:dyDescent="0.15">
      <c r="B157" s="80" t="s">
        <v>3198</v>
      </c>
      <c r="C157" s="81" t="s">
        <v>1693</v>
      </c>
      <c r="D157" s="82">
        <v>100</v>
      </c>
      <c r="E157" s="80" t="s">
        <v>5</v>
      </c>
      <c r="F157" s="82">
        <v>28</v>
      </c>
      <c r="G157" s="82">
        <f>+F157+Q157</f>
        <v>33</v>
      </c>
      <c r="H157" s="85">
        <v>44656</v>
      </c>
      <c r="I157" s="80" t="s">
        <v>3197</v>
      </c>
      <c r="K157" s="80" t="s">
        <v>2315</v>
      </c>
      <c r="L157" s="80" t="s">
        <v>3196</v>
      </c>
      <c r="M157" s="92">
        <v>43556</v>
      </c>
      <c r="O157" s="80" t="s">
        <v>3195</v>
      </c>
      <c r="P157" s="84" t="s">
        <v>4</v>
      </c>
      <c r="Q157" s="84">
        <v>5</v>
      </c>
      <c r="R157" s="84" t="s">
        <v>3194</v>
      </c>
      <c r="S157" s="84" t="s">
        <v>551</v>
      </c>
      <c r="T157" s="84" t="s">
        <v>1</v>
      </c>
      <c r="U157" s="84" t="s">
        <v>3193</v>
      </c>
      <c r="V157" s="84" t="s">
        <v>4</v>
      </c>
      <c r="W157" s="84" t="s">
        <v>1</v>
      </c>
      <c r="X157" s="84" t="s">
        <v>3192</v>
      </c>
      <c r="Y157" s="84" t="s">
        <v>1</v>
      </c>
      <c r="Z157" s="84" t="s">
        <v>1</v>
      </c>
      <c r="AA157" s="84" t="s">
        <v>1</v>
      </c>
      <c r="AB157" s="80" t="s">
        <v>3191</v>
      </c>
      <c r="AE157" s="25" t="s">
        <v>5188</v>
      </c>
      <c r="AF157" s="70">
        <v>0.16760800000000001</v>
      </c>
      <c r="AG157" s="76">
        <v>7.9166666666666663E-2</v>
      </c>
    </row>
    <row r="158" spans="1:34" x14ac:dyDescent="0.15">
      <c r="B158" s="80" t="s">
        <v>3291</v>
      </c>
      <c r="C158" s="81" t="s">
        <v>1693</v>
      </c>
      <c r="D158" s="82">
        <v>100</v>
      </c>
      <c r="E158" s="80" t="s">
        <v>7</v>
      </c>
      <c r="F158" s="82">
        <v>50</v>
      </c>
      <c r="G158" s="82">
        <f>+F158+Q158+T158</f>
        <v>72</v>
      </c>
      <c r="H158" s="85">
        <v>44643</v>
      </c>
      <c r="I158" s="80" t="s">
        <v>3290</v>
      </c>
      <c r="J158" s="80" t="s">
        <v>3289</v>
      </c>
      <c r="K158" s="80" t="s">
        <v>2576</v>
      </c>
      <c r="L158" s="80" t="s">
        <v>3288</v>
      </c>
      <c r="M158" s="94" t="s">
        <v>3287</v>
      </c>
      <c r="O158" s="80" t="s">
        <v>3286</v>
      </c>
      <c r="P158" s="84" t="s">
        <v>5</v>
      </c>
      <c r="Q158" s="84">
        <v>18.5</v>
      </c>
      <c r="R158" s="84" t="s">
        <v>3285</v>
      </c>
      <c r="S158" s="84" t="s">
        <v>4</v>
      </c>
      <c r="T158" s="84">
        <v>3.5</v>
      </c>
      <c r="U158" s="84" t="s">
        <v>3284</v>
      </c>
      <c r="V158" s="84" t="s">
        <v>1</v>
      </c>
      <c r="W158" s="84" t="s">
        <v>1</v>
      </c>
      <c r="X158" s="84" t="s">
        <v>1</v>
      </c>
      <c r="Y158" s="84" t="s">
        <v>1</v>
      </c>
      <c r="Z158" s="84" t="s">
        <v>1</v>
      </c>
      <c r="AA158" s="84" t="s">
        <v>1</v>
      </c>
      <c r="AB158" s="80" t="s">
        <v>2083</v>
      </c>
      <c r="AE158" s="25" t="s">
        <v>5159</v>
      </c>
      <c r="AF158" s="70">
        <v>0.156365</v>
      </c>
      <c r="AG158" s="76">
        <v>0.20972222222222223</v>
      </c>
    </row>
    <row r="159" spans="1:34" x14ac:dyDescent="0.15">
      <c r="B159" s="80" t="s">
        <v>3206</v>
      </c>
      <c r="C159" s="81" t="s">
        <v>1693</v>
      </c>
      <c r="D159" s="82">
        <v>100</v>
      </c>
      <c r="E159" s="80" t="s">
        <v>1</v>
      </c>
      <c r="F159" s="82">
        <v>29</v>
      </c>
      <c r="G159" s="82">
        <f>+F159</f>
        <v>29</v>
      </c>
      <c r="H159" s="27">
        <v>44368</v>
      </c>
      <c r="I159" s="80" t="s">
        <v>3205</v>
      </c>
      <c r="J159" s="80" t="s">
        <v>3204</v>
      </c>
      <c r="K159" s="80" t="s">
        <v>2050</v>
      </c>
      <c r="L159" s="80" t="s">
        <v>2105</v>
      </c>
      <c r="M159" s="91">
        <v>43344</v>
      </c>
      <c r="N159" s="80" t="s">
        <v>5127</v>
      </c>
      <c r="O159" s="80" t="s">
        <v>3203</v>
      </c>
      <c r="P159" s="84" t="s">
        <v>1</v>
      </c>
      <c r="Q159" s="84" t="s">
        <v>1</v>
      </c>
      <c r="R159" s="84" t="s">
        <v>1</v>
      </c>
      <c r="S159" s="84" t="s">
        <v>1</v>
      </c>
      <c r="T159" s="84" t="s">
        <v>1</v>
      </c>
      <c r="U159" s="84" t="s">
        <v>1</v>
      </c>
      <c r="V159" s="84" t="s">
        <v>1</v>
      </c>
      <c r="W159" s="84" t="s">
        <v>1</v>
      </c>
      <c r="X159" s="84" t="s">
        <v>1</v>
      </c>
      <c r="Y159" s="84" t="s">
        <v>1</v>
      </c>
      <c r="Z159" s="84" t="s">
        <v>1</v>
      </c>
      <c r="AA159" s="84" t="s">
        <v>1</v>
      </c>
      <c r="AB159" s="80" t="s">
        <v>2060</v>
      </c>
      <c r="AE159" s="25" t="s">
        <v>5186</v>
      </c>
      <c r="AF159" s="70">
        <v>8.2150000000000001E-3</v>
      </c>
      <c r="AG159" s="76">
        <v>9.930555555555555E-2</v>
      </c>
    </row>
    <row r="160" spans="1:34" s="192" customFormat="1" x14ac:dyDescent="0.15">
      <c r="A160" s="80"/>
      <c r="B160" s="80" t="s">
        <v>286</v>
      </c>
      <c r="C160" s="81" t="s">
        <v>1693</v>
      </c>
      <c r="D160" s="82">
        <v>100</v>
      </c>
      <c r="E160" s="80" t="s">
        <v>7</v>
      </c>
      <c r="F160" s="82">
        <v>35</v>
      </c>
      <c r="G160" s="82">
        <f>+F160+Q160+T160</f>
        <v>53.5</v>
      </c>
      <c r="H160" s="85">
        <v>44309</v>
      </c>
      <c r="I160" s="80"/>
      <c r="J160" s="80" t="s">
        <v>3272</v>
      </c>
      <c r="K160" s="80" t="s">
        <v>2050</v>
      </c>
      <c r="L160" s="80" t="s">
        <v>2076</v>
      </c>
      <c r="M160" s="80">
        <v>2017</v>
      </c>
      <c r="N160" s="80"/>
      <c r="O160" s="80" t="s">
        <v>3271</v>
      </c>
      <c r="P160" s="84" t="s">
        <v>5</v>
      </c>
      <c r="Q160" s="84">
        <v>5.7</v>
      </c>
      <c r="R160" s="84" t="s">
        <v>1</v>
      </c>
      <c r="S160" s="84" t="s">
        <v>5</v>
      </c>
      <c r="T160" s="84">
        <v>12.8</v>
      </c>
      <c r="U160" s="84" t="s">
        <v>1</v>
      </c>
      <c r="V160" s="84" t="s">
        <v>4</v>
      </c>
      <c r="W160" s="84" t="s">
        <v>1</v>
      </c>
      <c r="X160" s="84" t="s">
        <v>3270</v>
      </c>
      <c r="Y160" s="84" t="s">
        <v>1</v>
      </c>
      <c r="Z160" s="84" t="s">
        <v>1</v>
      </c>
      <c r="AA160" s="84" t="s">
        <v>1</v>
      </c>
      <c r="AB160" s="80" t="s">
        <v>2266</v>
      </c>
      <c r="AC160" s="80"/>
      <c r="AD160" s="80"/>
      <c r="AE160" s="25" t="s">
        <v>5166</v>
      </c>
      <c r="AF160" s="70">
        <v>0</v>
      </c>
      <c r="AG160" s="76">
        <v>3.3333333333333333E-2</v>
      </c>
      <c r="AH160" s="80"/>
    </row>
    <row r="161" spans="1:34" x14ac:dyDescent="0.15">
      <c r="B161" s="80" t="s">
        <v>360</v>
      </c>
      <c r="C161" s="81" t="s">
        <v>1693</v>
      </c>
      <c r="D161" s="82">
        <v>100</v>
      </c>
      <c r="E161" s="80" t="s">
        <v>7</v>
      </c>
      <c r="F161" s="82">
        <v>27.5</v>
      </c>
      <c r="G161" s="82">
        <f>+F161+Q161</f>
        <v>38.200000000000003</v>
      </c>
      <c r="H161" s="27">
        <v>44181</v>
      </c>
      <c r="I161" s="80" t="s">
        <v>3165</v>
      </c>
      <c r="J161" s="80" t="s">
        <v>3164</v>
      </c>
      <c r="K161" s="80" t="s">
        <v>2315</v>
      </c>
      <c r="L161" s="80" t="s">
        <v>3040</v>
      </c>
      <c r="M161" s="80">
        <v>2017</v>
      </c>
      <c r="N161" s="80" t="s">
        <v>5200</v>
      </c>
      <c r="O161" s="80" t="s">
        <v>3163</v>
      </c>
      <c r="P161" s="84" t="s">
        <v>5</v>
      </c>
      <c r="Q161" s="84">
        <v>10.7</v>
      </c>
      <c r="R161" s="84" t="s">
        <v>3162</v>
      </c>
      <c r="S161" s="84" t="s">
        <v>1</v>
      </c>
      <c r="T161" s="84" t="s">
        <v>1</v>
      </c>
      <c r="U161" s="84" t="s">
        <v>1</v>
      </c>
      <c r="V161" s="84" t="s">
        <v>1</v>
      </c>
      <c r="W161" s="84" t="s">
        <v>1</v>
      </c>
      <c r="X161" s="84" t="s">
        <v>1</v>
      </c>
      <c r="Y161" s="84" t="s">
        <v>1</v>
      </c>
      <c r="Z161" s="84" t="s">
        <v>1</v>
      </c>
      <c r="AA161" s="84" t="s">
        <v>1</v>
      </c>
      <c r="AB161" s="80" t="s">
        <v>2159</v>
      </c>
      <c r="AE161" s="25" t="s">
        <v>5199</v>
      </c>
      <c r="AF161" s="70">
        <v>3.7558000000000001E-2</v>
      </c>
      <c r="AG161" s="76">
        <v>6.9444444444444434E-2</v>
      </c>
    </row>
    <row r="162" spans="1:34" x14ac:dyDescent="0.15">
      <c r="B162" s="80" t="s">
        <v>874</v>
      </c>
      <c r="C162" s="81" t="s">
        <v>1693</v>
      </c>
      <c r="D162" s="82">
        <v>100</v>
      </c>
      <c r="E162" s="80" t="s">
        <v>5</v>
      </c>
      <c r="F162" s="82">
        <v>30</v>
      </c>
      <c r="G162" s="82">
        <f>+F162+Q162+T162</f>
        <v>37.5</v>
      </c>
      <c r="H162" s="27">
        <v>44522</v>
      </c>
      <c r="I162" s="80" t="s">
        <v>3224</v>
      </c>
      <c r="J162" s="80" t="s">
        <v>3223</v>
      </c>
      <c r="K162" s="80" t="s">
        <v>2576</v>
      </c>
      <c r="L162" s="80" t="s">
        <v>2061</v>
      </c>
      <c r="M162" s="92">
        <v>43862</v>
      </c>
      <c r="N162" s="80" t="s">
        <v>5181</v>
      </c>
      <c r="O162" s="80" t="s">
        <v>3222</v>
      </c>
      <c r="P162" s="84" t="s">
        <v>4</v>
      </c>
      <c r="Q162" s="84">
        <v>5.5</v>
      </c>
      <c r="R162" s="84" t="s">
        <v>3221</v>
      </c>
      <c r="S162" s="84" t="s">
        <v>4</v>
      </c>
      <c r="T162" s="84">
        <v>2</v>
      </c>
      <c r="U162" s="84" t="s">
        <v>993</v>
      </c>
      <c r="V162" s="84" t="s">
        <v>1</v>
      </c>
      <c r="W162" s="84" t="s">
        <v>1</v>
      </c>
      <c r="X162" s="84" t="s">
        <v>1</v>
      </c>
      <c r="Y162" s="84" t="s">
        <v>1</v>
      </c>
      <c r="Z162" s="84" t="s">
        <v>1</v>
      </c>
      <c r="AA162" s="84" t="s">
        <v>1</v>
      </c>
      <c r="AB162" s="80" t="s">
        <v>2086</v>
      </c>
      <c r="AE162" s="25" t="s">
        <v>5180</v>
      </c>
      <c r="AF162" s="70">
        <v>0.80907300000000004</v>
      </c>
      <c r="AG162" s="76">
        <v>0.12291666666666667</v>
      </c>
    </row>
    <row r="163" spans="1:34" x14ac:dyDescent="0.15">
      <c r="B163" s="80" t="s">
        <v>691</v>
      </c>
      <c r="C163" s="81" t="s">
        <v>1693</v>
      </c>
      <c r="D163" s="82">
        <v>100</v>
      </c>
      <c r="E163" s="80" t="s">
        <v>4</v>
      </c>
      <c r="F163" s="82">
        <v>30</v>
      </c>
      <c r="G163" s="82">
        <f>+F163</f>
        <v>30</v>
      </c>
      <c r="H163" s="242">
        <v>44742</v>
      </c>
      <c r="I163" s="80" t="s">
        <v>3237</v>
      </c>
      <c r="J163" s="80" t="s">
        <v>3238</v>
      </c>
      <c r="K163" s="80" t="s">
        <v>2576</v>
      </c>
      <c r="L163" s="80" t="s">
        <v>2084</v>
      </c>
      <c r="M163" s="91">
        <v>44562</v>
      </c>
      <c r="N163" s="80" t="s">
        <v>3237</v>
      </c>
      <c r="O163" s="80" t="s">
        <v>3236</v>
      </c>
      <c r="P163" s="84" t="s">
        <v>1</v>
      </c>
      <c r="Q163" s="84" t="s">
        <v>1</v>
      </c>
      <c r="R163" s="84" t="s">
        <v>1</v>
      </c>
      <c r="S163" s="84" t="s">
        <v>1</v>
      </c>
      <c r="T163" s="84" t="s">
        <v>1</v>
      </c>
      <c r="U163" s="84" t="s">
        <v>1</v>
      </c>
      <c r="V163" s="84" t="s">
        <v>1</v>
      </c>
      <c r="W163" s="84" t="s">
        <v>1</v>
      </c>
      <c r="X163" s="84" t="s">
        <v>1</v>
      </c>
      <c r="Y163" s="84" t="s">
        <v>1</v>
      </c>
      <c r="Z163" s="84" t="s">
        <v>1</v>
      </c>
      <c r="AA163" s="84" t="s">
        <v>1</v>
      </c>
      <c r="AB163" s="80" t="s">
        <v>2369</v>
      </c>
      <c r="AE163" s="25" t="s">
        <v>5173</v>
      </c>
      <c r="AF163" s="70">
        <v>0.77962500000000001</v>
      </c>
      <c r="AG163" s="76">
        <v>0.12708333333333333</v>
      </c>
    </row>
    <row r="164" spans="1:34" x14ac:dyDescent="0.15">
      <c r="B164" s="80" t="s">
        <v>3143</v>
      </c>
      <c r="C164" s="81" t="s">
        <v>1693</v>
      </c>
      <c r="D164" s="82">
        <v>100</v>
      </c>
      <c r="E164" s="80" t="s">
        <v>5</v>
      </c>
      <c r="F164" s="82">
        <v>25</v>
      </c>
      <c r="H164" s="27">
        <v>44404</v>
      </c>
      <c r="I164" s="80" t="s">
        <v>3142</v>
      </c>
      <c r="J164" s="80" t="s">
        <v>3141</v>
      </c>
      <c r="K164" s="80" t="s">
        <v>2576</v>
      </c>
      <c r="L164" s="80" t="s">
        <v>2061</v>
      </c>
      <c r="M164" s="91">
        <v>43435</v>
      </c>
      <c r="O164" s="34" t="s">
        <v>3140</v>
      </c>
      <c r="P164" s="84" t="s">
        <v>4</v>
      </c>
      <c r="Q164" s="84">
        <v>6</v>
      </c>
      <c r="R164" s="84" t="s">
        <v>3139</v>
      </c>
      <c r="S164" s="84" t="s">
        <v>1</v>
      </c>
      <c r="T164" s="80" t="s">
        <v>1</v>
      </c>
      <c r="U164" s="80" t="s">
        <v>1</v>
      </c>
      <c r="V164" s="80" t="s">
        <v>1</v>
      </c>
      <c r="W164" s="80" t="s">
        <v>1</v>
      </c>
      <c r="X164" s="80" t="s">
        <v>1</v>
      </c>
      <c r="Y164" s="80" t="s">
        <v>1</v>
      </c>
      <c r="Z164" s="80" t="s">
        <v>1</v>
      </c>
      <c r="AA164" s="80" t="s">
        <v>1</v>
      </c>
      <c r="AB164" s="80" t="s">
        <v>2152</v>
      </c>
      <c r="AE164" s="25" t="s">
        <v>5205</v>
      </c>
      <c r="AF164" s="70">
        <v>3.125E-2</v>
      </c>
      <c r="AG164" s="76">
        <v>0.34583333333333338</v>
      </c>
    </row>
    <row r="165" spans="1:34" x14ac:dyDescent="0.15">
      <c r="B165" s="12" t="s">
        <v>3372</v>
      </c>
      <c r="C165" s="29" t="s">
        <v>1693</v>
      </c>
      <c r="D165" s="15">
        <v>100</v>
      </c>
      <c r="E165" s="15" t="s">
        <v>3371</v>
      </c>
      <c r="F165" s="15" t="s">
        <v>1</v>
      </c>
      <c r="G165" s="82" t="str">
        <f>F165</f>
        <v>N/A</v>
      </c>
      <c r="H165" s="15" t="s">
        <v>3371</v>
      </c>
      <c r="I165" s="12" t="s">
        <v>3296</v>
      </c>
      <c r="J165" s="12" t="s">
        <v>1</v>
      </c>
      <c r="K165" s="12" t="s">
        <v>2050</v>
      </c>
      <c r="L165" s="12" t="s">
        <v>2067</v>
      </c>
      <c r="M165" s="12">
        <v>2015</v>
      </c>
      <c r="N165" s="36" t="s">
        <v>3370</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3369</v>
      </c>
      <c r="AC165" s="12"/>
      <c r="AD165" s="12"/>
      <c r="AE165" s="25" t="s">
        <v>5139</v>
      </c>
      <c r="AF165" s="72">
        <v>2.8972000000000001E-2</v>
      </c>
      <c r="AG165" s="78">
        <v>0.30763888888888891</v>
      </c>
      <c r="AH165" s="12"/>
    </row>
    <row r="166" spans="1:34" x14ac:dyDescent="0.15">
      <c r="B166" s="80" t="s">
        <v>110</v>
      </c>
      <c r="C166" s="81" t="s">
        <v>1693</v>
      </c>
      <c r="D166" s="82">
        <v>100</v>
      </c>
      <c r="E166" s="80" t="s">
        <v>5</v>
      </c>
      <c r="F166" s="82">
        <v>25</v>
      </c>
      <c r="G166" s="82">
        <f>+F166+Q166</f>
        <v>33</v>
      </c>
      <c r="H166" s="85">
        <v>44510</v>
      </c>
      <c r="I166" s="80" t="s">
        <v>3190</v>
      </c>
      <c r="J166" s="80" t="s">
        <v>3189</v>
      </c>
      <c r="K166" s="80" t="s">
        <v>2050</v>
      </c>
      <c r="L166" s="80" t="s">
        <v>2067</v>
      </c>
      <c r="M166" s="80">
        <v>2018</v>
      </c>
      <c r="O166" s="80" t="s">
        <v>3188</v>
      </c>
      <c r="P166" s="84" t="s">
        <v>4</v>
      </c>
      <c r="Q166" s="84">
        <v>8</v>
      </c>
      <c r="R166" s="84" t="s">
        <v>3187</v>
      </c>
      <c r="S166" s="101" t="s">
        <v>1</v>
      </c>
      <c r="T166" s="101" t="s">
        <v>1</v>
      </c>
      <c r="U166" s="101" t="s">
        <v>1</v>
      </c>
      <c r="V166" s="101" t="s">
        <v>1</v>
      </c>
      <c r="W166" s="101" t="s">
        <v>1</v>
      </c>
      <c r="X166" s="101" t="s">
        <v>1</v>
      </c>
      <c r="Y166" s="101" t="s">
        <v>1</v>
      </c>
      <c r="Z166" s="101" t="s">
        <v>1</v>
      </c>
      <c r="AA166" s="101" t="s">
        <v>1</v>
      </c>
      <c r="AB166" s="80" t="s">
        <v>2090</v>
      </c>
      <c r="AE166" s="25" t="s">
        <v>3186</v>
      </c>
      <c r="AF166" s="71">
        <v>9.3509999999999999E-3</v>
      </c>
      <c r="AG166" s="69">
        <v>2.9861111111111113E-2</v>
      </c>
    </row>
    <row r="167" spans="1:34" s="192" customFormat="1" x14ac:dyDescent="0.15">
      <c r="A167" s="80"/>
      <c r="B167" s="80" t="s">
        <v>913</v>
      </c>
      <c r="C167" s="81" t="s">
        <v>1693</v>
      </c>
      <c r="D167" s="82">
        <v>100</v>
      </c>
      <c r="E167" s="80" t="s">
        <v>4</v>
      </c>
      <c r="F167" s="82">
        <v>42</v>
      </c>
      <c r="G167" s="82">
        <f>+F167</f>
        <v>42</v>
      </c>
      <c r="H167" s="85">
        <v>44882</v>
      </c>
      <c r="I167" s="12" t="s">
        <v>3269</v>
      </c>
      <c r="J167" s="80"/>
      <c r="K167" s="34" t="s">
        <v>2050</v>
      </c>
      <c r="L167" s="32" t="s">
        <v>2067</v>
      </c>
      <c r="M167" s="91">
        <v>44440</v>
      </c>
      <c r="N167" s="80"/>
      <c r="O167" s="80" t="s">
        <v>3268</v>
      </c>
      <c r="P167" s="84" t="s">
        <v>1</v>
      </c>
      <c r="Q167" s="84" t="s">
        <v>1</v>
      </c>
      <c r="R167" s="84" t="s">
        <v>1</v>
      </c>
      <c r="S167" s="84" t="s">
        <v>1</v>
      </c>
      <c r="T167" s="84" t="s">
        <v>1</v>
      </c>
      <c r="U167" s="84" t="s">
        <v>1</v>
      </c>
      <c r="V167" s="84" t="s">
        <v>1</v>
      </c>
      <c r="W167" s="84" t="s">
        <v>1</v>
      </c>
      <c r="X167" s="84" t="s">
        <v>1</v>
      </c>
      <c r="Y167" s="84" t="s">
        <v>1</v>
      </c>
      <c r="Z167" s="84" t="s">
        <v>1</v>
      </c>
      <c r="AA167" s="84" t="s">
        <v>1</v>
      </c>
      <c r="AB167" s="80" t="s">
        <v>2099</v>
      </c>
      <c r="AC167" s="80"/>
      <c r="AD167" s="80"/>
      <c r="AE167" s="25" t="s">
        <v>5167</v>
      </c>
      <c r="AF167" s="70">
        <v>0</v>
      </c>
      <c r="AG167" s="76">
        <v>7.4999999999999997E-2</v>
      </c>
      <c r="AH167" s="80"/>
    </row>
    <row r="168" spans="1:34" s="192" customFormat="1" x14ac:dyDescent="0.15">
      <c r="A168" s="80"/>
      <c r="B168" s="80" t="s">
        <v>3267</v>
      </c>
      <c r="C168" s="81" t="s">
        <v>1693</v>
      </c>
      <c r="D168" s="82">
        <v>100</v>
      </c>
      <c r="E168" s="80" t="s">
        <v>5</v>
      </c>
      <c r="F168" s="82">
        <v>40</v>
      </c>
      <c r="G168" s="82">
        <f>+F168+Q168</f>
        <v>45</v>
      </c>
      <c r="H168" s="85">
        <v>44690</v>
      </c>
      <c r="I168" s="80" t="s">
        <v>3266</v>
      </c>
      <c r="J168" s="80" t="s">
        <v>3265</v>
      </c>
      <c r="K168" s="80" t="s">
        <v>2315</v>
      </c>
      <c r="L168" s="80" t="s">
        <v>3264</v>
      </c>
      <c r="M168" s="91">
        <v>44501</v>
      </c>
      <c r="N168" s="80"/>
      <c r="O168" s="80" t="s">
        <v>3263</v>
      </c>
      <c r="P168" s="84" t="s">
        <v>3262</v>
      </c>
      <c r="Q168" s="84">
        <v>5</v>
      </c>
      <c r="R168" s="84" t="s">
        <v>3261</v>
      </c>
      <c r="S168" s="84" t="s">
        <v>1</v>
      </c>
      <c r="T168" s="84" t="s">
        <v>1</v>
      </c>
      <c r="U168" s="84" t="s">
        <v>1</v>
      </c>
      <c r="V168" s="84" t="s">
        <v>1</v>
      </c>
      <c r="W168" s="84" t="s">
        <v>1</v>
      </c>
      <c r="X168" s="84" t="s">
        <v>1</v>
      </c>
      <c r="Y168" s="84" t="s">
        <v>1</v>
      </c>
      <c r="Z168" s="84" t="s">
        <v>1</v>
      </c>
      <c r="AA168" s="84" t="s">
        <v>1</v>
      </c>
      <c r="AB168" s="80" t="s">
        <v>2907</v>
      </c>
      <c r="AC168" s="80"/>
      <c r="AD168" s="80"/>
      <c r="AE168" s="25" t="s">
        <v>5168</v>
      </c>
      <c r="AF168" s="70">
        <v>0</v>
      </c>
      <c r="AG168" s="76">
        <v>0.17430555555555557</v>
      </c>
      <c r="AH168" s="80"/>
    </row>
    <row r="169" spans="1:34" s="192" customFormat="1" x14ac:dyDescent="0.15">
      <c r="A169" s="80"/>
      <c r="B169" s="80" t="s">
        <v>687</v>
      </c>
      <c r="C169" s="81" t="s">
        <v>1693</v>
      </c>
      <c r="D169" s="82">
        <v>100</v>
      </c>
      <c r="E169" s="80" t="s">
        <v>4</v>
      </c>
      <c r="F169" s="82">
        <v>30</v>
      </c>
      <c r="G169" s="82">
        <f>+F169</f>
        <v>30</v>
      </c>
      <c r="H169" s="85">
        <v>44601</v>
      </c>
      <c r="I169" s="80" t="s">
        <v>2322</v>
      </c>
      <c r="J169" s="80" t="s">
        <v>3209</v>
      </c>
      <c r="K169" s="80" t="s">
        <v>2322</v>
      </c>
      <c r="L169" s="80" t="s">
        <v>2356</v>
      </c>
      <c r="M169" s="80">
        <v>2021</v>
      </c>
      <c r="N169" s="80"/>
      <c r="O169" s="80" t="s">
        <v>3208</v>
      </c>
      <c r="P169" s="84" t="s">
        <v>1</v>
      </c>
      <c r="Q169" s="84" t="s">
        <v>1</v>
      </c>
      <c r="R169" s="84" t="s">
        <v>1</v>
      </c>
      <c r="S169" s="84" t="s">
        <v>1</v>
      </c>
      <c r="T169" s="84" t="s">
        <v>1</v>
      </c>
      <c r="U169" s="84" t="s">
        <v>1</v>
      </c>
      <c r="V169" s="84" t="s">
        <v>1</v>
      </c>
      <c r="W169" s="84" t="s">
        <v>1</v>
      </c>
      <c r="X169" s="84" t="s">
        <v>1</v>
      </c>
      <c r="Y169" s="84" t="s">
        <v>1</v>
      </c>
      <c r="Z169" s="84" t="s">
        <v>1</v>
      </c>
      <c r="AA169" s="84" t="s">
        <v>1</v>
      </c>
      <c r="AB169" s="80" t="s">
        <v>3207</v>
      </c>
      <c r="AC169" s="80"/>
      <c r="AD169" s="80"/>
      <c r="AE169" s="25" t="s">
        <v>5185</v>
      </c>
      <c r="AF169" s="70">
        <v>0</v>
      </c>
      <c r="AG169" s="76">
        <v>0.26527777777777778</v>
      </c>
      <c r="AH169" s="80"/>
    </row>
    <row r="170" spans="1:34" s="192" customFormat="1" x14ac:dyDescent="0.15">
      <c r="A170" s="80"/>
      <c r="B170" s="12" t="s">
        <v>3185</v>
      </c>
      <c r="C170" s="29" t="s">
        <v>1693</v>
      </c>
      <c r="D170" s="15">
        <v>100</v>
      </c>
      <c r="E170" s="12" t="s">
        <v>4</v>
      </c>
      <c r="F170" s="15">
        <v>20</v>
      </c>
      <c r="G170" s="82">
        <f>+F170</f>
        <v>20</v>
      </c>
      <c r="H170" s="14">
        <v>44792</v>
      </c>
      <c r="I170" s="12" t="s">
        <v>3183</v>
      </c>
      <c r="J170" s="12" t="s">
        <v>3184</v>
      </c>
      <c r="K170" s="12" t="s">
        <v>2050</v>
      </c>
      <c r="L170" s="12" t="s">
        <v>3183</v>
      </c>
      <c r="M170" s="35" t="s">
        <v>3182</v>
      </c>
      <c r="N170" s="12" t="s">
        <v>3181</v>
      </c>
      <c r="O170" s="12" t="s">
        <v>3180</v>
      </c>
      <c r="P170" s="24" t="s">
        <v>1</v>
      </c>
      <c r="Q170" s="24" t="s">
        <v>1</v>
      </c>
      <c r="R170" s="24" t="s">
        <v>1</v>
      </c>
      <c r="S170" s="24" t="s">
        <v>1</v>
      </c>
      <c r="T170" s="24" t="s">
        <v>1</v>
      </c>
      <c r="U170" s="24" t="s">
        <v>1</v>
      </c>
      <c r="V170" s="24" t="s">
        <v>1</v>
      </c>
      <c r="W170" s="24" t="s">
        <v>1</v>
      </c>
      <c r="X170" s="24" t="s">
        <v>1</v>
      </c>
      <c r="Y170" s="24" t="s">
        <v>1</v>
      </c>
      <c r="Z170" s="24" t="s">
        <v>1</v>
      </c>
      <c r="AA170" s="24" t="s">
        <v>1</v>
      </c>
      <c r="AB170" s="12" t="s">
        <v>3179</v>
      </c>
      <c r="AC170" s="12"/>
      <c r="AD170" s="12"/>
      <c r="AE170" s="25" t="s">
        <v>5189</v>
      </c>
      <c r="AF170" s="72">
        <v>0</v>
      </c>
      <c r="AG170" s="78">
        <v>0</v>
      </c>
      <c r="AH170" s="12"/>
    </row>
    <row r="171" spans="1:34" s="192" customFormat="1" x14ac:dyDescent="0.15">
      <c r="A171" s="80"/>
      <c r="B171" s="192" t="s">
        <v>3161</v>
      </c>
      <c r="C171" s="201" t="s">
        <v>1693</v>
      </c>
      <c r="D171" s="193">
        <v>100</v>
      </c>
      <c r="E171" s="192" t="s">
        <v>5</v>
      </c>
      <c r="F171" s="193">
        <v>27</v>
      </c>
      <c r="G171" s="193">
        <f>F171</f>
        <v>27</v>
      </c>
      <c r="H171" s="85">
        <v>44299</v>
      </c>
      <c r="I171" s="192" t="s">
        <v>3160</v>
      </c>
      <c r="K171" s="192" t="s">
        <v>2576</v>
      </c>
      <c r="L171" s="192" t="s">
        <v>3159</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3158</v>
      </c>
      <c r="AE171" s="203" t="s">
        <v>5201</v>
      </c>
      <c r="AF171" s="243">
        <v>0</v>
      </c>
      <c r="AG171" s="65">
        <v>3.5416666666666666E-2</v>
      </c>
    </row>
    <row r="172" spans="1:34" x14ac:dyDescent="0.15">
      <c r="B172" s="80" t="s">
        <v>929</v>
      </c>
      <c r="C172" s="81" t="s">
        <v>1693</v>
      </c>
      <c r="D172" s="82">
        <v>100</v>
      </c>
      <c r="E172" s="80" t="s">
        <v>5</v>
      </c>
      <c r="F172" s="82">
        <v>25</v>
      </c>
      <c r="H172" s="85">
        <v>44944</v>
      </c>
      <c r="I172" s="80" t="s">
        <v>3138</v>
      </c>
      <c r="J172" s="80" t="s">
        <v>3137</v>
      </c>
      <c r="K172" s="80" t="s">
        <v>2050</v>
      </c>
      <c r="L172" s="80" t="s">
        <v>2531</v>
      </c>
      <c r="M172" s="92" t="s">
        <v>3136</v>
      </c>
      <c r="O172" s="80" t="s">
        <v>3135</v>
      </c>
      <c r="P172" s="84" t="s">
        <v>4</v>
      </c>
      <c r="Q172" s="84">
        <v>5</v>
      </c>
      <c r="R172" s="84" t="s">
        <v>981</v>
      </c>
      <c r="S172" s="84" t="s">
        <v>278</v>
      </c>
      <c r="T172" s="84">
        <v>3</v>
      </c>
      <c r="U172" s="84" t="s">
        <v>1</v>
      </c>
      <c r="V172" s="80" t="s">
        <v>1</v>
      </c>
      <c r="W172" s="80" t="s">
        <v>1</v>
      </c>
      <c r="X172" s="80" t="s">
        <v>1</v>
      </c>
      <c r="Y172" s="80" t="s">
        <v>1</v>
      </c>
      <c r="Z172" s="80" t="s">
        <v>1</v>
      </c>
      <c r="AA172" s="80" t="s">
        <v>1</v>
      </c>
      <c r="AB172" s="80" t="s">
        <v>2083</v>
      </c>
      <c r="AE172" s="25" t="s">
        <v>5206</v>
      </c>
      <c r="AF172" s="70">
        <v>7.8329999999999997E-3</v>
      </c>
      <c r="AG172" s="76">
        <v>0.56041666666666667</v>
      </c>
    </row>
    <row r="173" spans="1:34" x14ac:dyDescent="0.15">
      <c r="A173" s="192"/>
      <c r="B173" s="192" t="s">
        <v>660</v>
      </c>
      <c r="C173" s="201" t="s">
        <v>1693</v>
      </c>
      <c r="D173" s="194">
        <v>100</v>
      </c>
      <c r="E173" s="192" t="s">
        <v>4</v>
      </c>
      <c r="F173" s="194">
        <v>25</v>
      </c>
      <c r="G173" s="194"/>
      <c r="H173" s="202">
        <v>44873</v>
      </c>
      <c r="I173" s="192" t="s">
        <v>3110</v>
      </c>
      <c r="J173" s="192" t="s">
        <v>3109</v>
      </c>
      <c r="K173" s="192" t="s">
        <v>3108</v>
      </c>
      <c r="L173" s="192" t="s">
        <v>3108</v>
      </c>
      <c r="M173" s="192">
        <v>2022</v>
      </c>
      <c r="N173" s="192" t="s">
        <v>3107</v>
      </c>
      <c r="O173" s="192" t="s">
        <v>3106</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2099</v>
      </c>
      <c r="AC173" s="192"/>
      <c r="AD173" s="192"/>
      <c r="AE173" s="25" t="s">
        <v>5224</v>
      </c>
      <c r="AF173" s="70">
        <v>6.7039999999999999E-3</v>
      </c>
      <c r="AG173" s="76">
        <v>0.13749999999999998</v>
      </c>
      <c r="AH173" s="192"/>
    </row>
    <row r="174" spans="1:34" x14ac:dyDescent="0.15">
      <c r="A174" s="196"/>
      <c r="B174" s="196" t="s">
        <v>108</v>
      </c>
      <c r="C174" s="197" t="s">
        <v>1693</v>
      </c>
      <c r="D174" s="39">
        <v>100</v>
      </c>
      <c r="E174" s="196" t="s">
        <v>7</v>
      </c>
      <c r="F174" s="39">
        <v>5</v>
      </c>
      <c r="G174" s="39">
        <f>+F174</f>
        <v>5</v>
      </c>
      <c r="H174" s="27">
        <v>43903</v>
      </c>
      <c r="I174" s="196" t="s">
        <v>3245</v>
      </c>
      <c r="J174" s="196" t="s">
        <v>3244</v>
      </c>
      <c r="K174" s="196" t="s">
        <v>2050</v>
      </c>
      <c r="L174" s="196" t="s">
        <v>3243</v>
      </c>
      <c r="M174" s="196">
        <v>2015</v>
      </c>
      <c r="N174" s="196"/>
      <c r="O174" s="196" t="s">
        <v>1008</v>
      </c>
      <c r="P174" s="198" t="s">
        <v>7</v>
      </c>
      <c r="Q174" s="198" t="s">
        <v>3242</v>
      </c>
      <c r="R174" s="198" t="s">
        <v>3241</v>
      </c>
      <c r="S174" s="198" t="s">
        <v>5</v>
      </c>
      <c r="T174" s="198">
        <v>15</v>
      </c>
      <c r="U174" s="198" t="s">
        <v>3240</v>
      </c>
      <c r="V174" s="198" t="s">
        <v>1</v>
      </c>
      <c r="W174" s="198" t="s">
        <v>1</v>
      </c>
      <c r="X174" s="198" t="s">
        <v>1</v>
      </c>
      <c r="Y174" s="198" t="s">
        <v>1</v>
      </c>
      <c r="Z174" s="198" t="s">
        <v>1</v>
      </c>
      <c r="AA174" s="198" t="s">
        <v>1</v>
      </c>
      <c r="AB174" s="196" t="s">
        <v>2060</v>
      </c>
      <c r="AC174" s="196"/>
      <c r="AD174" s="196"/>
      <c r="AE174" s="155" t="s">
        <v>3239</v>
      </c>
      <c r="AF174" s="199">
        <v>5.2030000000000002E-3</v>
      </c>
      <c r="AG174" s="200">
        <v>1.7361111111111112E-2</v>
      </c>
      <c r="AH174" s="196"/>
    </row>
    <row r="175" spans="1:34" x14ac:dyDescent="0.15">
      <c r="B175" s="80" t="s">
        <v>1084</v>
      </c>
      <c r="C175" s="81" t="s">
        <v>1693</v>
      </c>
      <c r="D175" s="82">
        <v>100</v>
      </c>
      <c r="E175" s="80" t="s">
        <v>5</v>
      </c>
      <c r="F175" s="82">
        <v>25</v>
      </c>
      <c r="H175" s="85">
        <v>44679</v>
      </c>
      <c r="I175" s="80" t="s">
        <v>3148</v>
      </c>
      <c r="J175" s="80" t="s">
        <v>3147</v>
      </c>
      <c r="K175" s="80" t="s">
        <v>2576</v>
      </c>
      <c r="L175" s="80" t="s">
        <v>2061</v>
      </c>
      <c r="M175" s="80">
        <v>2021</v>
      </c>
      <c r="O175" s="80" t="s">
        <v>3146</v>
      </c>
      <c r="P175" s="84" t="s">
        <v>4</v>
      </c>
      <c r="Q175" s="84">
        <v>3</v>
      </c>
      <c r="R175" s="84" t="s">
        <v>3145</v>
      </c>
      <c r="S175" s="80" t="s">
        <v>1</v>
      </c>
      <c r="T175" s="80" t="s">
        <v>1</v>
      </c>
      <c r="U175" s="80" t="s">
        <v>1</v>
      </c>
      <c r="V175" s="80" t="s">
        <v>1</v>
      </c>
      <c r="W175" s="80" t="s">
        <v>1</v>
      </c>
      <c r="X175" s="80" t="s">
        <v>1</v>
      </c>
      <c r="Y175" s="80" t="s">
        <v>1</v>
      </c>
      <c r="Z175" s="80" t="s">
        <v>1</v>
      </c>
      <c r="AA175" s="80" t="s">
        <v>1</v>
      </c>
      <c r="AB175" s="80" t="s">
        <v>3144</v>
      </c>
      <c r="AE175" s="25" t="s">
        <v>5204</v>
      </c>
      <c r="AF175" s="70">
        <v>0</v>
      </c>
      <c r="AG175" s="76">
        <v>0.17569444444444446</v>
      </c>
    </row>
    <row r="176" spans="1:34" x14ac:dyDescent="0.15">
      <c r="A176" s="192"/>
      <c r="B176" s="192" t="s">
        <v>455</v>
      </c>
      <c r="C176" s="201" t="s">
        <v>1693</v>
      </c>
      <c r="D176" s="194">
        <v>100</v>
      </c>
      <c r="E176" s="192" t="s">
        <v>7</v>
      </c>
      <c r="F176" s="194">
        <v>25</v>
      </c>
      <c r="G176" s="194"/>
      <c r="H176" s="202">
        <v>43972</v>
      </c>
      <c r="I176" s="192" t="s">
        <v>2339</v>
      </c>
      <c r="J176" s="192" t="s">
        <v>3124</v>
      </c>
      <c r="K176" s="192" t="s">
        <v>2050</v>
      </c>
      <c r="L176" s="192" t="s">
        <v>2339</v>
      </c>
      <c r="M176" s="192">
        <v>2016</v>
      </c>
      <c r="N176" s="192"/>
      <c r="O176" s="192" t="s">
        <v>3123</v>
      </c>
      <c r="P176" s="195" t="s">
        <v>5</v>
      </c>
      <c r="Q176" s="195">
        <v>11.5</v>
      </c>
      <c r="R176" s="195" t="s">
        <v>1062</v>
      </c>
      <c r="S176" s="195" t="s">
        <v>1</v>
      </c>
      <c r="T176" s="195" t="s">
        <v>1</v>
      </c>
      <c r="U176" s="195" t="s">
        <v>1</v>
      </c>
      <c r="V176" s="195" t="s">
        <v>1</v>
      </c>
      <c r="W176" s="195" t="s">
        <v>1</v>
      </c>
      <c r="X176" s="195" t="s">
        <v>1</v>
      </c>
      <c r="Y176" s="195" t="s">
        <v>1</v>
      </c>
      <c r="Z176" s="195" t="s">
        <v>1</v>
      </c>
      <c r="AA176" s="195" t="s">
        <v>1</v>
      </c>
      <c r="AB176" s="192" t="s">
        <v>2284</v>
      </c>
      <c r="AC176" s="192"/>
      <c r="AD176" s="192"/>
      <c r="AE176" s="25" t="s">
        <v>5221</v>
      </c>
      <c r="AF176" s="70">
        <v>0</v>
      </c>
      <c r="AG176" s="65">
        <v>0</v>
      </c>
      <c r="AH176" s="192"/>
    </row>
    <row r="177" spans="1:34" x14ac:dyDescent="0.15">
      <c r="B177" s="80" t="s">
        <v>861</v>
      </c>
      <c r="C177" s="81" t="s">
        <v>1693</v>
      </c>
      <c r="D177" s="82">
        <v>100</v>
      </c>
      <c r="E177" s="80" t="s">
        <v>7</v>
      </c>
      <c r="F177" s="82">
        <v>25</v>
      </c>
      <c r="H177" s="85">
        <v>44636</v>
      </c>
      <c r="I177" s="80" t="s">
        <v>3134</v>
      </c>
      <c r="J177" s="80" t="s">
        <v>3133</v>
      </c>
      <c r="K177" s="80" t="s">
        <v>2576</v>
      </c>
      <c r="L177" s="80" t="s">
        <v>2061</v>
      </c>
      <c r="M177" s="92" t="s">
        <v>2989</v>
      </c>
      <c r="O177" s="80" t="s">
        <v>3132</v>
      </c>
      <c r="P177" s="84" t="s">
        <v>5</v>
      </c>
      <c r="Q177" s="84">
        <v>12.2</v>
      </c>
      <c r="R177" s="84" t="s">
        <v>3131</v>
      </c>
      <c r="S177" s="84" t="s">
        <v>4</v>
      </c>
      <c r="T177" s="84">
        <v>5.0999999999999996</v>
      </c>
      <c r="U177" s="84" t="s">
        <v>3130</v>
      </c>
      <c r="V177" s="84" t="s">
        <v>1</v>
      </c>
      <c r="W177" s="80" t="s">
        <v>1</v>
      </c>
      <c r="X177" s="80" t="s">
        <v>1</v>
      </c>
      <c r="Y177" s="80" t="s">
        <v>1</v>
      </c>
      <c r="Z177" s="80" t="s">
        <v>1</v>
      </c>
      <c r="AA177" s="80" t="s">
        <v>1</v>
      </c>
      <c r="AB177" s="80" t="s">
        <v>3129</v>
      </c>
      <c r="AE177" s="25" t="s">
        <v>5207</v>
      </c>
      <c r="AF177" s="70">
        <v>1.5440000000000001E-2</v>
      </c>
      <c r="AG177" s="76">
        <v>0.47638888888888892</v>
      </c>
    </row>
    <row r="178" spans="1:34" x14ac:dyDescent="0.15">
      <c r="A178" s="192"/>
      <c r="B178" s="192" t="s">
        <v>987</v>
      </c>
      <c r="C178" s="201" t="s">
        <v>1693</v>
      </c>
      <c r="D178" s="194">
        <v>100</v>
      </c>
      <c r="E178" s="192" t="s">
        <v>5</v>
      </c>
      <c r="F178" s="194">
        <v>25</v>
      </c>
      <c r="G178" s="194"/>
      <c r="H178" s="202">
        <v>44615</v>
      </c>
      <c r="I178" s="192" t="s">
        <v>3128</v>
      </c>
      <c r="J178" s="192" t="s">
        <v>3127</v>
      </c>
      <c r="K178" s="192" t="s">
        <v>2576</v>
      </c>
      <c r="L178" s="192" t="s">
        <v>2061</v>
      </c>
      <c r="M178" s="205">
        <v>43709</v>
      </c>
      <c r="N178" s="192"/>
      <c r="O178" s="192" t="s">
        <v>3126</v>
      </c>
      <c r="P178" s="195" t="s">
        <v>4</v>
      </c>
      <c r="Q178" s="195">
        <v>5</v>
      </c>
      <c r="R178" s="195" t="s">
        <v>3125</v>
      </c>
      <c r="S178" s="195" t="s">
        <v>1</v>
      </c>
      <c r="T178" s="195" t="s">
        <v>1</v>
      </c>
      <c r="U178" s="195" t="s">
        <v>1</v>
      </c>
      <c r="V178" s="195" t="s">
        <v>1</v>
      </c>
      <c r="W178" s="195" t="s">
        <v>1</v>
      </c>
      <c r="X178" s="195" t="s">
        <v>1</v>
      </c>
      <c r="Y178" s="195" t="s">
        <v>1</v>
      </c>
      <c r="Z178" s="195" t="s">
        <v>1</v>
      </c>
      <c r="AA178" s="195" t="s">
        <v>1</v>
      </c>
      <c r="AB178" s="192" t="s">
        <v>2083</v>
      </c>
      <c r="AC178" s="192"/>
      <c r="AD178" s="192"/>
      <c r="AE178" s="25" t="s">
        <v>5208</v>
      </c>
      <c r="AF178" s="70">
        <v>1.4638E-2</v>
      </c>
      <c r="AG178" s="76">
        <v>5.1388888888888894E-2</v>
      </c>
      <c r="AH178" s="192"/>
    </row>
    <row r="179" spans="1:34" s="12" customFormat="1" x14ac:dyDescent="0.15">
      <c r="A179" s="80"/>
      <c r="B179" s="80" t="s">
        <v>3276</v>
      </c>
      <c r="C179" s="81" t="s">
        <v>1693</v>
      </c>
      <c r="D179" s="82">
        <v>100</v>
      </c>
      <c r="E179" s="80" t="s">
        <v>5</v>
      </c>
      <c r="F179" s="82">
        <v>50</v>
      </c>
      <c r="G179" s="82">
        <f>+F179</f>
        <v>50</v>
      </c>
      <c r="H179" s="27">
        <v>44475</v>
      </c>
      <c r="I179" s="80" t="s">
        <v>3275</v>
      </c>
      <c r="J179" s="80" t="s">
        <v>3274</v>
      </c>
      <c r="K179" s="80" t="s">
        <v>2050</v>
      </c>
      <c r="L179" s="80" t="s">
        <v>2362</v>
      </c>
      <c r="M179" s="91">
        <v>44440</v>
      </c>
      <c r="N179" s="80" t="s">
        <v>5165</v>
      </c>
      <c r="O179" s="80" t="s">
        <v>3273</v>
      </c>
      <c r="P179" s="84" t="s">
        <v>1</v>
      </c>
      <c r="Q179" s="84" t="s">
        <v>1</v>
      </c>
      <c r="R179" s="84" t="s">
        <v>1</v>
      </c>
      <c r="S179" s="84" t="s">
        <v>1</v>
      </c>
      <c r="T179" s="84" t="s">
        <v>1</v>
      </c>
      <c r="U179" s="84" t="s">
        <v>1</v>
      </c>
      <c r="V179" s="84" t="s">
        <v>1</v>
      </c>
      <c r="W179" s="84" t="s">
        <v>1</v>
      </c>
      <c r="X179" s="84" t="s">
        <v>1</v>
      </c>
      <c r="Y179" s="84" t="s">
        <v>1</v>
      </c>
      <c r="Z179" s="84" t="s">
        <v>1</v>
      </c>
      <c r="AA179" s="84" t="s">
        <v>1</v>
      </c>
      <c r="AB179" s="80" t="s">
        <v>2060</v>
      </c>
      <c r="AC179" s="80"/>
      <c r="AD179" s="80"/>
      <c r="AE179" s="25" t="s">
        <v>5163</v>
      </c>
      <c r="AF179" s="70">
        <v>1.3875999999999999E-2</v>
      </c>
      <c r="AG179" s="76">
        <v>2.4305555555555556E-2</v>
      </c>
      <c r="AH179" s="80"/>
    </row>
    <row r="180" spans="1:34" s="192" customFormat="1" x14ac:dyDescent="0.15">
      <c r="B180" s="192" t="s">
        <v>128</v>
      </c>
      <c r="C180" s="201" t="s">
        <v>1693</v>
      </c>
      <c r="D180" s="194">
        <v>100</v>
      </c>
      <c r="E180" s="192" t="s">
        <v>7</v>
      </c>
      <c r="F180" s="194">
        <v>23.5</v>
      </c>
      <c r="G180" s="194"/>
      <c r="H180" s="202">
        <v>45008</v>
      </c>
      <c r="I180" s="192" t="s">
        <v>3117</v>
      </c>
      <c r="J180" s="192" t="s">
        <v>3116</v>
      </c>
      <c r="K180" s="192" t="s">
        <v>2050</v>
      </c>
      <c r="L180" s="192" t="s">
        <v>3115</v>
      </c>
      <c r="M180" s="192">
        <v>2019</v>
      </c>
      <c r="O180" s="192" t="s">
        <v>3114</v>
      </c>
      <c r="P180" s="195" t="s">
        <v>5</v>
      </c>
      <c r="Q180" s="195">
        <v>16</v>
      </c>
      <c r="R180" s="195" t="s">
        <v>3113</v>
      </c>
      <c r="S180" s="195" t="s">
        <v>4</v>
      </c>
      <c r="T180" s="195">
        <v>5</v>
      </c>
      <c r="U180" s="195" t="s">
        <v>3112</v>
      </c>
      <c r="V180" s="195" t="s">
        <v>1</v>
      </c>
      <c r="W180" s="195" t="s">
        <v>1</v>
      </c>
      <c r="X180" s="195" t="s">
        <v>1</v>
      </c>
      <c r="Y180" s="195" t="s">
        <v>1</v>
      </c>
      <c r="Z180" s="195" t="s">
        <v>1</v>
      </c>
      <c r="AA180" s="195" t="s">
        <v>1</v>
      </c>
      <c r="AB180" s="192" t="s">
        <v>2159</v>
      </c>
      <c r="AE180" s="25" t="s">
        <v>3111</v>
      </c>
      <c r="AF180" s="71">
        <v>5.8803000000000001E-2</v>
      </c>
      <c r="AG180" s="69">
        <v>8.0555555555555561E-2</v>
      </c>
    </row>
    <row r="181" spans="1:34" x14ac:dyDescent="0.15">
      <c r="B181" s="80" t="s">
        <v>3230</v>
      </c>
      <c r="C181" s="81" t="s">
        <v>1693</v>
      </c>
      <c r="D181" s="82">
        <v>100</v>
      </c>
      <c r="E181" s="80" t="s">
        <v>5</v>
      </c>
      <c r="F181" s="82">
        <v>30</v>
      </c>
      <c r="G181" s="82">
        <f>+F181+Q181</f>
        <v>34</v>
      </c>
      <c r="H181" s="85">
        <v>44914</v>
      </c>
      <c r="I181" s="80" t="s">
        <v>3229</v>
      </c>
      <c r="J181" s="80" t="s">
        <v>3228</v>
      </c>
      <c r="K181" s="80" t="s">
        <v>2315</v>
      </c>
      <c r="L181" s="80" t="s">
        <v>3227</v>
      </c>
      <c r="M181" s="92" t="s">
        <v>3136</v>
      </c>
      <c r="O181" s="80" t="s">
        <v>3226</v>
      </c>
      <c r="P181" s="84" t="s">
        <v>4</v>
      </c>
      <c r="Q181" s="84">
        <v>4</v>
      </c>
      <c r="R181" s="84" t="s">
        <v>3225</v>
      </c>
      <c r="S181" s="84" t="s">
        <v>1</v>
      </c>
      <c r="T181" s="84" t="s">
        <v>1</v>
      </c>
      <c r="U181" s="84" t="s">
        <v>1</v>
      </c>
      <c r="V181" s="84" t="s">
        <v>1</v>
      </c>
      <c r="W181" s="84" t="s">
        <v>1</v>
      </c>
      <c r="X181" s="84" t="s">
        <v>1</v>
      </c>
      <c r="Y181" s="84" t="s">
        <v>1</v>
      </c>
      <c r="Z181" s="84" t="s">
        <v>1</v>
      </c>
      <c r="AA181" s="84" t="s">
        <v>1</v>
      </c>
      <c r="AB181" s="80" t="s">
        <v>2083</v>
      </c>
      <c r="AE181" s="25" t="s">
        <v>5175</v>
      </c>
      <c r="AF181" s="70">
        <v>0.27698</v>
      </c>
      <c r="AG181" s="76">
        <v>9.375E-2</v>
      </c>
    </row>
    <row r="182" spans="1:34" x14ac:dyDescent="0.15">
      <c r="B182" s="192" t="s">
        <v>3157</v>
      </c>
      <c r="C182" s="201" t="s">
        <v>1693</v>
      </c>
      <c r="D182" s="193">
        <v>100</v>
      </c>
      <c r="E182" s="192" t="s">
        <v>7</v>
      </c>
      <c r="F182" s="193">
        <v>27</v>
      </c>
      <c r="G182" s="193">
        <f>F182+Q182</f>
        <v>38</v>
      </c>
      <c r="H182" s="85">
        <v>44882</v>
      </c>
      <c r="I182" s="192" t="s">
        <v>3156</v>
      </c>
      <c r="J182" s="192" t="s">
        <v>3155</v>
      </c>
      <c r="K182" s="192" t="s">
        <v>2315</v>
      </c>
      <c r="L182" s="192" t="s">
        <v>2297</v>
      </c>
      <c r="M182" s="192">
        <v>2016</v>
      </c>
      <c r="N182" s="192"/>
      <c r="O182" s="192" t="s">
        <v>3154</v>
      </c>
      <c r="P182" s="195" t="s">
        <v>5</v>
      </c>
      <c r="Q182" s="195">
        <v>11</v>
      </c>
      <c r="R182" s="195" t="s">
        <v>3153</v>
      </c>
      <c r="S182" s="195" t="s">
        <v>4</v>
      </c>
      <c r="T182" s="195" t="s">
        <v>1</v>
      </c>
      <c r="U182" s="195" t="s">
        <v>3152</v>
      </c>
      <c r="V182" s="195" t="s">
        <v>1</v>
      </c>
      <c r="W182" s="195" t="s">
        <v>1</v>
      </c>
      <c r="X182" s="195" t="s">
        <v>1</v>
      </c>
      <c r="Y182" s="195" t="s">
        <v>1</v>
      </c>
      <c r="Z182" s="195" t="s">
        <v>1</v>
      </c>
      <c r="AA182" s="195" t="s">
        <v>1</v>
      </c>
      <c r="AB182" s="192" t="s">
        <v>2369</v>
      </c>
      <c r="AC182" s="192"/>
      <c r="AD182" s="192"/>
      <c r="AE182" s="203" t="s">
        <v>5198</v>
      </c>
      <c r="AF182" s="243">
        <v>0.273484</v>
      </c>
      <c r="AG182" s="65">
        <v>8.5416666666666655E-2</v>
      </c>
      <c r="AH182" s="192"/>
    </row>
    <row r="183" spans="1:34" x14ac:dyDescent="0.15">
      <c r="A183" s="192"/>
      <c r="B183" s="192" t="s">
        <v>3084</v>
      </c>
      <c r="C183" s="201" t="s">
        <v>1693</v>
      </c>
      <c r="D183" s="194">
        <v>100</v>
      </c>
      <c r="E183" s="192" t="s">
        <v>5</v>
      </c>
      <c r="F183" s="194">
        <v>20</v>
      </c>
      <c r="G183" s="194"/>
      <c r="H183" s="202">
        <v>43818</v>
      </c>
      <c r="I183" s="192" t="s">
        <v>2884</v>
      </c>
      <c r="J183" s="192" t="s">
        <v>3083</v>
      </c>
      <c r="K183" s="192" t="s">
        <v>2050</v>
      </c>
      <c r="L183" s="192" t="s">
        <v>2857</v>
      </c>
      <c r="M183" s="192">
        <v>2013</v>
      </c>
      <c r="N183" s="192"/>
      <c r="O183" s="192" t="s">
        <v>3082</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3081</v>
      </c>
      <c r="AC183" s="192"/>
      <c r="AD183" s="192"/>
      <c r="AE183" s="25" t="s">
        <v>5228</v>
      </c>
      <c r="AF183" s="70">
        <v>3.9455999999999998E-2</v>
      </c>
      <c r="AG183" s="76">
        <v>0.16805555555555554</v>
      </c>
      <c r="AH183" s="192"/>
    </row>
    <row r="184" spans="1:34" x14ac:dyDescent="0.15">
      <c r="B184" s="12" t="s">
        <v>3170</v>
      </c>
      <c r="C184" s="29" t="s">
        <v>1693</v>
      </c>
      <c r="D184" s="15">
        <v>100</v>
      </c>
      <c r="E184" s="12" t="s">
        <v>5</v>
      </c>
      <c r="F184" s="15">
        <v>25</v>
      </c>
      <c r="G184" s="82">
        <f>+F184</f>
        <v>25</v>
      </c>
      <c r="H184" s="14">
        <v>44013</v>
      </c>
      <c r="I184" s="12" t="s">
        <v>3151</v>
      </c>
      <c r="J184" s="12" t="s">
        <v>3169</v>
      </c>
      <c r="K184" s="12" t="s">
        <v>2576</v>
      </c>
      <c r="L184" s="12" t="s">
        <v>2061</v>
      </c>
      <c r="M184" s="35" t="s">
        <v>3136</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2369</v>
      </c>
      <c r="AE184" s="25" t="s">
        <v>5196</v>
      </c>
      <c r="AF184" s="70">
        <v>2.2461999999999999E-2</v>
      </c>
      <c r="AG184" s="76">
        <v>3.0555555555555555E-2</v>
      </c>
    </row>
    <row r="185" spans="1:34" s="168" customFormat="1" x14ac:dyDescent="0.15">
      <c r="A185" s="80"/>
      <c r="B185" s="80" t="s">
        <v>3202</v>
      </c>
      <c r="C185" s="81" t="s">
        <v>1693</v>
      </c>
      <c r="D185" s="82">
        <v>100</v>
      </c>
      <c r="E185" s="80" t="s">
        <v>5</v>
      </c>
      <c r="F185" s="82">
        <v>28</v>
      </c>
      <c r="G185" s="82">
        <f>+F185</f>
        <v>28</v>
      </c>
      <c r="H185" s="27">
        <v>44442</v>
      </c>
      <c r="I185" s="80" t="s">
        <v>3201</v>
      </c>
      <c r="J185" s="80"/>
      <c r="K185" s="80" t="s">
        <v>3200</v>
      </c>
      <c r="L185" s="80" t="s">
        <v>3200</v>
      </c>
      <c r="M185" s="92" t="s">
        <v>3136</v>
      </c>
      <c r="N185" s="80"/>
      <c r="O185" s="80" t="s">
        <v>3199</v>
      </c>
      <c r="P185" s="84" t="s">
        <v>1</v>
      </c>
      <c r="Q185" s="84" t="s">
        <v>1</v>
      </c>
      <c r="R185" s="84" t="s">
        <v>1</v>
      </c>
      <c r="S185" s="84" t="s">
        <v>1</v>
      </c>
      <c r="T185" s="84" t="s">
        <v>1</v>
      </c>
      <c r="U185" s="84" t="s">
        <v>1</v>
      </c>
      <c r="V185" s="84" t="s">
        <v>1</v>
      </c>
      <c r="W185" s="84" t="s">
        <v>1</v>
      </c>
      <c r="X185" s="84" t="s">
        <v>1</v>
      </c>
      <c r="Y185" s="84" t="s">
        <v>1</v>
      </c>
      <c r="Z185" s="84" t="s">
        <v>1</v>
      </c>
      <c r="AA185" s="84" t="s">
        <v>1</v>
      </c>
      <c r="AB185" s="80" t="s">
        <v>2275</v>
      </c>
      <c r="AC185" s="80"/>
      <c r="AD185" s="80"/>
      <c r="AE185" s="25" t="s">
        <v>5187</v>
      </c>
      <c r="AF185" s="70">
        <v>2.2341E-2</v>
      </c>
      <c r="AG185" s="76">
        <v>3.8194444444444441E-2</v>
      </c>
      <c r="AH185" s="80"/>
    </row>
    <row r="186" spans="1:34" x14ac:dyDescent="0.15">
      <c r="B186" s="80" t="s">
        <v>1147</v>
      </c>
      <c r="C186" s="81" t="s">
        <v>1693</v>
      </c>
      <c r="D186" s="82">
        <v>100</v>
      </c>
      <c r="E186" s="80" t="s">
        <v>4</v>
      </c>
      <c r="F186" s="82">
        <v>50</v>
      </c>
      <c r="G186" s="82">
        <f>+F186</f>
        <v>50</v>
      </c>
      <c r="H186" s="85">
        <v>45062</v>
      </c>
      <c r="I186" s="80" t="s">
        <v>3296</v>
      </c>
      <c r="J186" s="80" t="s">
        <v>3295</v>
      </c>
      <c r="K186" s="32" t="s">
        <v>2050</v>
      </c>
      <c r="L186" s="32" t="s">
        <v>2067</v>
      </c>
      <c r="M186" s="94" t="s">
        <v>3294</v>
      </c>
      <c r="O186" s="80" t="s">
        <v>3293</v>
      </c>
      <c r="P186" s="84" t="s">
        <v>1</v>
      </c>
      <c r="Q186" s="84" t="s">
        <v>1</v>
      </c>
      <c r="R186" s="84" t="s">
        <v>1</v>
      </c>
      <c r="S186" s="84" t="s">
        <v>1</v>
      </c>
      <c r="T186" s="84" t="s">
        <v>1</v>
      </c>
      <c r="U186" s="84" t="s">
        <v>1</v>
      </c>
      <c r="V186" s="84" t="s">
        <v>1</v>
      </c>
      <c r="W186" s="84" t="s">
        <v>1</v>
      </c>
      <c r="X186" s="84" t="s">
        <v>1</v>
      </c>
      <c r="Y186" s="84" t="s">
        <v>1</v>
      </c>
      <c r="Z186" s="84" t="s">
        <v>1</v>
      </c>
      <c r="AA186" s="84" t="s">
        <v>1</v>
      </c>
      <c r="AB186" s="80" t="s">
        <v>3292</v>
      </c>
      <c r="AE186" s="25" t="s">
        <v>5158</v>
      </c>
      <c r="AF186" s="70">
        <v>1.9050000000000001E-2</v>
      </c>
      <c r="AG186" s="76">
        <v>0.11319444444444444</v>
      </c>
    </row>
    <row r="187" spans="1:34" x14ac:dyDescent="0.15">
      <c r="B187" s="80" t="s">
        <v>690</v>
      </c>
      <c r="C187" s="81" t="s">
        <v>1693</v>
      </c>
      <c r="D187" s="82">
        <v>100</v>
      </c>
      <c r="E187" s="80" t="s">
        <v>5</v>
      </c>
      <c r="F187" s="82">
        <f>12.2+16.3</f>
        <v>28.5</v>
      </c>
      <c r="G187" s="82">
        <f>+F187</f>
        <v>28.5</v>
      </c>
      <c r="H187" s="85">
        <v>45077</v>
      </c>
      <c r="I187" s="80" t="s">
        <v>3168</v>
      </c>
      <c r="J187" s="80" t="s">
        <v>3167</v>
      </c>
      <c r="K187" s="80" t="s">
        <v>2050</v>
      </c>
      <c r="L187" s="80" t="s">
        <v>2061</v>
      </c>
      <c r="M187" s="80">
        <v>2021</v>
      </c>
      <c r="O187" s="80" t="s">
        <v>3166</v>
      </c>
      <c r="P187" s="84" t="s">
        <v>1</v>
      </c>
      <c r="Q187" s="84" t="s">
        <v>1</v>
      </c>
      <c r="R187" s="84" t="s">
        <v>1</v>
      </c>
      <c r="S187" s="84" t="s">
        <v>1</v>
      </c>
      <c r="T187" s="84" t="s">
        <v>1</v>
      </c>
      <c r="U187" s="84" t="s">
        <v>1</v>
      </c>
      <c r="V187" s="84" t="s">
        <v>1</v>
      </c>
      <c r="W187" s="84" t="s">
        <v>1</v>
      </c>
      <c r="X187" s="84" t="s">
        <v>1</v>
      </c>
      <c r="Y187" s="84" t="s">
        <v>1</v>
      </c>
      <c r="Z187" s="84" t="s">
        <v>1</v>
      </c>
      <c r="AA187" s="84" t="s">
        <v>1</v>
      </c>
      <c r="AB187" s="80" t="s">
        <v>2369</v>
      </c>
      <c r="AE187" s="25" t="s">
        <v>5197</v>
      </c>
      <c r="AF187" s="70">
        <v>1.7419E-2</v>
      </c>
      <c r="AG187" s="76">
        <v>0.11666666666666665</v>
      </c>
    </row>
    <row r="188" spans="1:34" x14ac:dyDescent="0.15">
      <c r="A188" s="192"/>
      <c r="B188" s="192" t="s">
        <v>5202</v>
      </c>
      <c r="C188" s="201" t="s">
        <v>1693</v>
      </c>
      <c r="D188" s="193">
        <v>100</v>
      </c>
      <c r="E188" s="192" t="s">
        <v>5</v>
      </c>
      <c r="F188" s="193">
        <v>25</v>
      </c>
      <c r="G188" s="193">
        <f>F188</f>
        <v>25</v>
      </c>
      <c r="H188" s="85">
        <v>44699</v>
      </c>
      <c r="I188" s="192" t="s">
        <v>3151</v>
      </c>
      <c r="J188" s="192" t="s">
        <v>3150</v>
      </c>
      <c r="K188" s="192" t="s">
        <v>2576</v>
      </c>
      <c r="L188" s="192" t="s">
        <v>2061</v>
      </c>
      <c r="M188" s="204" t="s">
        <v>2989</v>
      </c>
      <c r="N188" s="192"/>
      <c r="O188" s="192" t="s">
        <v>3149</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2369</v>
      </c>
      <c r="AC188" s="192"/>
      <c r="AD188" s="192"/>
      <c r="AE188" s="203" t="s">
        <v>5203</v>
      </c>
      <c r="AF188" s="243">
        <v>1.2933E-2</v>
      </c>
      <c r="AG188" s="65">
        <v>5.1388888888888894E-2</v>
      </c>
      <c r="AH188" s="192"/>
    </row>
    <row r="189" spans="1:34" x14ac:dyDescent="0.15">
      <c r="B189" s="80" t="s">
        <v>3172</v>
      </c>
      <c r="C189" s="81" t="s">
        <v>1693</v>
      </c>
      <c r="D189" s="82">
        <v>100</v>
      </c>
      <c r="E189" s="80" t="s">
        <v>1</v>
      </c>
      <c r="F189" s="82">
        <v>26</v>
      </c>
      <c r="G189" s="82">
        <f>+F189</f>
        <v>26</v>
      </c>
      <c r="H189" s="27">
        <v>43852</v>
      </c>
      <c r="I189" s="80" t="s">
        <v>3171</v>
      </c>
      <c r="K189" s="80" t="s">
        <v>2050</v>
      </c>
      <c r="L189" s="80" t="s">
        <v>2237</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2369</v>
      </c>
      <c r="AE189" s="25" t="s">
        <v>5195</v>
      </c>
      <c r="AF189" s="70">
        <v>1.2711999999999999E-2</v>
      </c>
      <c r="AG189" s="76">
        <v>2.013888888888889E-2</v>
      </c>
    </row>
    <row r="190" spans="1:34" x14ac:dyDescent="0.15">
      <c r="A190" s="192"/>
      <c r="B190" s="192" t="s">
        <v>731</v>
      </c>
      <c r="C190" s="201" t="s">
        <v>1693</v>
      </c>
      <c r="D190" s="194">
        <v>100</v>
      </c>
      <c r="E190" s="192" t="s">
        <v>5</v>
      </c>
      <c r="F190" s="194">
        <v>25</v>
      </c>
      <c r="G190" s="194"/>
      <c r="H190" s="202">
        <v>44757</v>
      </c>
      <c r="I190" s="192" t="s">
        <v>3105</v>
      </c>
      <c r="J190" s="192"/>
      <c r="K190" s="192" t="s">
        <v>2050</v>
      </c>
      <c r="L190" s="192" t="s">
        <v>3104</v>
      </c>
      <c r="M190" s="205" t="s">
        <v>2989</v>
      </c>
      <c r="N190" s="192"/>
      <c r="O190" s="192" t="s">
        <v>3103</v>
      </c>
      <c r="P190" s="195" t="s">
        <v>4</v>
      </c>
      <c r="Q190" s="195">
        <v>4</v>
      </c>
      <c r="R190" s="195" t="s">
        <v>3102</v>
      </c>
      <c r="S190" s="195" t="s">
        <v>4</v>
      </c>
      <c r="T190" s="195">
        <v>1.5</v>
      </c>
      <c r="U190" s="195" t="s">
        <v>3101</v>
      </c>
      <c r="V190" s="195" t="s">
        <v>1</v>
      </c>
      <c r="W190" s="195" t="s">
        <v>1</v>
      </c>
      <c r="X190" s="195" t="s">
        <v>1</v>
      </c>
      <c r="Y190" s="195" t="s">
        <v>1</v>
      </c>
      <c r="Z190" s="195" t="s">
        <v>1</v>
      </c>
      <c r="AA190" s="195" t="s">
        <v>1</v>
      </c>
      <c r="AB190" s="192" t="s">
        <v>2907</v>
      </c>
      <c r="AC190" s="192"/>
      <c r="AD190" s="192"/>
      <c r="AE190" s="25" t="s">
        <v>5225</v>
      </c>
      <c r="AF190" s="70">
        <v>1.0973999999999999E-2</v>
      </c>
      <c r="AG190" s="76">
        <v>3.6111111111111115E-2</v>
      </c>
      <c r="AH190" s="192"/>
    </row>
    <row r="191" spans="1:34" x14ac:dyDescent="0.15">
      <c r="A191" s="192"/>
      <c r="B191" s="192" t="s">
        <v>585</v>
      </c>
      <c r="C191" s="201" t="s">
        <v>1693</v>
      </c>
      <c r="D191" s="194">
        <v>100</v>
      </c>
      <c r="E191" s="192" t="s">
        <v>5</v>
      </c>
      <c r="F191" s="194">
        <v>20</v>
      </c>
      <c r="G191" s="194"/>
      <c r="H191" s="202">
        <v>44801</v>
      </c>
      <c r="I191" s="192" t="s">
        <v>3080</v>
      </c>
      <c r="J191" s="192" t="s">
        <v>3079</v>
      </c>
      <c r="K191" s="192" t="s">
        <v>2050</v>
      </c>
      <c r="L191" s="192" t="s">
        <v>3078</v>
      </c>
      <c r="M191" s="192">
        <v>2021</v>
      </c>
      <c r="N191" s="192"/>
      <c r="O191" s="192" t="s">
        <v>3077</v>
      </c>
      <c r="P191" s="195" t="s">
        <v>278</v>
      </c>
      <c r="Q191" s="195">
        <v>0.125</v>
      </c>
      <c r="R191" s="195" t="s">
        <v>1069</v>
      </c>
      <c r="S191" s="195" t="s">
        <v>1</v>
      </c>
      <c r="T191" s="195" t="s">
        <v>1</v>
      </c>
      <c r="U191" s="195" t="s">
        <v>1</v>
      </c>
      <c r="V191" s="195" t="s">
        <v>1</v>
      </c>
      <c r="W191" s="195" t="s">
        <v>1</v>
      </c>
      <c r="X191" s="195" t="s">
        <v>1</v>
      </c>
      <c r="Y191" s="195" t="s">
        <v>1</v>
      </c>
      <c r="Z191" s="195" t="s">
        <v>1</v>
      </c>
      <c r="AA191" s="195" t="s">
        <v>1</v>
      </c>
      <c r="AB191" s="192" t="s">
        <v>2053</v>
      </c>
      <c r="AC191" s="192"/>
      <c r="AD191" s="192"/>
      <c r="AE191" s="25" t="s">
        <v>5229</v>
      </c>
      <c r="AF191" s="70">
        <v>1.0630000000000001E-2</v>
      </c>
      <c r="AG191" s="76">
        <v>0.15625</v>
      </c>
      <c r="AH191" s="192"/>
    </row>
    <row r="192" spans="1:34" x14ac:dyDescent="0.15">
      <c r="B192" s="80" t="s">
        <v>1009</v>
      </c>
      <c r="C192" s="81" t="s">
        <v>1693</v>
      </c>
      <c r="D192" s="82">
        <v>100</v>
      </c>
      <c r="E192" s="80" t="s">
        <v>7</v>
      </c>
      <c r="F192" s="82">
        <v>30</v>
      </c>
      <c r="G192" s="82">
        <f>+F192+Q192+T192</f>
        <v>44</v>
      </c>
      <c r="H192" s="27">
        <v>44539</v>
      </c>
      <c r="I192" s="80" t="s">
        <v>3235</v>
      </c>
      <c r="J192" s="80" t="s">
        <v>3234</v>
      </c>
      <c r="K192" s="80" t="s">
        <v>2050</v>
      </c>
      <c r="L192" s="80" t="s">
        <v>2061</v>
      </c>
      <c r="M192" s="92" t="s">
        <v>2989</v>
      </c>
      <c r="O192" s="80" t="s">
        <v>3233</v>
      </c>
      <c r="P192" s="84" t="s">
        <v>5</v>
      </c>
      <c r="Q192" s="84">
        <v>11</v>
      </c>
      <c r="R192" s="84" t="s">
        <v>3232</v>
      </c>
      <c r="S192" s="84" t="s">
        <v>4</v>
      </c>
      <c r="T192" s="84">
        <v>3</v>
      </c>
      <c r="U192" s="84" t="s">
        <v>3231</v>
      </c>
      <c r="V192" s="84" t="s">
        <v>1</v>
      </c>
      <c r="W192" s="84" t="s">
        <v>1</v>
      </c>
      <c r="X192" s="84" t="s">
        <v>1</v>
      </c>
      <c r="Y192" s="84" t="s">
        <v>1</v>
      </c>
      <c r="Z192" s="84" t="s">
        <v>1</v>
      </c>
      <c r="AA192" s="84" t="s">
        <v>1</v>
      </c>
      <c r="AB192" s="80" t="s">
        <v>2369</v>
      </c>
      <c r="AE192" s="25" t="s">
        <v>5174</v>
      </c>
      <c r="AF192" s="70">
        <v>1.0409E-2</v>
      </c>
      <c r="AG192" s="76">
        <v>7.2916666666666671E-2</v>
      </c>
    </row>
    <row r="193" spans="1:34" x14ac:dyDescent="0.15">
      <c r="A193" s="192"/>
      <c r="B193" s="192" t="s">
        <v>2587</v>
      </c>
      <c r="C193" s="201" t="s">
        <v>1693</v>
      </c>
      <c r="D193" s="194" t="s">
        <v>1</v>
      </c>
      <c r="E193" s="194" t="s">
        <v>1</v>
      </c>
      <c r="F193" s="194" t="s">
        <v>1</v>
      </c>
      <c r="G193" s="194">
        <v>0</v>
      </c>
      <c r="H193" s="194" t="s">
        <v>1</v>
      </c>
      <c r="I193" s="206" t="s">
        <v>2586</v>
      </c>
      <c r="J193" s="206" t="s">
        <v>2585</v>
      </c>
      <c r="K193" s="206" t="s">
        <v>2315</v>
      </c>
      <c r="L193" s="206" t="s">
        <v>2574</v>
      </c>
      <c r="M193" s="192">
        <v>2023</v>
      </c>
      <c r="N193" s="192" t="s">
        <v>2584</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5071</v>
      </c>
      <c r="AF193" s="70">
        <v>4.9059999999999997</v>
      </c>
      <c r="AG193" s="76">
        <v>0.6</v>
      </c>
      <c r="AH193" s="192"/>
    </row>
    <row r="194" spans="1:34" x14ac:dyDescent="0.15">
      <c r="B194" s="80" t="s">
        <v>2552</v>
      </c>
      <c r="C194" s="81" t="s">
        <v>1693</v>
      </c>
      <c r="D194" s="82" t="s">
        <v>1</v>
      </c>
      <c r="E194" s="82" t="s">
        <v>1</v>
      </c>
      <c r="F194" s="82" t="s">
        <v>1</v>
      </c>
      <c r="G194" s="82">
        <v>0</v>
      </c>
      <c r="H194" s="82" t="s">
        <v>1</v>
      </c>
      <c r="I194" s="80" t="s">
        <v>2551</v>
      </c>
      <c r="K194" s="80" t="s">
        <v>2315</v>
      </c>
      <c r="L194" s="80" t="s">
        <v>2550</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6662</v>
      </c>
      <c r="AC194" s="181" t="s">
        <v>2697</v>
      </c>
      <c r="AD194" s="181" t="s">
        <v>6700</v>
      </c>
      <c r="AE194" s="25" t="s">
        <v>5070</v>
      </c>
      <c r="AF194" s="70">
        <v>4.7149999999999999</v>
      </c>
      <c r="AG194" s="76">
        <v>0.63541666666666663</v>
      </c>
    </row>
    <row r="195" spans="1:34" x14ac:dyDescent="0.15">
      <c r="B195" s="80" t="s">
        <v>2583</v>
      </c>
      <c r="C195" s="81" t="s">
        <v>1693</v>
      </c>
      <c r="D195" s="82" t="s">
        <v>1</v>
      </c>
      <c r="E195" s="82" t="s">
        <v>1</v>
      </c>
      <c r="F195" s="82" t="s">
        <v>1</v>
      </c>
      <c r="H195" s="82" t="s">
        <v>1</v>
      </c>
      <c r="I195" s="80" t="s">
        <v>2582</v>
      </c>
      <c r="K195" s="80" t="s">
        <v>2315</v>
      </c>
      <c r="L195" s="80" t="s">
        <v>2568</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5073</v>
      </c>
      <c r="AF195" s="70">
        <v>0.46637099999999998</v>
      </c>
      <c r="AG195" s="76">
        <v>0.54583333333333328</v>
      </c>
    </row>
    <row r="196" spans="1:34" x14ac:dyDescent="0.15">
      <c r="B196" s="80" t="s">
        <v>2570</v>
      </c>
      <c r="C196" s="81" t="s">
        <v>1693</v>
      </c>
      <c r="D196" s="82" t="s">
        <v>1</v>
      </c>
      <c r="E196" s="82" t="s">
        <v>1</v>
      </c>
      <c r="F196" s="82" t="s">
        <v>1</v>
      </c>
      <c r="H196" s="82" t="s">
        <v>1</v>
      </c>
      <c r="I196" s="80" t="s">
        <v>2569</v>
      </c>
      <c r="K196" s="80" t="s">
        <v>2315</v>
      </c>
      <c r="L196" s="80" t="s">
        <v>2568</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6687</v>
      </c>
      <c r="AD196" s="181" t="s">
        <v>2099</v>
      </c>
      <c r="AE196" s="25" t="s">
        <v>5067</v>
      </c>
      <c r="AF196" s="70">
        <v>0.76458899999999996</v>
      </c>
      <c r="AG196" s="76">
        <v>0.1451388888888889</v>
      </c>
    </row>
    <row r="197" spans="1:34" x14ac:dyDescent="0.15">
      <c r="B197" s="80" t="s">
        <v>2580</v>
      </c>
      <c r="C197" s="81" t="s">
        <v>1693</v>
      </c>
      <c r="D197" s="82" t="s">
        <v>1</v>
      </c>
      <c r="E197" s="82" t="s">
        <v>1</v>
      </c>
      <c r="F197" s="82" t="s">
        <v>1</v>
      </c>
      <c r="H197" s="82" t="s">
        <v>1</v>
      </c>
      <c r="I197" s="80" t="s">
        <v>2563</v>
      </c>
      <c r="K197" s="80" t="s">
        <v>2315</v>
      </c>
      <c r="L197" s="80" t="s">
        <v>2563</v>
      </c>
      <c r="M197" s="80">
        <v>2021</v>
      </c>
      <c r="N197" s="80" t="s">
        <v>2579</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5075</v>
      </c>
      <c r="AF197" s="70">
        <v>0.15621099999999999</v>
      </c>
      <c r="AG197" s="76">
        <v>0.1076388888888889</v>
      </c>
    </row>
    <row r="198" spans="1:34" x14ac:dyDescent="0.15">
      <c r="B198" s="80" t="s">
        <v>2549</v>
      </c>
      <c r="C198" s="81" t="s">
        <v>1693</v>
      </c>
      <c r="D198" s="82" t="s">
        <v>1</v>
      </c>
      <c r="E198" s="82" t="s">
        <v>1</v>
      </c>
      <c r="F198" s="82" t="s">
        <v>1</v>
      </c>
      <c r="G198" s="82">
        <v>0</v>
      </c>
      <c r="H198" s="82" t="s">
        <v>1</v>
      </c>
      <c r="I198" s="80" t="s">
        <v>2548</v>
      </c>
      <c r="K198" s="80" t="s">
        <v>2315</v>
      </c>
      <c r="L198" s="80" t="s">
        <v>2547</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5069</v>
      </c>
      <c r="AF198" s="70">
        <v>11.65</v>
      </c>
      <c r="AG198" s="76">
        <v>0.79861111111111116</v>
      </c>
    </row>
    <row r="199" spans="1:34" x14ac:dyDescent="0.15">
      <c r="B199" s="80" t="s">
        <v>2575</v>
      </c>
      <c r="C199" s="81" t="s">
        <v>1693</v>
      </c>
      <c r="D199" s="82" t="s">
        <v>1</v>
      </c>
      <c r="E199" s="82" t="s">
        <v>1</v>
      </c>
      <c r="F199" s="82" t="s">
        <v>1</v>
      </c>
      <c r="G199" s="82">
        <v>0</v>
      </c>
      <c r="H199" s="82" t="s">
        <v>1</v>
      </c>
      <c r="K199" s="80" t="s">
        <v>2315</v>
      </c>
      <c r="L199" s="80" t="s">
        <v>2574</v>
      </c>
      <c r="M199" s="80">
        <v>2023</v>
      </c>
      <c r="N199" s="80" t="s">
        <v>2573</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5072</v>
      </c>
      <c r="AF199" s="70">
        <v>2.6379999999999999</v>
      </c>
      <c r="AG199" s="76">
        <v>0.53194444444444444</v>
      </c>
    </row>
    <row r="200" spans="1:34" x14ac:dyDescent="0.15">
      <c r="B200" s="80" t="s">
        <v>2562</v>
      </c>
      <c r="C200" s="81" t="s">
        <v>1693</v>
      </c>
      <c r="D200" s="82" t="s">
        <v>1</v>
      </c>
      <c r="E200" s="82" t="s">
        <v>1</v>
      </c>
      <c r="F200" s="82" t="s">
        <v>1</v>
      </c>
      <c r="H200" s="82" t="s">
        <v>1</v>
      </c>
      <c r="I200" s="80" t="s">
        <v>2561</v>
      </c>
      <c r="K200" s="80" t="s">
        <v>2315</v>
      </c>
      <c r="L200" s="80" t="s">
        <v>2474</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5068</v>
      </c>
      <c r="AF200" s="70">
        <v>0.78598699999999999</v>
      </c>
      <c r="AG200" s="76">
        <v>0.35833333333333334</v>
      </c>
    </row>
    <row r="201" spans="1:34" x14ac:dyDescent="0.15">
      <c r="A201" s="192"/>
      <c r="B201" s="192" t="s">
        <v>3100</v>
      </c>
      <c r="C201" s="201" t="s">
        <v>1693</v>
      </c>
      <c r="D201" s="194">
        <v>100</v>
      </c>
      <c r="E201" s="192" t="s">
        <v>4</v>
      </c>
      <c r="F201" s="194">
        <v>22.4</v>
      </c>
      <c r="G201" s="194"/>
      <c r="H201" s="202">
        <v>44553</v>
      </c>
      <c r="I201" s="192" t="s">
        <v>3099</v>
      </c>
      <c r="J201" s="192" t="s">
        <v>3098</v>
      </c>
      <c r="K201" s="192" t="s">
        <v>2050</v>
      </c>
      <c r="L201" s="192" t="s">
        <v>3097</v>
      </c>
      <c r="M201" s="192">
        <v>2019</v>
      </c>
      <c r="N201" s="192"/>
      <c r="O201" s="192" t="s">
        <v>3096</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2170</v>
      </c>
      <c r="AC201" s="192"/>
      <c r="AD201" s="192"/>
      <c r="AE201" s="25" t="s">
        <v>5226</v>
      </c>
      <c r="AF201" s="70">
        <v>0</v>
      </c>
      <c r="AG201" s="76">
        <v>2.4305555555555556E-2</v>
      </c>
      <c r="AH201" s="192"/>
    </row>
    <row r="202" spans="1:34" x14ac:dyDescent="0.15">
      <c r="A202" s="192"/>
      <c r="B202" s="192" t="s">
        <v>95</v>
      </c>
      <c r="C202" s="201" t="s">
        <v>1693</v>
      </c>
      <c r="D202" s="194">
        <v>100</v>
      </c>
      <c r="E202" s="192" t="s">
        <v>7</v>
      </c>
      <c r="F202" s="194">
        <v>25</v>
      </c>
      <c r="G202" s="194"/>
      <c r="H202" s="202">
        <v>43783</v>
      </c>
      <c r="I202" s="192" t="s">
        <v>3091</v>
      </c>
      <c r="J202" s="192" t="s">
        <v>3090</v>
      </c>
      <c r="K202" s="192" t="s">
        <v>2050</v>
      </c>
      <c r="L202" s="192" t="s">
        <v>2067</v>
      </c>
      <c r="M202" s="192">
        <v>2014</v>
      </c>
      <c r="N202" s="192"/>
      <c r="O202" s="192" t="s">
        <v>3089</v>
      </c>
      <c r="P202" s="195" t="s">
        <v>7</v>
      </c>
      <c r="Q202" s="195">
        <v>15</v>
      </c>
      <c r="R202" s="195" t="s">
        <v>3088</v>
      </c>
      <c r="S202" s="195" t="s">
        <v>5</v>
      </c>
      <c r="T202" s="195">
        <v>10</v>
      </c>
      <c r="U202" s="195" t="s">
        <v>3087</v>
      </c>
      <c r="V202" s="195" t="s">
        <v>4</v>
      </c>
      <c r="W202" s="195">
        <v>5</v>
      </c>
      <c r="X202" s="195" t="s">
        <v>3086</v>
      </c>
      <c r="Y202" s="195" t="s">
        <v>1</v>
      </c>
      <c r="Z202" s="195" t="s">
        <v>1</v>
      </c>
      <c r="AA202" s="195" t="s">
        <v>1</v>
      </c>
      <c r="AB202" s="192" t="s">
        <v>2053</v>
      </c>
      <c r="AC202" s="192"/>
      <c r="AD202" s="192"/>
      <c r="AE202" s="25" t="s">
        <v>3085</v>
      </c>
      <c r="AF202" s="71">
        <v>0</v>
      </c>
      <c r="AG202" s="69">
        <v>2.6388888888888889E-2</v>
      </c>
      <c r="AH202" s="192"/>
    </row>
    <row r="203" spans="1:34" s="233" customFormat="1" ht="12.75" customHeight="1" x14ac:dyDescent="0.15">
      <c r="B203" s="233" t="s">
        <v>2034</v>
      </c>
      <c r="C203" s="232" t="s">
        <v>1693</v>
      </c>
      <c r="D203" s="239">
        <v>100</v>
      </c>
      <c r="E203" s="233" t="s">
        <v>5</v>
      </c>
      <c r="F203" s="239">
        <v>21</v>
      </c>
      <c r="G203" s="239">
        <f>F203+Q203</f>
        <v>26</v>
      </c>
      <c r="H203" s="240">
        <v>44515</v>
      </c>
      <c r="I203" s="233" t="s">
        <v>6741</v>
      </c>
      <c r="J203" s="233" t="s">
        <v>6739</v>
      </c>
      <c r="K203" s="233" t="s">
        <v>2050</v>
      </c>
      <c r="L203" s="233" t="s">
        <v>2272</v>
      </c>
      <c r="M203" s="246">
        <v>44073</v>
      </c>
      <c r="O203" s="233" t="s">
        <v>6742</v>
      </c>
      <c r="P203" s="234" t="s">
        <v>4</v>
      </c>
      <c r="Q203" s="234">
        <v>5</v>
      </c>
      <c r="R203" s="234" t="s">
        <v>6747</v>
      </c>
      <c r="S203" s="234" t="s">
        <v>1</v>
      </c>
      <c r="T203" s="234" t="s">
        <v>1</v>
      </c>
      <c r="U203" s="234" t="s">
        <v>1</v>
      </c>
      <c r="V203" s="234" t="s">
        <v>1</v>
      </c>
      <c r="W203" s="234" t="s">
        <v>1</v>
      </c>
      <c r="X203" s="234" t="s">
        <v>1</v>
      </c>
      <c r="Y203" s="234" t="s">
        <v>1</v>
      </c>
      <c r="Z203" s="234" t="s">
        <v>1</v>
      </c>
      <c r="AA203" s="234" t="s">
        <v>1</v>
      </c>
      <c r="AB203" s="233" t="s">
        <v>6662</v>
      </c>
      <c r="AC203" s="233" t="s">
        <v>6665</v>
      </c>
      <c r="AD203" s="233" t="s">
        <v>2369</v>
      </c>
      <c r="AE203" s="25" t="s">
        <v>6738</v>
      </c>
      <c r="AF203" s="70"/>
      <c r="AG203" s="65"/>
    </row>
    <row r="204" spans="1:34" s="181" customFormat="1" x14ac:dyDescent="0.15">
      <c r="A204" s="80"/>
      <c r="B204" s="192" t="s">
        <v>2032</v>
      </c>
      <c r="C204" s="201" t="s">
        <v>1693</v>
      </c>
      <c r="D204" s="194">
        <v>100</v>
      </c>
      <c r="E204" s="192" t="s">
        <v>5</v>
      </c>
      <c r="F204" s="194">
        <v>21</v>
      </c>
      <c r="G204" s="194">
        <f>F204+Q204</f>
        <v>26</v>
      </c>
      <c r="H204" s="202">
        <v>44334</v>
      </c>
      <c r="I204" s="192" t="s">
        <v>6763</v>
      </c>
      <c r="J204" s="192" t="s">
        <v>6764</v>
      </c>
      <c r="K204" s="192" t="s">
        <v>2050</v>
      </c>
      <c r="L204" s="192" t="s">
        <v>2061</v>
      </c>
      <c r="M204" s="192">
        <v>2020</v>
      </c>
      <c r="N204" s="192"/>
      <c r="O204" s="192" t="s">
        <v>6767</v>
      </c>
      <c r="P204" s="195" t="s">
        <v>4</v>
      </c>
      <c r="Q204" s="195">
        <v>5</v>
      </c>
      <c r="R204" s="195" t="s">
        <v>6773</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6762</v>
      </c>
      <c r="AF204" s="70"/>
      <c r="AG204" s="65"/>
      <c r="AH204" s="192"/>
    </row>
    <row r="205" spans="1:34" s="181" customFormat="1" ht="12.75" customHeight="1" x14ac:dyDescent="0.15">
      <c r="A205" s="80"/>
      <c r="B205" s="192" t="s">
        <v>2037</v>
      </c>
      <c r="C205" s="201" t="s">
        <v>1693</v>
      </c>
      <c r="D205" s="193">
        <v>100</v>
      </c>
      <c r="E205" s="192" t="s">
        <v>5</v>
      </c>
      <c r="F205" s="193">
        <v>30</v>
      </c>
      <c r="G205" s="244">
        <f>F205+Q205</f>
        <v>31.1</v>
      </c>
      <c r="H205" s="202">
        <v>44729</v>
      </c>
      <c r="I205" s="192" t="s">
        <v>6695</v>
      </c>
      <c r="J205" s="192" t="s">
        <v>6696</v>
      </c>
      <c r="K205" s="192" t="s">
        <v>2050</v>
      </c>
      <c r="L205" s="192" t="s">
        <v>2553</v>
      </c>
      <c r="M205" s="192">
        <v>2020</v>
      </c>
      <c r="N205" s="192"/>
      <c r="O205" s="192" t="s">
        <v>6697</v>
      </c>
      <c r="P205" s="195" t="s">
        <v>671</v>
      </c>
      <c r="Q205" s="195">
        <v>1.1000000000000001</v>
      </c>
      <c r="R205" s="195" t="s">
        <v>6699</v>
      </c>
      <c r="S205" s="195" t="s">
        <v>1</v>
      </c>
      <c r="T205" s="195" t="s">
        <v>1</v>
      </c>
      <c r="U205" s="195" t="s">
        <v>1</v>
      </c>
      <c r="V205" s="195" t="s">
        <v>1</v>
      </c>
      <c r="W205" s="195" t="s">
        <v>1</v>
      </c>
      <c r="X205" s="195" t="s">
        <v>1</v>
      </c>
      <c r="Y205" s="195" t="s">
        <v>1</v>
      </c>
      <c r="Z205" s="195" t="s">
        <v>1</v>
      </c>
      <c r="AA205" s="195" t="s">
        <v>1</v>
      </c>
      <c r="AB205" s="192" t="s">
        <v>6662</v>
      </c>
      <c r="AC205" s="192" t="s">
        <v>6670</v>
      </c>
      <c r="AD205" s="192" t="s">
        <v>6670</v>
      </c>
      <c r="AE205" s="203" t="s">
        <v>6694</v>
      </c>
      <c r="AF205" s="65"/>
      <c r="AG205" s="65"/>
      <c r="AH205" s="192"/>
    </row>
    <row r="206" spans="1:34" s="192" customFormat="1" x14ac:dyDescent="0.15">
      <c r="B206" s="192" t="s">
        <v>2033</v>
      </c>
      <c r="C206" s="201" t="s">
        <v>1693</v>
      </c>
      <c r="D206" s="193">
        <v>100</v>
      </c>
      <c r="E206" s="192" t="s">
        <v>5</v>
      </c>
      <c r="F206" s="244">
        <v>18.5</v>
      </c>
      <c r="G206" s="244">
        <f>F206+Q206</f>
        <v>24.3</v>
      </c>
      <c r="H206" s="202">
        <v>44561</v>
      </c>
      <c r="I206" s="192" t="s">
        <v>6756</v>
      </c>
      <c r="J206" s="192" t="s">
        <v>6757</v>
      </c>
      <c r="K206" s="192" t="s">
        <v>2050</v>
      </c>
      <c r="L206" s="192" t="s">
        <v>2061</v>
      </c>
      <c r="M206" s="192">
        <v>2021</v>
      </c>
      <c r="N206" s="192" t="s">
        <v>6759</v>
      </c>
      <c r="O206" s="192" t="s">
        <v>6760</v>
      </c>
      <c r="P206" s="195" t="s">
        <v>4</v>
      </c>
      <c r="Q206" s="195">
        <v>5.8</v>
      </c>
      <c r="R206" s="195" t="s">
        <v>6761</v>
      </c>
      <c r="S206" s="195" t="s">
        <v>1</v>
      </c>
      <c r="T206" s="195" t="s">
        <v>1</v>
      </c>
      <c r="U206" s="195" t="s">
        <v>1</v>
      </c>
      <c r="V206" s="195" t="s">
        <v>1</v>
      </c>
      <c r="W206" s="195" t="s">
        <v>1</v>
      </c>
      <c r="X206" s="195" t="s">
        <v>1</v>
      </c>
      <c r="Y206" s="195" t="s">
        <v>1</v>
      </c>
      <c r="Z206" s="195" t="s">
        <v>1</v>
      </c>
      <c r="AA206" s="195" t="s">
        <v>1</v>
      </c>
      <c r="AB206" s="192" t="s">
        <v>6662</v>
      </c>
      <c r="AC206" s="192" t="s">
        <v>6665</v>
      </c>
      <c r="AD206" s="192" t="s">
        <v>2369</v>
      </c>
      <c r="AE206" s="203" t="s">
        <v>6758</v>
      </c>
      <c r="AF206" s="65"/>
      <c r="AG206" s="65"/>
    </row>
    <row r="207" spans="1:34" s="181" customFormat="1" x14ac:dyDescent="0.15">
      <c r="A207" s="192"/>
      <c r="B207" s="192" t="s">
        <v>2035</v>
      </c>
      <c r="C207" s="201" t="s">
        <v>1693</v>
      </c>
      <c r="D207" s="193">
        <v>100</v>
      </c>
      <c r="E207" s="192" t="s">
        <v>7</v>
      </c>
      <c r="F207" s="193">
        <v>16</v>
      </c>
      <c r="G207" s="244">
        <f>F207+Q207+T207</f>
        <v>27.3</v>
      </c>
      <c r="H207" s="202">
        <v>44825</v>
      </c>
      <c r="I207" s="192" t="s">
        <v>6737</v>
      </c>
      <c r="J207" s="192" t="s">
        <v>6717</v>
      </c>
      <c r="K207" s="192" t="s">
        <v>2050</v>
      </c>
      <c r="L207" s="192" t="s">
        <v>2061</v>
      </c>
      <c r="M207" s="192">
        <v>2018</v>
      </c>
      <c r="N207" s="192"/>
      <c r="O207" s="192" t="s">
        <v>6718</v>
      </c>
      <c r="P207" s="195" t="s">
        <v>5</v>
      </c>
      <c r="Q207" s="195">
        <v>9.3000000000000007</v>
      </c>
      <c r="R207" s="195" t="s">
        <v>6725</v>
      </c>
      <c r="S207" s="195" t="s">
        <v>4</v>
      </c>
      <c r="T207" s="195">
        <v>2</v>
      </c>
      <c r="U207" s="195" t="s">
        <v>6732</v>
      </c>
      <c r="V207" s="195" t="s">
        <v>1</v>
      </c>
      <c r="W207" s="195" t="s">
        <v>1</v>
      </c>
      <c r="X207" s="195" t="s">
        <v>1</v>
      </c>
      <c r="Y207" s="195" t="s">
        <v>1</v>
      </c>
      <c r="Z207" s="195" t="s">
        <v>1</v>
      </c>
      <c r="AA207" s="195" t="s">
        <v>1</v>
      </c>
      <c r="AB207" s="192" t="s">
        <v>6662</v>
      </c>
      <c r="AC207" s="192" t="s">
        <v>6665</v>
      </c>
      <c r="AD207" s="192" t="s">
        <v>6716</v>
      </c>
      <c r="AE207" s="203" t="s">
        <v>6715</v>
      </c>
      <c r="AF207" s="65"/>
      <c r="AG207" s="65"/>
      <c r="AH207" s="192"/>
    </row>
    <row r="208" spans="1:34" x14ac:dyDescent="0.15">
      <c r="A208" s="192"/>
      <c r="B208" s="192" t="s">
        <v>549</v>
      </c>
      <c r="C208" s="201" t="s">
        <v>1693</v>
      </c>
      <c r="D208" s="194">
        <v>100</v>
      </c>
      <c r="E208" s="192" t="s">
        <v>7</v>
      </c>
      <c r="F208" s="194">
        <v>20</v>
      </c>
      <c r="G208" s="244"/>
      <c r="H208" s="202">
        <v>45077</v>
      </c>
      <c r="I208" s="192" t="s">
        <v>3076</v>
      </c>
      <c r="J208" s="192" t="s">
        <v>3075</v>
      </c>
      <c r="K208" s="192" t="s">
        <v>2050</v>
      </c>
      <c r="L208" s="192" t="s">
        <v>2067</v>
      </c>
      <c r="M208" s="192">
        <v>2018</v>
      </c>
      <c r="N208" s="192"/>
      <c r="O208" s="192" t="s">
        <v>3074</v>
      </c>
      <c r="P208" s="195" t="s">
        <v>5</v>
      </c>
      <c r="Q208" s="195">
        <v>10.5</v>
      </c>
      <c r="R208" s="195" t="s">
        <v>3073</v>
      </c>
      <c r="S208" s="195" t="s">
        <v>4</v>
      </c>
      <c r="T208" s="195">
        <v>4</v>
      </c>
      <c r="U208" s="195" t="s">
        <v>3072</v>
      </c>
      <c r="V208" s="195" t="s">
        <v>278</v>
      </c>
      <c r="W208" s="195">
        <v>0.5</v>
      </c>
      <c r="X208" s="195" t="s">
        <v>3071</v>
      </c>
      <c r="Y208" s="195" t="s">
        <v>1</v>
      </c>
      <c r="Z208" s="195" t="s">
        <v>1</v>
      </c>
      <c r="AA208" s="195" t="s">
        <v>1</v>
      </c>
      <c r="AB208" s="192" t="s">
        <v>2060</v>
      </c>
      <c r="AC208" s="192"/>
      <c r="AD208" s="192"/>
      <c r="AE208" s="192"/>
      <c r="AH208" s="192"/>
    </row>
    <row r="209" spans="1:34" x14ac:dyDescent="0.15">
      <c r="A209" s="192"/>
      <c r="B209" s="192" t="s">
        <v>726</v>
      </c>
      <c r="C209" s="201" t="s">
        <v>1693</v>
      </c>
      <c r="D209" s="194">
        <v>100</v>
      </c>
      <c r="E209" s="192" t="s">
        <v>5</v>
      </c>
      <c r="F209" s="194">
        <v>20</v>
      </c>
      <c r="G209" s="244"/>
      <c r="H209" s="202">
        <v>44676</v>
      </c>
      <c r="I209" s="192" t="s">
        <v>3070</v>
      </c>
      <c r="J209" s="192"/>
      <c r="K209" s="192" t="s">
        <v>2050</v>
      </c>
      <c r="L209" s="192" t="s">
        <v>2309</v>
      </c>
      <c r="M209" s="205" t="s">
        <v>2989</v>
      </c>
      <c r="N209" s="192"/>
      <c r="O209" s="192" t="s">
        <v>3069</v>
      </c>
      <c r="P209" s="195" t="s">
        <v>4</v>
      </c>
      <c r="Q209" s="195">
        <v>5</v>
      </c>
      <c r="R209" s="195" t="s">
        <v>3068</v>
      </c>
      <c r="S209" s="195" t="s">
        <v>278</v>
      </c>
      <c r="T209" s="195" t="s">
        <v>1</v>
      </c>
      <c r="U209" s="195" t="s">
        <v>3067</v>
      </c>
      <c r="V209" s="195" t="s">
        <v>1</v>
      </c>
      <c r="W209" s="195" t="s">
        <v>1</v>
      </c>
      <c r="X209" s="195" t="s">
        <v>1</v>
      </c>
      <c r="Y209" s="195" t="s">
        <v>1</v>
      </c>
      <c r="Z209" s="195" t="s">
        <v>1</v>
      </c>
      <c r="AA209" s="195" t="s">
        <v>1</v>
      </c>
      <c r="AB209" s="192" t="s">
        <v>2083</v>
      </c>
      <c r="AC209" s="192"/>
      <c r="AD209" s="192"/>
      <c r="AE209" s="25" t="s">
        <v>5096</v>
      </c>
      <c r="AH209" s="192"/>
    </row>
    <row r="210" spans="1:34" x14ac:dyDescent="0.15">
      <c r="A210" s="192"/>
      <c r="B210" s="192" t="s">
        <v>417</v>
      </c>
      <c r="C210" s="201" t="s">
        <v>1693</v>
      </c>
      <c r="D210" s="194">
        <v>100</v>
      </c>
      <c r="E210" s="192" t="s">
        <v>18</v>
      </c>
      <c r="F210" s="194">
        <v>23</v>
      </c>
      <c r="G210" s="244"/>
      <c r="H210" s="202">
        <v>44328</v>
      </c>
      <c r="I210" s="192" t="s">
        <v>2402</v>
      </c>
      <c r="J210" s="192" t="s">
        <v>3066</v>
      </c>
      <c r="K210" s="192" t="s">
        <v>2050</v>
      </c>
      <c r="L210" s="192" t="s">
        <v>2402</v>
      </c>
      <c r="M210" s="192">
        <v>2013</v>
      </c>
      <c r="N210" s="192"/>
      <c r="O210" s="192" t="s">
        <v>3065</v>
      </c>
      <c r="P210" s="195" t="s">
        <v>7</v>
      </c>
      <c r="Q210" s="195">
        <v>16</v>
      </c>
      <c r="R210" s="195" t="s">
        <v>3064</v>
      </c>
      <c r="S210" s="195" t="s">
        <v>5</v>
      </c>
      <c r="T210" s="195">
        <v>8</v>
      </c>
      <c r="U210" s="195" t="s">
        <v>3063</v>
      </c>
      <c r="V210" s="195" t="s">
        <v>4</v>
      </c>
      <c r="W210" s="195" t="s">
        <v>1</v>
      </c>
      <c r="X210" s="195" t="s">
        <v>3062</v>
      </c>
      <c r="Y210" s="195" t="s">
        <v>1</v>
      </c>
      <c r="Z210" s="195" t="s">
        <v>1</v>
      </c>
      <c r="AA210" s="195" t="s">
        <v>1</v>
      </c>
      <c r="AB210" s="192" t="s">
        <v>2053</v>
      </c>
      <c r="AC210" s="192"/>
      <c r="AD210" s="192"/>
      <c r="AE210" s="192"/>
      <c r="AH210" s="192"/>
    </row>
    <row r="211" spans="1:34" x14ac:dyDescent="0.15">
      <c r="A211" s="192"/>
      <c r="B211" s="192" t="s">
        <v>655</v>
      </c>
      <c r="C211" s="201" t="s">
        <v>1693</v>
      </c>
      <c r="D211" s="194">
        <v>100</v>
      </c>
      <c r="E211" s="192" t="s">
        <v>4</v>
      </c>
      <c r="F211" s="194">
        <v>12.8</v>
      </c>
      <c r="G211" s="244"/>
      <c r="H211" s="202">
        <v>44601</v>
      </c>
      <c r="I211" s="192" t="s">
        <v>3061</v>
      </c>
      <c r="J211" s="192" t="s">
        <v>3060</v>
      </c>
      <c r="K211" s="192" t="s">
        <v>2322</v>
      </c>
      <c r="L211" s="192" t="s">
        <v>2322</v>
      </c>
      <c r="M211" s="192">
        <v>2021</v>
      </c>
      <c r="N211" s="192" t="s">
        <v>3059</v>
      </c>
      <c r="O211" s="192" t="s">
        <v>3058</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2359</v>
      </c>
      <c r="AC211" s="192"/>
      <c r="AD211" s="192"/>
      <c r="AE211" s="192"/>
      <c r="AH211" s="192"/>
    </row>
    <row r="212" spans="1:34" x14ac:dyDescent="0.15">
      <c r="A212" s="192"/>
      <c r="B212" s="192" t="s">
        <v>2044</v>
      </c>
      <c r="C212" s="201" t="s">
        <v>1693</v>
      </c>
      <c r="D212" s="194">
        <v>100</v>
      </c>
      <c r="E212" s="192" t="s">
        <v>5</v>
      </c>
      <c r="F212" s="194">
        <v>18</v>
      </c>
      <c r="G212" s="244">
        <f>F212+Q212</f>
        <v>22.3</v>
      </c>
      <c r="H212" s="202">
        <v>43445</v>
      </c>
      <c r="I212" s="192" t="s">
        <v>6447</v>
      </c>
      <c r="J212" s="192" t="s">
        <v>6449</v>
      </c>
      <c r="K212" s="192" t="s">
        <v>2050</v>
      </c>
      <c r="L212" s="192" t="s">
        <v>6448</v>
      </c>
      <c r="M212" s="192">
        <v>2017</v>
      </c>
      <c r="N212" s="192"/>
      <c r="O212" s="192" t="s">
        <v>6450</v>
      </c>
      <c r="P212" s="195" t="s">
        <v>5</v>
      </c>
      <c r="Q212" s="195">
        <v>4.3</v>
      </c>
      <c r="R212" s="195" t="s">
        <v>6454</v>
      </c>
      <c r="S212" s="195" t="s">
        <v>1</v>
      </c>
      <c r="T212" s="195" t="s">
        <v>1</v>
      </c>
      <c r="U212" s="195" t="s">
        <v>1</v>
      </c>
      <c r="V212" s="195" t="s">
        <v>1</v>
      </c>
      <c r="W212" s="195" t="s">
        <v>1</v>
      </c>
      <c r="X212" s="195" t="s">
        <v>1</v>
      </c>
      <c r="Y212" s="195" t="s">
        <v>1</v>
      </c>
      <c r="Z212" s="195" t="s">
        <v>1</v>
      </c>
      <c r="AA212" s="195" t="s">
        <v>1</v>
      </c>
      <c r="AB212" s="195" t="s">
        <v>2159</v>
      </c>
      <c r="AC212" s="195"/>
      <c r="AD212" s="195"/>
      <c r="AE212" s="25" t="s">
        <v>6444</v>
      </c>
      <c r="AH212" s="192"/>
    </row>
    <row r="213" spans="1:34" x14ac:dyDescent="0.15">
      <c r="A213" s="192"/>
      <c r="B213" s="192" t="s">
        <v>2043</v>
      </c>
      <c r="C213" s="201" t="s">
        <v>1693</v>
      </c>
      <c r="D213" s="194">
        <v>100</v>
      </c>
      <c r="E213" s="192" t="s">
        <v>7</v>
      </c>
      <c r="F213" s="194">
        <v>35</v>
      </c>
      <c r="G213" s="244">
        <f>F213+Q213+T213</f>
        <v>45</v>
      </c>
      <c r="H213" s="202">
        <v>44468</v>
      </c>
      <c r="I213" s="192" t="s">
        <v>2057</v>
      </c>
      <c r="J213" s="192" t="s">
        <v>6455</v>
      </c>
      <c r="K213" s="192" t="s">
        <v>2050</v>
      </c>
      <c r="L213" s="192" t="s">
        <v>2061</v>
      </c>
      <c r="M213" s="192">
        <v>2018</v>
      </c>
      <c r="N213" s="192"/>
      <c r="O213" s="192" t="s">
        <v>6457</v>
      </c>
      <c r="P213" s="195" t="s">
        <v>5</v>
      </c>
      <c r="Q213" s="195">
        <v>8</v>
      </c>
      <c r="R213" s="195" t="s">
        <v>6461</v>
      </c>
      <c r="S213" s="195" t="s">
        <v>4</v>
      </c>
      <c r="T213" s="195">
        <v>2</v>
      </c>
      <c r="U213" s="195" t="s">
        <v>6464</v>
      </c>
      <c r="V213" s="195" t="s">
        <v>1</v>
      </c>
      <c r="W213" s="195" t="s">
        <v>1</v>
      </c>
      <c r="X213" s="195" t="s">
        <v>1</v>
      </c>
      <c r="Y213" s="195" t="s">
        <v>1</v>
      </c>
      <c r="Z213" s="195" t="s">
        <v>1</v>
      </c>
      <c r="AA213" s="195" t="s">
        <v>1</v>
      </c>
      <c r="AB213" s="192" t="s">
        <v>2053</v>
      </c>
      <c r="AC213" s="192"/>
      <c r="AD213" s="192"/>
      <c r="AE213" s="25" t="s">
        <v>6456</v>
      </c>
      <c r="AH213" s="192"/>
    </row>
    <row r="214" spans="1:34" x14ac:dyDescent="0.15">
      <c r="B214" s="80" t="s">
        <v>2017</v>
      </c>
      <c r="C214" s="257" t="s">
        <v>1693</v>
      </c>
      <c r="D214" s="80">
        <v>100</v>
      </c>
      <c r="E214" s="258" t="s">
        <v>7</v>
      </c>
      <c r="F214" s="80">
        <v>20</v>
      </c>
      <c r="G214" s="95">
        <f>F214+Q214+T214+Z214</f>
        <v>33.799999999999997</v>
      </c>
      <c r="H214" s="86">
        <v>45001</v>
      </c>
      <c r="I214" s="258" t="s">
        <v>7488</v>
      </c>
      <c r="J214" s="258" t="s">
        <v>7474</v>
      </c>
      <c r="K214" s="258" t="s">
        <v>2050</v>
      </c>
      <c r="L214" s="258" t="s">
        <v>2061</v>
      </c>
      <c r="M214" s="86">
        <v>41879</v>
      </c>
      <c r="O214" s="258" t="s">
        <v>7478</v>
      </c>
      <c r="P214" s="258" t="s">
        <v>5</v>
      </c>
      <c r="Q214" s="84">
        <v>9</v>
      </c>
      <c r="R214" s="258" t="s">
        <v>7482</v>
      </c>
      <c r="S214" s="258" t="s">
        <v>4</v>
      </c>
      <c r="T214" s="84">
        <v>4</v>
      </c>
      <c r="U214" s="258" t="s">
        <v>7484</v>
      </c>
      <c r="V214" s="258" t="s">
        <v>4</v>
      </c>
      <c r="W214" s="258" t="s">
        <v>1</v>
      </c>
      <c r="X214" s="258" t="s">
        <v>7485</v>
      </c>
      <c r="Y214" s="258" t="s">
        <v>7486</v>
      </c>
      <c r="Z214" s="84">
        <v>0.8</v>
      </c>
      <c r="AA214" s="258" t="s">
        <v>7487</v>
      </c>
      <c r="AB214" s="258" t="s">
        <v>6687</v>
      </c>
      <c r="AD214" s="258" t="s">
        <v>2099</v>
      </c>
      <c r="AE214" s="258" t="s">
        <v>7473</v>
      </c>
      <c r="AF214" s="80"/>
      <c r="AG214" s="80"/>
    </row>
    <row r="215" spans="1:34" x14ac:dyDescent="0.15">
      <c r="A215" s="181"/>
      <c r="B215" s="181" t="s">
        <v>2042</v>
      </c>
      <c r="C215" s="182" t="s">
        <v>1693</v>
      </c>
      <c r="D215" s="183">
        <v>100</v>
      </c>
      <c r="E215" s="181" t="s">
        <v>7</v>
      </c>
      <c r="F215" s="183">
        <v>30</v>
      </c>
      <c r="G215" s="245">
        <f>F215+Q215+T215</f>
        <v>43.9</v>
      </c>
      <c r="H215" s="186">
        <v>44881</v>
      </c>
      <c r="I215" s="181" t="s">
        <v>2057</v>
      </c>
      <c r="J215" s="181" t="s">
        <v>6465</v>
      </c>
      <c r="K215" s="181" t="s">
        <v>2050</v>
      </c>
      <c r="L215" s="181" t="s">
        <v>6466</v>
      </c>
      <c r="M215" s="187">
        <v>42948</v>
      </c>
      <c r="N215" s="181" t="s">
        <v>6473</v>
      </c>
      <c r="O215" s="181" t="s">
        <v>6467</v>
      </c>
      <c r="P215" s="185" t="s">
        <v>5</v>
      </c>
      <c r="Q215" s="185">
        <v>11</v>
      </c>
      <c r="R215" s="185" t="s">
        <v>6468</v>
      </c>
      <c r="S215" s="185" t="s">
        <v>4</v>
      </c>
      <c r="T215" s="185">
        <v>2.9</v>
      </c>
      <c r="U215" s="185" t="s">
        <v>6472</v>
      </c>
      <c r="V215" s="185" t="s">
        <v>1</v>
      </c>
      <c r="W215" s="185" t="s">
        <v>1</v>
      </c>
      <c r="X215" s="185" t="s">
        <v>1</v>
      </c>
      <c r="Y215" s="185" t="s">
        <v>1</v>
      </c>
      <c r="Z215" s="185" t="s">
        <v>1</v>
      </c>
      <c r="AA215" s="185" t="s">
        <v>1</v>
      </c>
      <c r="AB215" s="181" t="s">
        <v>2053</v>
      </c>
      <c r="AC215" s="181"/>
      <c r="AD215" s="181"/>
      <c r="AE215" s="25" t="s">
        <v>6445</v>
      </c>
      <c r="AH215" s="181"/>
    </row>
    <row r="216" spans="1:34" x14ac:dyDescent="0.15">
      <c r="A216" s="181"/>
      <c r="B216" s="181" t="s">
        <v>3057</v>
      </c>
      <c r="C216" s="182" t="s">
        <v>1693</v>
      </c>
      <c r="D216" s="183">
        <v>100</v>
      </c>
      <c r="E216" s="181" t="s">
        <v>5</v>
      </c>
      <c r="F216" s="183">
        <v>6.5</v>
      </c>
      <c r="G216" s="245">
        <f>F216+Q216</f>
        <v>10.9</v>
      </c>
      <c r="H216" s="186">
        <v>43069</v>
      </c>
      <c r="I216" s="181" t="s">
        <v>6622</v>
      </c>
      <c r="J216" s="181" t="s">
        <v>3056</v>
      </c>
      <c r="K216" s="181" t="s">
        <v>2315</v>
      </c>
      <c r="L216" s="181" t="s">
        <v>3055</v>
      </c>
      <c r="M216" s="181">
        <v>2017</v>
      </c>
      <c r="N216" s="181"/>
      <c r="O216" s="181" t="s">
        <v>3054</v>
      </c>
      <c r="P216" s="185" t="s">
        <v>5</v>
      </c>
      <c r="Q216" s="185">
        <v>4.4000000000000004</v>
      </c>
      <c r="R216" s="185" t="s">
        <v>3053</v>
      </c>
      <c r="S216" s="185" t="s">
        <v>4</v>
      </c>
      <c r="T216" s="185" t="s">
        <v>1</v>
      </c>
      <c r="U216" s="185" t="s">
        <v>3052</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2036</v>
      </c>
      <c r="C217" s="182" t="s">
        <v>1693</v>
      </c>
      <c r="D217" s="183">
        <v>100</v>
      </c>
      <c r="E217" s="181" t="s">
        <v>5</v>
      </c>
      <c r="F217" s="183">
        <v>23.9</v>
      </c>
      <c r="G217" s="245">
        <f>+Q217+F217</f>
        <v>28.299999999999997</v>
      </c>
      <c r="H217" s="186">
        <v>44719</v>
      </c>
      <c r="I217" s="181" t="s">
        <v>6712</v>
      </c>
      <c r="J217" s="181" t="s">
        <v>6711</v>
      </c>
      <c r="K217" s="181" t="s">
        <v>2050</v>
      </c>
      <c r="L217" s="181" t="s">
        <v>2061</v>
      </c>
      <c r="M217" s="181">
        <v>2021</v>
      </c>
      <c r="N217" s="181" t="s">
        <v>6713</v>
      </c>
      <c r="O217" s="181" t="s">
        <v>6714</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6662</v>
      </c>
      <c r="AC217" s="181" t="s">
        <v>6665</v>
      </c>
      <c r="AD217" s="181" t="s">
        <v>2369</v>
      </c>
      <c r="AE217" s="25" t="s">
        <v>4307</v>
      </c>
      <c r="AF217" s="71"/>
      <c r="AG217" s="66"/>
      <c r="AH217" s="181"/>
    </row>
    <row r="218" spans="1:34" x14ac:dyDescent="0.15">
      <c r="A218" s="181"/>
      <c r="B218" s="181" t="s">
        <v>2040</v>
      </c>
      <c r="C218" s="182" t="s">
        <v>1693</v>
      </c>
      <c r="D218" s="183">
        <v>100</v>
      </c>
      <c r="E218" s="181" t="s">
        <v>7</v>
      </c>
      <c r="F218" s="183">
        <v>21</v>
      </c>
      <c r="G218" s="183">
        <f>F218+Q218</f>
        <v>30.1</v>
      </c>
      <c r="H218" s="186">
        <v>44518</v>
      </c>
      <c r="I218" s="181" t="s">
        <v>6601</v>
      </c>
      <c r="J218" s="181" t="s">
        <v>6603</v>
      </c>
      <c r="K218" s="181" t="s">
        <v>2050</v>
      </c>
      <c r="L218" s="181" t="s">
        <v>6604</v>
      </c>
      <c r="M218" s="181">
        <v>2013</v>
      </c>
      <c r="N218" s="181"/>
      <c r="O218" s="181" t="s">
        <v>6605</v>
      </c>
      <c r="P218" s="185" t="s">
        <v>5</v>
      </c>
      <c r="Q218" s="185">
        <v>9.1</v>
      </c>
      <c r="R218" s="185" t="s">
        <v>6608</v>
      </c>
      <c r="S218" s="185" t="s">
        <v>1</v>
      </c>
      <c r="T218" s="185" t="s">
        <v>1</v>
      </c>
      <c r="U218" s="185" t="s">
        <v>1</v>
      </c>
      <c r="V218" s="185" t="s">
        <v>1</v>
      </c>
      <c r="W218" s="185" t="s">
        <v>1</v>
      </c>
      <c r="X218" s="185" t="s">
        <v>1</v>
      </c>
      <c r="Y218" s="185" t="s">
        <v>1</v>
      </c>
      <c r="Z218" s="185" t="s">
        <v>1</v>
      </c>
      <c r="AA218" s="185" t="s">
        <v>1</v>
      </c>
      <c r="AB218" s="181" t="s">
        <v>2060</v>
      </c>
      <c r="AC218" s="181"/>
      <c r="AD218" s="181"/>
      <c r="AE218" s="25" t="s">
        <v>6602</v>
      </c>
      <c r="AH218" s="181"/>
    </row>
    <row r="219" spans="1:34" s="12" customFormat="1" x14ac:dyDescent="0.15">
      <c r="A219" s="181"/>
      <c r="B219" s="192" t="s">
        <v>2028</v>
      </c>
      <c r="C219" s="201" t="s">
        <v>1693</v>
      </c>
      <c r="D219" s="194">
        <v>100</v>
      </c>
      <c r="E219" s="192" t="s">
        <v>5</v>
      </c>
      <c r="F219" s="194">
        <v>15.3</v>
      </c>
      <c r="G219" s="194">
        <f>F219+Q219</f>
        <v>18.8</v>
      </c>
      <c r="H219" s="202">
        <v>44733</v>
      </c>
      <c r="I219" s="192" t="s">
        <v>6787</v>
      </c>
      <c r="J219" s="192" t="s">
        <v>6786</v>
      </c>
      <c r="K219" s="192" t="s">
        <v>2050</v>
      </c>
      <c r="L219" s="192" t="s">
        <v>6476</v>
      </c>
      <c r="M219" s="192">
        <v>2020</v>
      </c>
      <c r="N219" s="192"/>
      <c r="O219" s="192" t="s">
        <v>6788</v>
      </c>
      <c r="P219" s="195" t="s">
        <v>4</v>
      </c>
      <c r="Q219" s="195">
        <v>3.5</v>
      </c>
      <c r="R219" s="195" t="s">
        <v>6790</v>
      </c>
      <c r="S219" s="195" t="s">
        <v>1</v>
      </c>
      <c r="T219" s="195" t="s">
        <v>1</v>
      </c>
      <c r="U219" s="195" t="s">
        <v>1</v>
      </c>
      <c r="V219" s="195" t="s">
        <v>1</v>
      </c>
      <c r="W219" s="195" t="s">
        <v>1</v>
      </c>
      <c r="X219" s="195" t="s">
        <v>1</v>
      </c>
      <c r="Y219" s="195" t="s">
        <v>1</v>
      </c>
      <c r="Z219" s="195" t="s">
        <v>1</v>
      </c>
      <c r="AA219" s="195" t="s">
        <v>1</v>
      </c>
      <c r="AB219" s="192" t="s">
        <v>6662</v>
      </c>
      <c r="AC219" s="192" t="s">
        <v>6665</v>
      </c>
      <c r="AD219" s="192" t="s">
        <v>2369</v>
      </c>
      <c r="AE219" s="25" t="s">
        <v>6785</v>
      </c>
      <c r="AF219" s="70"/>
      <c r="AG219" s="65"/>
      <c r="AH219" s="192"/>
    </row>
    <row r="220" spans="1:34" s="12" customFormat="1" x14ac:dyDescent="0.15">
      <c r="A220" s="181"/>
      <c r="B220" s="181" t="s">
        <v>2039</v>
      </c>
      <c r="C220" s="182" t="s">
        <v>1693</v>
      </c>
      <c r="D220" s="183">
        <v>100</v>
      </c>
      <c r="E220" s="181" t="s">
        <v>7</v>
      </c>
      <c r="F220" s="183">
        <v>25</v>
      </c>
      <c r="G220" s="183"/>
      <c r="H220" s="186">
        <v>44572</v>
      </c>
      <c r="I220" s="181" t="s">
        <v>2057</v>
      </c>
      <c r="J220" s="181" t="s">
        <v>6615</v>
      </c>
      <c r="K220" s="181" t="s">
        <v>2050</v>
      </c>
      <c r="L220" s="181" t="s">
        <v>2057</v>
      </c>
      <c r="M220" s="188">
        <v>42767</v>
      </c>
      <c r="N220" s="181"/>
      <c r="O220" s="181" t="s">
        <v>6616</v>
      </c>
      <c r="P220" s="185" t="s">
        <v>5</v>
      </c>
      <c r="Q220" s="185">
        <v>5</v>
      </c>
      <c r="R220" s="185" t="s">
        <v>6619</v>
      </c>
      <c r="S220" s="185" t="s">
        <v>4</v>
      </c>
      <c r="T220" s="185">
        <v>1</v>
      </c>
      <c r="U220" s="185" t="s">
        <v>6621</v>
      </c>
      <c r="V220" s="185" t="s">
        <v>1</v>
      </c>
      <c r="W220" s="185" t="s">
        <v>1</v>
      </c>
      <c r="X220" s="185" t="s">
        <v>1</v>
      </c>
      <c r="Y220" s="185" t="s">
        <v>1</v>
      </c>
      <c r="Z220" s="185" t="s">
        <v>1</v>
      </c>
      <c r="AA220" s="185" t="s">
        <v>1</v>
      </c>
      <c r="AB220" s="181" t="s">
        <v>6612</v>
      </c>
      <c r="AC220" s="181"/>
      <c r="AD220" s="181"/>
      <c r="AE220" s="25" t="s">
        <v>6613</v>
      </c>
      <c r="AF220" s="70"/>
      <c r="AG220" s="65"/>
      <c r="AH220" s="181"/>
    </row>
    <row r="221" spans="1:34" x14ac:dyDescent="0.15">
      <c r="A221" s="181"/>
      <c r="B221" s="80" t="s">
        <v>889</v>
      </c>
      <c r="C221" s="81" t="s">
        <v>1693</v>
      </c>
      <c r="D221" s="82">
        <v>80</v>
      </c>
      <c r="E221" s="80" t="s">
        <v>5</v>
      </c>
      <c r="F221" s="82">
        <v>20</v>
      </c>
      <c r="H221" s="85">
        <v>45009</v>
      </c>
      <c r="I221" s="80" t="s">
        <v>3051</v>
      </c>
      <c r="J221" s="80" t="s">
        <v>3050</v>
      </c>
      <c r="K221" s="80" t="s">
        <v>2050</v>
      </c>
      <c r="L221" s="80" t="s">
        <v>2705</v>
      </c>
      <c r="M221" s="80">
        <v>2021</v>
      </c>
      <c r="O221" s="80" t="s">
        <v>3049</v>
      </c>
      <c r="P221" s="84" t="s">
        <v>1</v>
      </c>
      <c r="Q221" s="84" t="s">
        <v>1</v>
      </c>
      <c r="R221" s="84" t="s">
        <v>1</v>
      </c>
      <c r="S221" s="84" t="s">
        <v>1</v>
      </c>
      <c r="T221" s="84" t="s">
        <v>1</v>
      </c>
      <c r="U221" s="84" t="s">
        <v>1</v>
      </c>
      <c r="V221" s="84" t="s">
        <v>1</v>
      </c>
      <c r="W221" s="84" t="s">
        <v>1</v>
      </c>
      <c r="X221" s="84" t="s">
        <v>1</v>
      </c>
      <c r="Y221" s="84" t="s">
        <v>1</v>
      </c>
      <c r="Z221" s="84" t="s">
        <v>1</v>
      </c>
      <c r="AA221" s="84" t="s">
        <v>1</v>
      </c>
      <c r="AB221" s="80" t="s">
        <v>3048</v>
      </c>
    </row>
    <row r="222" spans="1:34" x14ac:dyDescent="0.15">
      <c r="A222" s="181"/>
      <c r="B222" s="80" t="s">
        <v>560</v>
      </c>
      <c r="C222" s="81" t="s">
        <v>1693</v>
      </c>
      <c r="D222" s="82">
        <v>80</v>
      </c>
      <c r="E222" s="80" t="s">
        <v>5</v>
      </c>
      <c r="F222" s="82">
        <v>20</v>
      </c>
      <c r="H222" s="85">
        <v>44701</v>
      </c>
      <c r="I222" s="80" t="s">
        <v>3047</v>
      </c>
      <c r="J222" s="80" t="s">
        <v>3046</v>
      </c>
      <c r="K222" s="80" t="s">
        <v>2050</v>
      </c>
      <c r="L222" s="80" t="s">
        <v>3045</v>
      </c>
      <c r="M222" s="80">
        <v>2021</v>
      </c>
      <c r="O222" s="80" t="s">
        <v>3044</v>
      </c>
      <c r="P222" s="84" t="s">
        <v>1</v>
      </c>
      <c r="Q222" s="84" t="s">
        <v>1</v>
      </c>
      <c r="R222" s="84" t="s">
        <v>1</v>
      </c>
      <c r="S222" s="84" t="s">
        <v>1</v>
      </c>
      <c r="T222" s="84" t="s">
        <v>1</v>
      </c>
      <c r="U222" s="84" t="s">
        <v>1</v>
      </c>
      <c r="V222" s="84" t="s">
        <v>1</v>
      </c>
      <c r="W222" s="84" t="s">
        <v>1</v>
      </c>
      <c r="X222" s="84" t="s">
        <v>1</v>
      </c>
      <c r="Y222" s="84" t="s">
        <v>1</v>
      </c>
      <c r="Z222" s="84" t="s">
        <v>1</v>
      </c>
      <c r="AA222" s="84" t="s">
        <v>1</v>
      </c>
      <c r="AB222" s="80" t="s">
        <v>3043</v>
      </c>
    </row>
    <row r="223" spans="1:34" x14ac:dyDescent="0.15">
      <c r="A223" s="181"/>
      <c r="B223" s="80" t="s">
        <v>3042</v>
      </c>
      <c r="C223" s="81" t="s">
        <v>1693</v>
      </c>
      <c r="D223" s="82">
        <v>80</v>
      </c>
      <c r="E223" s="80" t="s">
        <v>7</v>
      </c>
      <c r="F223" s="82">
        <v>20</v>
      </c>
      <c r="H223" s="85">
        <v>44756</v>
      </c>
      <c r="I223" s="80" t="s">
        <v>2596</v>
      </c>
      <c r="J223" s="80" t="s">
        <v>3041</v>
      </c>
      <c r="K223" s="80" t="s">
        <v>2315</v>
      </c>
      <c r="L223" s="80" t="s">
        <v>3040</v>
      </c>
      <c r="M223" s="80">
        <v>2015</v>
      </c>
      <c r="N223" s="80" t="s">
        <v>3039</v>
      </c>
      <c r="O223" s="80" t="s">
        <v>3038</v>
      </c>
      <c r="P223" s="84" t="s">
        <v>5</v>
      </c>
      <c r="Q223" s="84">
        <v>5.5</v>
      </c>
      <c r="R223" s="84" t="s">
        <v>3037</v>
      </c>
      <c r="S223" s="84" t="s">
        <v>4</v>
      </c>
      <c r="T223" s="84">
        <v>2</v>
      </c>
      <c r="U223" s="84" t="s">
        <v>3036</v>
      </c>
      <c r="V223" s="84" t="s">
        <v>4</v>
      </c>
      <c r="W223" s="84">
        <v>1.3</v>
      </c>
      <c r="X223" s="84" t="s">
        <v>3035</v>
      </c>
      <c r="Y223" s="84" t="s">
        <v>4</v>
      </c>
      <c r="Z223" s="84">
        <v>0.4</v>
      </c>
      <c r="AA223" s="84" t="s">
        <v>1</v>
      </c>
      <c r="AB223" s="80" t="s">
        <v>2185</v>
      </c>
    </row>
    <row r="224" spans="1:34" x14ac:dyDescent="0.15">
      <c r="A224" s="181"/>
      <c r="B224" s="80" t="s">
        <v>457</v>
      </c>
      <c r="C224" s="81" t="s">
        <v>1693</v>
      </c>
      <c r="D224" s="82">
        <v>75</v>
      </c>
      <c r="E224" s="80" t="s">
        <v>7</v>
      </c>
      <c r="F224" s="82">
        <v>26.8</v>
      </c>
      <c r="H224" s="85">
        <v>44600</v>
      </c>
      <c r="I224" s="80" t="s">
        <v>3034</v>
      </c>
      <c r="J224" s="80" t="s">
        <v>3033</v>
      </c>
      <c r="K224" s="80" t="s">
        <v>2050</v>
      </c>
      <c r="L224" s="80" t="s">
        <v>3032</v>
      </c>
      <c r="M224" s="80">
        <v>2012</v>
      </c>
      <c r="O224" s="80" t="s">
        <v>3031</v>
      </c>
      <c r="P224" s="84" t="s">
        <v>5</v>
      </c>
      <c r="Q224" s="84">
        <v>8.3000000000000007</v>
      </c>
      <c r="R224" s="84" t="s">
        <v>3030</v>
      </c>
      <c r="S224" s="84" t="s">
        <v>4</v>
      </c>
      <c r="T224" s="84" t="s">
        <v>1</v>
      </c>
      <c r="U224" s="84" t="s">
        <v>3029</v>
      </c>
      <c r="V224" s="84" t="s">
        <v>1</v>
      </c>
      <c r="W224" s="84" t="s">
        <v>1</v>
      </c>
      <c r="X224" s="84" t="s">
        <v>1</v>
      </c>
      <c r="Y224" s="84" t="s">
        <v>1</v>
      </c>
      <c r="Z224" s="84" t="s">
        <v>1</v>
      </c>
      <c r="AA224" s="84" t="s">
        <v>1</v>
      </c>
      <c r="AB224" s="80" t="s">
        <v>3028</v>
      </c>
    </row>
    <row r="225" spans="1:34" x14ac:dyDescent="0.15">
      <c r="A225" s="181"/>
      <c r="B225" s="80" t="s">
        <v>3027</v>
      </c>
      <c r="C225" s="81" t="s">
        <v>1693</v>
      </c>
      <c r="D225" s="82">
        <v>75</v>
      </c>
      <c r="E225" s="80" t="s">
        <v>7</v>
      </c>
      <c r="F225" s="82">
        <v>26</v>
      </c>
      <c r="H225" s="85">
        <v>44594</v>
      </c>
      <c r="J225" s="80" t="s">
        <v>3026</v>
      </c>
      <c r="K225" s="80" t="s">
        <v>2050</v>
      </c>
      <c r="L225" s="80" t="s">
        <v>3025</v>
      </c>
      <c r="M225" s="80">
        <v>2015</v>
      </c>
      <c r="O225" s="80" t="s">
        <v>3024</v>
      </c>
      <c r="P225" s="84" t="s">
        <v>7</v>
      </c>
      <c r="Q225" s="84">
        <v>13</v>
      </c>
      <c r="R225" s="84" t="s">
        <v>942</v>
      </c>
      <c r="S225" s="84" t="s">
        <v>5</v>
      </c>
      <c r="T225" s="84">
        <v>5</v>
      </c>
      <c r="U225" s="84" t="s">
        <v>433</v>
      </c>
      <c r="V225" s="84" t="s">
        <v>4</v>
      </c>
      <c r="W225" s="84">
        <v>1.5</v>
      </c>
      <c r="X225" s="84" t="s">
        <v>1</v>
      </c>
      <c r="Y225" s="84" t="s">
        <v>1</v>
      </c>
      <c r="Z225" s="84" t="s">
        <v>1</v>
      </c>
      <c r="AA225" s="84" t="s">
        <v>1</v>
      </c>
      <c r="AB225" s="80" t="s">
        <v>2048</v>
      </c>
    </row>
    <row r="226" spans="1:34" s="12" customFormat="1" x14ac:dyDescent="0.15">
      <c r="A226" s="181"/>
      <c r="B226" s="80" t="s">
        <v>462</v>
      </c>
      <c r="C226" s="81" t="s">
        <v>1693</v>
      </c>
      <c r="D226" s="82">
        <v>75</v>
      </c>
      <c r="E226" s="80" t="s">
        <v>7</v>
      </c>
      <c r="F226" s="82">
        <v>25.7</v>
      </c>
      <c r="G226" s="82"/>
      <c r="H226" s="27">
        <v>43837</v>
      </c>
      <c r="I226" s="80" t="s">
        <v>3023</v>
      </c>
      <c r="J226" s="80" t="s">
        <v>3022</v>
      </c>
      <c r="K226" s="80" t="s">
        <v>2050</v>
      </c>
      <c r="L226" s="80" t="s">
        <v>2067</v>
      </c>
      <c r="M226" s="80">
        <v>2015</v>
      </c>
      <c r="N226" s="80"/>
      <c r="O226" s="80" t="s">
        <v>3021</v>
      </c>
      <c r="P226" s="84" t="s">
        <v>5</v>
      </c>
      <c r="Q226" s="84">
        <v>21.6</v>
      </c>
      <c r="R226" s="84" t="s">
        <v>3020</v>
      </c>
      <c r="S226" s="84" t="s">
        <v>1</v>
      </c>
      <c r="T226" s="84" t="s">
        <v>1</v>
      </c>
      <c r="U226" s="84" t="s">
        <v>1</v>
      </c>
      <c r="V226" s="84" t="s">
        <v>1</v>
      </c>
      <c r="W226" s="84" t="s">
        <v>1</v>
      </c>
      <c r="X226" s="84" t="s">
        <v>1</v>
      </c>
      <c r="Y226" s="84" t="s">
        <v>1</v>
      </c>
      <c r="Z226" s="84" t="s">
        <v>1</v>
      </c>
      <c r="AA226" s="84" t="s">
        <v>1</v>
      </c>
      <c r="AB226" s="80" t="s">
        <v>3019</v>
      </c>
      <c r="AC226" s="80"/>
      <c r="AD226" s="80"/>
      <c r="AE226" s="80"/>
      <c r="AF226" s="70"/>
      <c r="AG226" s="65"/>
      <c r="AH226" s="80"/>
    </row>
    <row r="227" spans="1:34" x14ac:dyDescent="0.15">
      <c r="A227" s="181"/>
      <c r="B227" s="80" t="s">
        <v>351</v>
      </c>
      <c r="C227" s="81" t="s">
        <v>1693</v>
      </c>
      <c r="D227" s="82">
        <v>75</v>
      </c>
      <c r="E227" s="80" t="s">
        <v>7</v>
      </c>
      <c r="F227" s="82">
        <v>22</v>
      </c>
      <c r="H227" s="85">
        <v>44861</v>
      </c>
      <c r="I227" s="80" t="s">
        <v>3018</v>
      </c>
      <c r="J227" s="80" t="s">
        <v>3017</v>
      </c>
      <c r="K227" s="80" t="s">
        <v>2050</v>
      </c>
      <c r="L227" s="80" t="s">
        <v>2067</v>
      </c>
      <c r="M227" s="80">
        <v>2018</v>
      </c>
      <c r="O227" s="80" t="s">
        <v>3016</v>
      </c>
      <c r="P227" s="84" t="s">
        <v>5</v>
      </c>
      <c r="Q227" s="84">
        <v>15</v>
      </c>
      <c r="R227" s="84" t="s">
        <v>3015</v>
      </c>
      <c r="S227" s="84" t="s">
        <v>4</v>
      </c>
      <c r="T227" s="84">
        <v>7</v>
      </c>
      <c r="U227" s="84" t="s">
        <v>352</v>
      </c>
      <c r="V227" s="84" t="s">
        <v>1</v>
      </c>
      <c r="W227" s="84" t="s">
        <v>1</v>
      </c>
      <c r="X227" s="84" t="s">
        <v>1</v>
      </c>
      <c r="Y227" s="84" t="s">
        <v>1</v>
      </c>
      <c r="Z227" s="84" t="s">
        <v>1</v>
      </c>
      <c r="AA227" s="84" t="s">
        <v>1</v>
      </c>
      <c r="AB227" s="80" t="s">
        <v>2083</v>
      </c>
    </row>
    <row r="228" spans="1:34" s="181" customFormat="1" x14ac:dyDescent="0.15">
      <c r="A228" s="80"/>
      <c r="B228" s="192" t="s">
        <v>2038</v>
      </c>
      <c r="C228" s="201" t="s">
        <v>1693</v>
      </c>
      <c r="D228" s="193">
        <v>75</v>
      </c>
      <c r="E228" s="192" t="s">
        <v>5</v>
      </c>
      <c r="F228" s="193">
        <v>25</v>
      </c>
      <c r="G228" s="193">
        <f>+F228+Q228</f>
        <v>30</v>
      </c>
      <c r="H228" s="85">
        <v>44454</v>
      </c>
      <c r="I228" s="192" t="s">
        <v>6690</v>
      </c>
      <c r="J228" s="192" t="s">
        <v>6689</v>
      </c>
      <c r="K228" s="192" t="s">
        <v>2050</v>
      </c>
      <c r="L228" s="192" t="s">
        <v>6693</v>
      </c>
      <c r="M228" s="192">
        <v>2020</v>
      </c>
      <c r="N228" s="192"/>
      <c r="O228" s="192" t="s">
        <v>6692</v>
      </c>
      <c r="P228" s="195" t="s">
        <v>4</v>
      </c>
      <c r="Q228" s="195">
        <v>5</v>
      </c>
      <c r="R228" s="195" t="s">
        <v>1001</v>
      </c>
      <c r="S228" s="195" t="s">
        <v>1</v>
      </c>
      <c r="T228" s="195" t="s">
        <v>1</v>
      </c>
      <c r="U228" s="195" t="s">
        <v>1</v>
      </c>
      <c r="V228" s="195" t="s">
        <v>1</v>
      </c>
      <c r="W228" s="195" t="s">
        <v>1</v>
      </c>
      <c r="X228" s="195" t="s">
        <v>1</v>
      </c>
      <c r="Y228" s="195" t="s">
        <v>1</v>
      </c>
      <c r="Z228" s="195" t="s">
        <v>1</v>
      </c>
      <c r="AA228" s="195" t="s">
        <v>1</v>
      </c>
      <c r="AB228" s="192" t="s">
        <v>6662</v>
      </c>
      <c r="AC228" s="192" t="s">
        <v>6665</v>
      </c>
      <c r="AD228" s="192" t="s">
        <v>6673</v>
      </c>
      <c r="AE228" s="203" t="s">
        <v>6691</v>
      </c>
      <c r="AF228" s="65"/>
      <c r="AG228" s="65"/>
      <c r="AH228" s="192"/>
    </row>
    <row r="229" spans="1:34" x14ac:dyDescent="0.15">
      <c r="B229" s="80" t="s">
        <v>723</v>
      </c>
      <c r="C229" s="81" t="s">
        <v>1693</v>
      </c>
      <c r="D229" s="82">
        <v>75</v>
      </c>
      <c r="E229" s="80" t="s">
        <v>5</v>
      </c>
      <c r="F229" s="82">
        <v>20</v>
      </c>
      <c r="H229" s="85">
        <v>44903</v>
      </c>
      <c r="I229" s="80" t="s">
        <v>3014</v>
      </c>
      <c r="J229" s="80" t="s">
        <v>3013</v>
      </c>
      <c r="K229" s="80" t="s">
        <v>2050</v>
      </c>
      <c r="L229" s="80" t="s">
        <v>3012</v>
      </c>
      <c r="M229" s="92" t="s">
        <v>2989</v>
      </c>
      <c r="O229" s="80" t="s">
        <v>3011</v>
      </c>
      <c r="P229" s="84" t="s">
        <v>5</v>
      </c>
      <c r="Q229" s="84">
        <v>11</v>
      </c>
      <c r="R229" s="84" t="s">
        <v>3010</v>
      </c>
      <c r="S229" s="84" t="s">
        <v>4</v>
      </c>
      <c r="T229" s="84">
        <v>3</v>
      </c>
      <c r="U229" s="84" t="s">
        <v>3009</v>
      </c>
      <c r="V229" s="84" t="s">
        <v>278</v>
      </c>
      <c r="W229" s="84">
        <v>1.2</v>
      </c>
      <c r="X229" s="84" t="s">
        <v>3008</v>
      </c>
      <c r="Y229" s="84" t="s">
        <v>1</v>
      </c>
      <c r="Z229" s="84" t="s">
        <v>1</v>
      </c>
      <c r="AA229" s="84" t="s">
        <v>1</v>
      </c>
      <c r="AB229" s="80" t="s">
        <v>2048</v>
      </c>
    </row>
    <row r="230" spans="1:34" x14ac:dyDescent="0.15">
      <c r="B230" s="80" t="s">
        <v>3007</v>
      </c>
      <c r="C230" s="81" t="s">
        <v>1693</v>
      </c>
      <c r="D230" s="82">
        <v>75</v>
      </c>
      <c r="E230" s="80" t="s">
        <v>5</v>
      </c>
      <c r="F230" s="82">
        <v>20</v>
      </c>
      <c r="H230" s="85">
        <v>44578</v>
      </c>
      <c r="I230" s="80" t="s">
        <v>2880</v>
      </c>
      <c r="K230" s="80" t="s">
        <v>2050</v>
      </c>
      <c r="L230" s="80" t="s">
        <v>2531</v>
      </c>
      <c r="M230" s="86">
        <v>43510</v>
      </c>
      <c r="O230" s="80" t="s">
        <v>3006</v>
      </c>
      <c r="P230" s="84" t="s">
        <v>4</v>
      </c>
      <c r="Q230" s="84">
        <v>6</v>
      </c>
      <c r="R230" s="84" t="s">
        <v>3005</v>
      </c>
      <c r="S230" s="84" t="s">
        <v>4</v>
      </c>
      <c r="T230" s="84" t="s">
        <v>1</v>
      </c>
      <c r="U230" s="84" t="s">
        <v>3004</v>
      </c>
      <c r="V230" s="84" t="s">
        <v>1</v>
      </c>
      <c r="W230" s="84" t="s">
        <v>1</v>
      </c>
      <c r="X230" s="84" t="s">
        <v>1</v>
      </c>
      <c r="Y230" s="84" t="s">
        <v>1</v>
      </c>
      <c r="Z230" s="84" t="s">
        <v>1</v>
      </c>
      <c r="AA230" s="84" t="s">
        <v>1</v>
      </c>
      <c r="AB230" s="80" t="s">
        <v>2442</v>
      </c>
    </row>
    <row r="231" spans="1:34" x14ac:dyDescent="0.15">
      <c r="B231" s="80" t="s">
        <v>3003</v>
      </c>
      <c r="C231" s="81" t="s">
        <v>1693</v>
      </c>
      <c r="D231" s="82">
        <v>75</v>
      </c>
      <c r="E231" s="80" t="s">
        <v>5</v>
      </c>
      <c r="F231" s="82">
        <v>20</v>
      </c>
      <c r="H231" s="85">
        <v>44602</v>
      </c>
      <c r="I231" s="80" t="s">
        <v>3002</v>
      </c>
      <c r="J231" s="80" t="s">
        <v>3001</v>
      </c>
      <c r="K231" s="80" t="s">
        <v>2050</v>
      </c>
      <c r="L231" s="80" t="s">
        <v>2531</v>
      </c>
      <c r="M231" s="80">
        <v>2019</v>
      </c>
      <c r="O231" s="80" t="s">
        <v>3000</v>
      </c>
      <c r="P231" s="84" t="s">
        <v>1</v>
      </c>
      <c r="Q231" s="84" t="s">
        <v>1</v>
      </c>
      <c r="R231" s="84" t="s">
        <v>1</v>
      </c>
      <c r="S231" s="84" t="s">
        <v>1</v>
      </c>
      <c r="T231" s="84" t="s">
        <v>1</v>
      </c>
      <c r="U231" s="84" t="s">
        <v>1</v>
      </c>
      <c r="V231" s="84" t="s">
        <v>1</v>
      </c>
      <c r="W231" s="84" t="s">
        <v>1</v>
      </c>
      <c r="X231" s="84" t="s">
        <v>1</v>
      </c>
      <c r="Y231" s="84" t="s">
        <v>1</v>
      </c>
      <c r="Z231" s="84" t="s">
        <v>1</v>
      </c>
      <c r="AA231" s="84" t="s">
        <v>1</v>
      </c>
      <c r="AB231" s="80" t="s">
        <v>2083</v>
      </c>
    </row>
    <row r="232" spans="1:34" x14ac:dyDescent="0.15">
      <c r="B232" s="12" t="s">
        <v>696</v>
      </c>
      <c r="C232" s="29" t="s">
        <v>1693</v>
      </c>
      <c r="D232" s="15">
        <v>75</v>
      </c>
      <c r="E232" s="12" t="s">
        <v>5</v>
      </c>
      <c r="F232" s="15">
        <v>20</v>
      </c>
      <c r="G232" s="15"/>
      <c r="H232" s="33">
        <v>44392</v>
      </c>
      <c r="I232" s="12" t="s">
        <v>2999</v>
      </c>
      <c r="J232" s="12" t="s">
        <v>2998</v>
      </c>
      <c r="K232" s="32" t="s">
        <v>2050</v>
      </c>
      <c r="L232" s="32" t="s">
        <v>2458</v>
      </c>
      <c r="M232" s="12">
        <v>2019</v>
      </c>
      <c r="N232" s="12"/>
      <c r="O232" s="12" t="s">
        <v>2997</v>
      </c>
      <c r="P232" s="24" t="s">
        <v>4</v>
      </c>
      <c r="Q232" s="24">
        <v>3.4</v>
      </c>
      <c r="R232" s="24" t="s">
        <v>697</v>
      </c>
      <c r="S232" s="24" t="s">
        <v>1</v>
      </c>
      <c r="T232" s="24" t="s">
        <v>1</v>
      </c>
      <c r="U232" s="24" t="s">
        <v>1</v>
      </c>
      <c r="V232" s="24" t="s">
        <v>1</v>
      </c>
      <c r="W232" s="24" t="s">
        <v>1</v>
      </c>
      <c r="X232" s="24" t="s">
        <v>1</v>
      </c>
      <c r="Y232" s="24" t="s">
        <v>1</v>
      </c>
      <c r="Z232" s="24" t="s">
        <v>1</v>
      </c>
      <c r="AA232" s="24" t="s">
        <v>1</v>
      </c>
      <c r="AB232" s="12" t="s">
        <v>2060</v>
      </c>
      <c r="AC232" s="12"/>
      <c r="AD232" s="12"/>
      <c r="AE232" s="12"/>
      <c r="AF232" s="72"/>
      <c r="AG232" s="67"/>
      <c r="AH232" s="12"/>
    </row>
    <row r="233" spans="1:34" x14ac:dyDescent="0.15">
      <c r="B233" s="12" t="s">
        <v>2996</v>
      </c>
      <c r="C233" s="29" t="s">
        <v>1693</v>
      </c>
      <c r="D233" s="15">
        <v>75</v>
      </c>
      <c r="E233" s="12" t="s">
        <v>5</v>
      </c>
      <c r="F233" s="15">
        <v>20</v>
      </c>
      <c r="G233" s="15"/>
      <c r="H233" s="14">
        <v>44614</v>
      </c>
      <c r="I233" s="12" t="s">
        <v>2995</v>
      </c>
      <c r="J233" s="12"/>
      <c r="K233" s="12" t="s">
        <v>2576</v>
      </c>
      <c r="L233" s="12" t="s">
        <v>2994</v>
      </c>
      <c r="M233" s="12">
        <v>2021</v>
      </c>
      <c r="N233" s="12"/>
      <c r="O233" s="12" t="s">
        <v>2993</v>
      </c>
      <c r="P233" s="24" t="s">
        <v>1</v>
      </c>
      <c r="Q233" s="24" t="s">
        <v>1</v>
      </c>
      <c r="R233" s="24" t="s">
        <v>1</v>
      </c>
      <c r="S233" s="24" t="s">
        <v>1</v>
      </c>
      <c r="T233" s="24" t="s">
        <v>1</v>
      </c>
      <c r="U233" s="24" t="s">
        <v>1</v>
      </c>
      <c r="V233" s="24" t="s">
        <v>1</v>
      </c>
      <c r="W233" s="24" t="s">
        <v>1</v>
      </c>
      <c r="X233" s="24" t="s">
        <v>1</v>
      </c>
      <c r="Y233" s="24" t="s">
        <v>1</v>
      </c>
      <c r="Z233" s="24" t="s">
        <v>1</v>
      </c>
      <c r="AA233" s="24" t="s">
        <v>1</v>
      </c>
      <c r="AB233" s="12" t="s">
        <v>2992</v>
      </c>
      <c r="AC233" s="12"/>
      <c r="AD233" s="12"/>
      <c r="AE233" s="12"/>
      <c r="AF233" s="72"/>
      <c r="AG233" s="67"/>
      <c r="AH233" s="12"/>
    </row>
    <row r="234" spans="1:34" x14ac:dyDescent="0.15">
      <c r="B234" s="12" t="s">
        <v>721</v>
      </c>
      <c r="C234" s="81" t="s">
        <v>1693</v>
      </c>
      <c r="D234" s="82">
        <v>75</v>
      </c>
      <c r="E234" s="80" t="s">
        <v>5</v>
      </c>
      <c r="F234" s="82">
        <v>20</v>
      </c>
      <c r="H234" s="27">
        <v>44455</v>
      </c>
      <c r="I234" s="80" t="s">
        <v>2991</v>
      </c>
      <c r="J234" s="80" t="s">
        <v>2990</v>
      </c>
      <c r="K234" s="80" t="s">
        <v>2576</v>
      </c>
      <c r="L234" s="80" t="s">
        <v>2402</v>
      </c>
      <c r="M234" s="94" t="s">
        <v>2989</v>
      </c>
      <c r="O234" s="80" t="s">
        <v>2988</v>
      </c>
      <c r="P234" s="84" t="s">
        <v>4</v>
      </c>
      <c r="Q234" s="84" t="s">
        <v>2987</v>
      </c>
      <c r="R234" s="84" t="s">
        <v>1</v>
      </c>
      <c r="S234" s="84" t="s">
        <v>1</v>
      </c>
      <c r="T234" s="84" t="s">
        <v>1</v>
      </c>
      <c r="U234" s="84" t="s">
        <v>1</v>
      </c>
      <c r="V234" s="84" t="s">
        <v>1</v>
      </c>
      <c r="W234" s="84" t="s">
        <v>1</v>
      </c>
      <c r="X234" s="84" t="s">
        <v>1</v>
      </c>
      <c r="Y234" s="84" t="s">
        <v>1</v>
      </c>
      <c r="Z234" s="84" t="s">
        <v>1</v>
      </c>
      <c r="AA234" s="84" t="s">
        <v>1</v>
      </c>
      <c r="AB234" s="80" t="s">
        <v>2986</v>
      </c>
    </row>
    <row r="235" spans="1:34" x14ac:dyDescent="0.15">
      <c r="B235" s="80" t="s">
        <v>1125</v>
      </c>
      <c r="C235" s="81" t="s">
        <v>1693</v>
      </c>
      <c r="D235" s="82">
        <v>75</v>
      </c>
      <c r="E235" s="80" t="s">
        <v>5</v>
      </c>
      <c r="F235" s="82">
        <v>20</v>
      </c>
      <c r="H235" s="27">
        <v>44371</v>
      </c>
      <c r="I235" s="80" t="s">
        <v>2985</v>
      </c>
      <c r="J235" s="80" t="s">
        <v>2984</v>
      </c>
      <c r="K235" s="80" t="s">
        <v>2050</v>
      </c>
      <c r="L235" s="80" t="s">
        <v>2237</v>
      </c>
      <c r="M235" s="94">
        <v>2020</v>
      </c>
      <c r="O235" s="80" t="s">
        <v>2983</v>
      </c>
      <c r="P235" s="84" t="s">
        <v>1</v>
      </c>
      <c r="Q235" s="84" t="s">
        <v>1</v>
      </c>
      <c r="R235" s="84" t="s">
        <v>1</v>
      </c>
      <c r="S235" s="84" t="s">
        <v>1</v>
      </c>
      <c r="T235" s="84" t="s">
        <v>1</v>
      </c>
      <c r="U235" s="84" t="s">
        <v>1</v>
      </c>
      <c r="V235" s="84" t="s">
        <v>1</v>
      </c>
      <c r="W235" s="84" t="s">
        <v>1</v>
      </c>
      <c r="X235" s="84" t="s">
        <v>1</v>
      </c>
      <c r="Y235" s="84" t="s">
        <v>1</v>
      </c>
      <c r="Z235" s="84" t="s">
        <v>1</v>
      </c>
      <c r="AA235" s="84" t="s">
        <v>1</v>
      </c>
      <c r="AB235" s="80" t="s">
        <v>2060</v>
      </c>
    </row>
    <row r="236" spans="1:34" x14ac:dyDescent="0.15">
      <c r="B236" s="80" t="s">
        <v>2982</v>
      </c>
      <c r="C236" s="81" t="s">
        <v>1693</v>
      </c>
      <c r="D236" s="82">
        <v>75</v>
      </c>
      <c r="E236" s="80" t="s">
        <v>4</v>
      </c>
      <c r="F236" s="82">
        <v>20</v>
      </c>
      <c r="H236" s="85">
        <v>44594</v>
      </c>
      <c r="I236" s="80" t="s">
        <v>2981</v>
      </c>
      <c r="J236" s="80" t="s">
        <v>2980</v>
      </c>
      <c r="K236" s="80" t="s">
        <v>2356</v>
      </c>
      <c r="L236" s="80" t="s">
        <v>2979</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2152</v>
      </c>
    </row>
    <row r="237" spans="1:34" x14ac:dyDescent="0.15">
      <c r="B237" s="80" t="s">
        <v>2978</v>
      </c>
      <c r="C237" s="81" t="s">
        <v>1693</v>
      </c>
      <c r="D237" s="82">
        <v>75</v>
      </c>
      <c r="E237" s="80" t="s">
        <v>4</v>
      </c>
      <c r="F237" s="82">
        <v>18</v>
      </c>
      <c r="H237" s="85">
        <v>45022</v>
      </c>
      <c r="I237" s="80" t="s">
        <v>2977</v>
      </c>
      <c r="K237" s="80" t="s">
        <v>2050</v>
      </c>
      <c r="L237" s="80" t="s">
        <v>1797</v>
      </c>
      <c r="M237" s="80">
        <v>2022</v>
      </c>
      <c r="N237" s="80" t="s">
        <v>1902</v>
      </c>
      <c r="O237" s="80" t="s">
        <v>2976</v>
      </c>
      <c r="P237" s="84" t="s">
        <v>278</v>
      </c>
      <c r="Q237" s="84">
        <v>2.2999999999999998</v>
      </c>
      <c r="R237" s="84" t="s">
        <v>2975</v>
      </c>
      <c r="S237" s="84" t="s">
        <v>1</v>
      </c>
      <c r="T237" s="84" t="s">
        <v>1</v>
      </c>
      <c r="U237" s="84" t="s">
        <v>1</v>
      </c>
      <c r="V237" s="84" t="s">
        <v>1</v>
      </c>
      <c r="W237" s="84" t="s">
        <v>1</v>
      </c>
      <c r="X237" s="84" t="s">
        <v>1</v>
      </c>
      <c r="Y237" s="84" t="s">
        <v>1</v>
      </c>
      <c r="Z237" s="84" t="s">
        <v>1</v>
      </c>
      <c r="AA237" s="84" t="s">
        <v>1</v>
      </c>
      <c r="AB237" s="80" t="s">
        <v>2053</v>
      </c>
    </row>
    <row r="238" spans="1:34" x14ac:dyDescent="0.15">
      <c r="B238" s="12" t="s">
        <v>664</v>
      </c>
      <c r="C238" s="29" t="s">
        <v>1693</v>
      </c>
      <c r="D238" s="15">
        <v>75</v>
      </c>
      <c r="E238" s="12" t="s">
        <v>5</v>
      </c>
      <c r="F238" s="15">
        <v>17</v>
      </c>
      <c r="G238" s="15"/>
      <c r="H238" s="14">
        <v>44679</v>
      </c>
      <c r="I238" s="12" t="s">
        <v>2974</v>
      </c>
      <c r="J238" s="12" t="s">
        <v>2973</v>
      </c>
      <c r="K238" s="12" t="s">
        <v>2576</v>
      </c>
      <c r="L238" s="12" t="s">
        <v>2402</v>
      </c>
      <c r="M238" s="12">
        <v>2019</v>
      </c>
      <c r="O238" s="80" t="s">
        <v>2972</v>
      </c>
      <c r="P238" s="84" t="s">
        <v>4</v>
      </c>
      <c r="Q238" s="84">
        <v>4.5</v>
      </c>
      <c r="R238" s="84" t="s">
        <v>2971</v>
      </c>
      <c r="S238" s="84" t="s">
        <v>1</v>
      </c>
      <c r="T238" s="84" t="s">
        <v>1</v>
      </c>
      <c r="U238" s="84" t="s">
        <v>1</v>
      </c>
      <c r="V238" s="84" t="s">
        <v>1</v>
      </c>
      <c r="W238" s="84" t="s">
        <v>1</v>
      </c>
      <c r="X238" s="84" t="s">
        <v>1</v>
      </c>
      <c r="Y238" s="84" t="s">
        <v>1</v>
      </c>
      <c r="Z238" s="84" t="s">
        <v>1</v>
      </c>
      <c r="AA238" s="84" t="s">
        <v>1</v>
      </c>
      <c r="AB238" s="80" t="s">
        <v>2369</v>
      </c>
    </row>
    <row r="239" spans="1:34" x14ac:dyDescent="0.15">
      <c r="B239" s="12" t="s">
        <v>2970</v>
      </c>
      <c r="C239" s="29" t="s">
        <v>1693</v>
      </c>
      <c r="D239" s="15">
        <v>75</v>
      </c>
      <c r="E239" s="12" t="s">
        <v>4</v>
      </c>
      <c r="F239" s="15">
        <v>16</v>
      </c>
      <c r="G239" s="15"/>
      <c r="H239" s="33">
        <v>44434</v>
      </c>
      <c r="I239" s="12" t="s">
        <v>2969</v>
      </c>
      <c r="J239" s="12" t="s">
        <v>2968</v>
      </c>
      <c r="K239" s="12" t="s">
        <v>2315</v>
      </c>
      <c r="L239" s="12" t="s">
        <v>2705</v>
      </c>
      <c r="M239" s="12">
        <v>2020</v>
      </c>
      <c r="N239" s="12"/>
      <c r="O239" s="12" t="s">
        <v>2967</v>
      </c>
      <c r="P239" s="24" t="s">
        <v>278</v>
      </c>
      <c r="Q239" s="24" t="s">
        <v>1</v>
      </c>
      <c r="R239" s="24" t="s">
        <v>2966</v>
      </c>
      <c r="S239" s="24" t="s">
        <v>1</v>
      </c>
      <c r="T239" s="24" t="s">
        <v>1</v>
      </c>
      <c r="U239" s="24" t="s">
        <v>1</v>
      </c>
      <c r="V239" s="24" t="s">
        <v>1</v>
      </c>
      <c r="W239" s="24" t="s">
        <v>1</v>
      </c>
      <c r="X239" s="24" t="s">
        <v>1</v>
      </c>
      <c r="Y239" s="24" t="s">
        <v>1</v>
      </c>
      <c r="Z239" s="24" t="s">
        <v>1</v>
      </c>
      <c r="AA239" s="24" t="s">
        <v>1</v>
      </c>
      <c r="AB239" s="12" t="s">
        <v>2442</v>
      </c>
      <c r="AC239" s="12"/>
      <c r="AD239" s="12"/>
      <c r="AE239" s="12"/>
      <c r="AF239" s="72"/>
      <c r="AG239" s="67"/>
      <c r="AH239" s="12"/>
    </row>
    <row r="240" spans="1:34" s="192" customFormat="1" x14ac:dyDescent="0.15">
      <c r="A240" s="80"/>
      <c r="B240" s="80" t="s">
        <v>849</v>
      </c>
      <c r="C240" s="81" t="s">
        <v>1693</v>
      </c>
      <c r="D240" s="82">
        <v>75</v>
      </c>
      <c r="E240" s="80" t="s">
        <v>4</v>
      </c>
      <c r="F240" s="82">
        <v>16</v>
      </c>
      <c r="G240" s="82"/>
      <c r="H240" s="27">
        <v>44298</v>
      </c>
      <c r="I240" s="80"/>
      <c r="J240" s="80" t="s">
        <v>2965</v>
      </c>
      <c r="K240" s="80" t="s">
        <v>2050</v>
      </c>
      <c r="L240" s="80" t="s">
        <v>2133</v>
      </c>
      <c r="M240" s="80">
        <v>2019</v>
      </c>
      <c r="N240" s="80"/>
      <c r="O240" s="80" t="s">
        <v>2964</v>
      </c>
      <c r="P240" s="84" t="s">
        <v>4</v>
      </c>
      <c r="Q240" s="84" t="s">
        <v>1</v>
      </c>
      <c r="R240" s="84" t="s">
        <v>2963</v>
      </c>
      <c r="S240" s="84" t="s">
        <v>1</v>
      </c>
      <c r="T240" s="84" t="s">
        <v>1</v>
      </c>
      <c r="U240" s="84" t="s">
        <v>1</v>
      </c>
      <c r="V240" s="84" t="s">
        <v>1</v>
      </c>
      <c r="W240" s="84" t="s">
        <v>1</v>
      </c>
      <c r="X240" s="84" t="s">
        <v>1</v>
      </c>
      <c r="Y240" s="84" t="s">
        <v>1</v>
      </c>
      <c r="Z240" s="84" t="s">
        <v>1</v>
      </c>
      <c r="AA240" s="84" t="s">
        <v>1</v>
      </c>
      <c r="AB240" s="80" t="s">
        <v>2369</v>
      </c>
      <c r="AC240" s="80"/>
      <c r="AD240" s="80"/>
      <c r="AE240" s="80"/>
      <c r="AF240" s="70"/>
      <c r="AG240" s="65"/>
      <c r="AH240" s="80"/>
    </row>
    <row r="241" spans="1:34" x14ac:dyDescent="0.15">
      <c r="B241" s="80" t="s">
        <v>2022</v>
      </c>
      <c r="C241" s="232" t="s">
        <v>1693</v>
      </c>
      <c r="D241" s="82">
        <v>75</v>
      </c>
      <c r="E241" s="233" t="s">
        <v>5</v>
      </c>
      <c r="F241" s="82">
        <v>10</v>
      </c>
      <c r="G241" s="82">
        <v>14</v>
      </c>
      <c r="H241" s="85">
        <v>44504</v>
      </c>
      <c r="I241" s="233" t="s">
        <v>7335</v>
      </c>
      <c r="J241" s="233" t="s">
        <v>7334</v>
      </c>
      <c r="K241" s="233" t="s">
        <v>2050</v>
      </c>
      <c r="L241" s="233" t="s">
        <v>2061</v>
      </c>
      <c r="M241" s="80">
        <v>2019</v>
      </c>
      <c r="N241" s="80" t="s">
        <v>7345</v>
      </c>
      <c r="O241" s="80" t="s">
        <v>7346</v>
      </c>
      <c r="P241" s="84" t="s">
        <v>4</v>
      </c>
      <c r="Q241" s="84">
        <v>4</v>
      </c>
      <c r="R241" s="84" t="s">
        <v>7347</v>
      </c>
      <c r="S241" s="84" t="s">
        <v>1</v>
      </c>
      <c r="T241" s="84" t="s">
        <v>1</v>
      </c>
      <c r="U241" s="84" t="s">
        <v>1</v>
      </c>
      <c r="V241" s="84" t="s">
        <v>1</v>
      </c>
      <c r="W241" s="84" t="s">
        <v>1</v>
      </c>
      <c r="X241" s="84" t="s">
        <v>1</v>
      </c>
      <c r="Y241" s="84" t="s">
        <v>1</v>
      </c>
      <c r="Z241" s="84" t="s">
        <v>1</v>
      </c>
      <c r="AA241" s="84" t="s">
        <v>1</v>
      </c>
      <c r="AB241" s="233" t="s">
        <v>6662</v>
      </c>
      <c r="AC241" s="233" t="s">
        <v>6664</v>
      </c>
      <c r="AD241" s="233" t="s">
        <v>2907</v>
      </c>
      <c r="AE241" s="25" t="s">
        <v>7333</v>
      </c>
    </row>
    <row r="242" spans="1:34" x14ac:dyDescent="0.15">
      <c r="B242" s="80" t="s">
        <v>289</v>
      </c>
      <c r="C242" s="81" t="s">
        <v>1693</v>
      </c>
      <c r="D242" s="82">
        <v>75</v>
      </c>
      <c r="E242" s="80" t="s">
        <v>5</v>
      </c>
      <c r="F242" s="82">
        <v>30</v>
      </c>
      <c r="H242" s="85">
        <v>44474</v>
      </c>
      <c r="I242" s="80" t="s">
        <v>2962</v>
      </c>
      <c r="J242" s="80" t="s">
        <v>2961</v>
      </c>
      <c r="K242" s="80" t="s">
        <v>2050</v>
      </c>
      <c r="L242" s="80" t="s">
        <v>2084</v>
      </c>
      <c r="M242" s="80">
        <v>2017</v>
      </c>
      <c r="O242" s="80" t="s">
        <v>2960</v>
      </c>
      <c r="P242" s="84" t="s">
        <v>4</v>
      </c>
      <c r="Q242" s="84">
        <v>15</v>
      </c>
      <c r="R242" s="84" t="s">
        <v>2959</v>
      </c>
      <c r="S242" s="84" t="s">
        <v>1</v>
      </c>
      <c r="T242" s="84" t="s">
        <v>1</v>
      </c>
      <c r="U242" s="84" t="s">
        <v>1</v>
      </c>
      <c r="V242" s="84" t="s">
        <v>1</v>
      </c>
      <c r="W242" s="84" t="s">
        <v>1</v>
      </c>
      <c r="X242" s="84" t="s">
        <v>1</v>
      </c>
      <c r="Y242" s="84" t="s">
        <v>1</v>
      </c>
      <c r="Z242" s="84" t="s">
        <v>1</v>
      </c>
      <c r="AA242" s="84" t="s">
        <v>1</v>
      </c>
      <c r="AB242" s="80" t="s">
        <v>2958</v>
      </c>
    </row>
    <row r="243" spans="1:34" s="12" customFormat="1" x14ac:dyDescent="0.15">
      <c r="A243" s="80"/>
      <c r="B243" s="80" t="s">
        <v>1124</v>
      </c>
      <c r="C243" s="81" t="s">
        <v>1693</v>
      </c>
      <c r="D243" s="82">
        <v>75</v>
      </c>
      <c r="E243" s="80" t="s">
        <v>5</v>
      </c>
      <c r="F243" s="82">
        <v>15</v>
      </c>
      <c r="G243" s="82"/>
      <c r="H243" s="85">
        <v>44468</v>
      </c>
      <c r="I243" s="12" t="s">
        <v>2957</v>
      </c>
      <c r="J243" s="80"/>
      <c r="K243" s="80" t="s">
        <v>2050</v>
      </c>
      <c r="L243" s="80" t="s">
        <v>2463</v>
      </c>
      <c r="M243" s="80">
        <v>2021</v>
      </c>
      <c r="N243" s="80"/>
      <c r="O243" s="80" t="s">
        <v>2956</v>
      </c>
      <c r="P243" s="84" t="s">
        <v>1</v>
      </c>
      <c r="Q243" s="84" t="s">
        <v>1</v>
      </c>
      <c r="R243" s="84" t="s">
        <v>1</v>
      </c>
      <c r="S243" s="84" t="s">
        <v>1</v>
      </c>
      <c r="T243" s="84" t="s">
        <v>1</v>
      </c>
      <c r="U243" s="84" t="s">
        <v>1</v>
      </c>
      <c r="V243" s="84" t="s">
        <v>1</v>
      </c>
      <c r="W243" s="84" t="s">
        <v>1</v>
      </c>
      <c r="X243" s="84" t="s">
        <v>1</v>
      </c>
      <c r="Y243" s="84" t="s">
        <v>1</v>
      </c>
      <c r="Z243" s="84" t="s">
        <v>1</v>
      </c>
      <c r="AA243" s="84" t="s">
        <v>1</v>
      </c>
      <c r="AB243" s="80" t="s">
        <v>2911</v>
      </c>
      <c r="AC243" s="80"/>
      <c r="AD243" s="80"/>
      <c r="AE243" s="80"/>
      <c r="AF243" s="70"/>
      <c r="AG243" s="65"/>
      <c r="AH243" s="80"/>
    </row>
    <row r="244" spans="1:34" x14ac:dyDescent="0.15">
      <c r="B244" s="80" t="s">
        <v>2955</v>
      </c>
      <c r="C244" s="81" t="s">
        <v>1693</v>
      </c>
      <c r="D244" s="82">
        <v>75</v>
      </c>
      <c r="E244" s="80" t="s">
        <v>5</v>
      </c>
      <c r="F244" s="82">
        <v>13</v>
      </c>
      <c r="H244" s="85">
        <v>44516</v>
      </c>
      <c r="I244" s="80" t="s">
        <v>2954</v>
      </c>
      <c r="J244" s="80" t="s">
        <v>2953</v>
      </c>
      <c r="K244" s="80" t="s">
        <v>2050</v>
      </c>
      <c r="L244" s="80" t="s">
        <v>2952</v>
      </c>
      <c r="M244" s="80">
        <v>2017</v>
      </c>
      <c r="O244" s="80" t="s">
        <v>2951</v>
      </c>
      <c r="P244" s="84" t="s">
        <v>4</v>
      </c>
      <c r="Q244" s="84">
        <v>2.5</v>
      </c>
      <c r="R244" s="84" t="s">
        <v>2950</v>
      </c>
      <c r="S244" s="84" t="s">
        <v>4</v>
      </c>
      <c r="T244" s="84" t="s">
        <v>1</v>
      </c>
      <c r="U244" s="84" t="s">
        <v>2949</v>
      </c>
      <c r="V244" s="84" t="s">
        <v>1</v>
      </c>
      <c r="W244" s="84" t="s">
        <v>1</v>
      </c>
      <c r="X244" s="84" t="s">
        <v>1</v>
      </c>
      <c r="Y244" s="84" t="s">
        <v>1</v>
      </c>
      <c r="Z244" s="84" t="s">
        <v>1</v>
      </c>
      <c r="AA244" s="84" t="s">
        <v>1</v>
      </c>
      <c r="AB244" s="80" t="s">
        <v>2053</v>
      </c>
    </row>
    <row r="245" spans="1:34" x14ac:dyDescent="0.15">
      <c r="B245" s="80" t="s">
        <v>2013</v>
      </c>
      <c r="C245" s="257" t="s">
        <v>1693</v>
      </c>
      <c r="D245" s="80">
        <v>75</v>
      </c>
      <c r="E245" s="258" t="s">
        <v>5</v>
      </c>
      <c r="F245" s="95">
        <v>11.5</v>
      </c>
      <c r="G245" s="95">
        <f>F245+Q245</f>
        <v>18.5</v>
      </c>
      <c r="H245" s="86">
        <v>45063</v>
      </c>
      <c r="I245" s="258" t="s">
        <v>7514</v>
      </c>
      <c r="J245" s="258" t="s">
        <v>7513</v>
      </c>
      <c r="K245" s="258" t="s">
        <v>2050</v>
      </c>
      <c r="L245" s="258" t="s">
        <v>2176</v>
      </c>
      <c r="M245" s="86">
        <v>43497</v>
      </c>
      <c r="N245" s="258" t="s">
        <v>7515</v>
      </c>
      <c r="O245" s="258" t="s">
        <v>7516</v>
      </c>
      <c r="P245" s="258" t="s">
        <v>4</v>
      </c>
      <c r="Q245" s="172">
        <v>7</v>
      </c>
      <c r="R245" s="258" t="s">
        <v>7519</v>
      </c>
      <c r="S245" s="258" t="s">
        <v>7486</v>
      </c>
      <c r="T245" s="258" t="s">
        <v>1</v>
      </c>
      <c r="U245" s="258" t="s">
        <v>7520</v>
      </c>
      <c r="V245" s="258" t="s">
        <v>1</v>
      </c>
      <c r="W245" s="258" t="s">
        <v>1</v>
      </c>
      <c r="X245" s="258" t="s">
        <v>1</v>
      </c>
      <c r="Y245" s="258" t="s">
        <v>1</v>
      </c>
      <c r="Z245" s="258" t="s">
        <v>1</v>
      </c>
      <c r="AA245" s="258" t="s">
        <v>1</v>
      </c>
      <c r="AB245" s="258" t="s">
        <v>6822</v>
      </c>
      <c r="AD245" s="258" t="s">
        <v>2858</v>
      </c>
      <c r="AE245" s="258" t="s">
        <v>7512</v>
      </c>
      <c r="AF245" s="80"/>
      <c r="AG245" s="80"/>
    </row>
    <row r="246" spans="1:34" s="12" customFormat="1" x14ac:dyDescent="0.15">
      <c r="A246" s="80"/>
      <c r="B246" s="80" t="s">
        <v>2948</v>
      </c>
      <c r="C246" s="81" t="s">
        <v>1693</v>
      </c>
      <c r="D246" s="82">
        <v>60</v>
      </c>
      <c r="E246" s="80" t="s">
        <v>5</v>
      </c>
      <c r="F246" s="82">
        <v>21.7</v>
      </c>
      <c r="G246" s="82"/>
      <c r="H246" s="85">
        <v>44909</v>
      </c>
      <c r="I246" s="80" t="s">
        <v>2947</v>
      </c>
      <c r="J246" s="80"/>
      <c r="K246" s="80" t="s">
        <v>2105</v>
      </c>
      <c r="L246" s="80" t="s">
        <v>2946</v>
      </c>
      <c r="M246" s="80">
        <v>2022</v>
      </c>
      <c r="N246" s="80"/>
      <c r="O246" s="80" t="s">
        <v>2945</v>
      </c>
      <c r="P246" s="84" t="s">
        <v>1</v>
      </c>
      <c r="Q246" s="84" t="s">
        <v>1</v>
      </c>
      <c r="R246" s="84" t="s">
        <v>1</v>
      </c>
      <c r="S246" s="84" t="s">
        <v>1</v>
      </c>
      <c r="T246" s="84" t="s">
        <v>1</v>
      </c>
      <c r="U246" s="84" t="s">
        <v>1</v>
      </c>
      <c r="V246" s="84" t="s">
        <v>1</v>
      </c>
      <c r="W246" s="84" t="s">
        <v>1</v>
      </c>
      <c r="X246" s="84" t="s">
        <v>1</v>
      </c>
      <c r="Y246" s="84" t="s">
        <v>1</v>
      </c>
      <c r="Z246" s="84" t="s">
        <v>1</v>
      </c>
      <c r="AA246" s="84" t="s">
        <v>1</v>
      </c>
      <c r="AB246" s="80" t="s">
        <v>2284</v>
      </c>
      <c r="AC246" s="80"/>
      <c r="AD246" s="80"/>
      <c r="AE246" s="80"/>
      <c r="AF246" s="70"/>
      <c r="AG246" s="65"/>
      <c r="AH246" s="80"/>
    </row>
    <row r="247" spans="1:34" s="12" customFormat="1" x14ac:dyDescent="0.15">
      <c r="A247" s="80"/>
      <c r="B247" s="80" t="s">
        <v>302</v>
      </c>
      <c r="C247" s="81" t="s">
        <v>1693</v>
      </c>
      <c r="D247" s="82">
        <v>60</v>
      </c>
      <c r="E247" s="80" t="s">
        <v>5</v>
      </c>
      <c r="F247" s="82">
        <v>10</v>
      </c>
      <c r="G247" s="82"/>
      <c r="H247" s="85">
        <v>44637</v>
      </c>
      <c r="I247" s="80" t="s">
        <v>2944</v>
      </c>
      <c r="J247" s="80" t="s">
        <v>2943</v>
      </c>
      <c r="K247" s="80" t="s">
        <v>2050</v>
      </c>
      <c r="L247" s="80" t="s">
        <v>2942</v>
      </c>
      <c r="M247" s="80">
        <v>2014</v>
      </c>
      <c r="N247" s="80"/>
      <c r="O247" s="80" t="s">
        <v>2941</v>
      </c>
      <c r="P247" s="84" t="s">
        <v>4</v>
      </c>
      <c r="Q247" s="84">
        <v>4.5</v>
      </c>
      <c r="R247" s="84" t="s">
        <v>2940</v>
      </c>
      <c r="S247" s="84" t="s">
        <v>4</v>
      </c>
      <c r="T247" s="84">
        <v>1.8</v>
      </c>
      <c r="U247" s="84" t="s">
        <v>2939</v>
      </c>
      <c r="V247" s="84" t="s">
        <v>1</v>
      </c>
      <c r="W247" s="84" t="s">
        <v>1</v>
      </c>
      <c r="X247" s="84" t="s">
        <v>1</v>
      </c>
      <c r="Y247" s="84" t="s">
        <v>1</v>
      </c>
      <c r="Z247" s="84" t="s">
        <v>1</v>
      </c>
      <c r="AA247" s="84" t="s">
        <v>1</v>
      </c>
      <c r="AB247" s="80" t="s">
        <v>2053</v>
      </c>
      <c r="AC247" s="80"/>
      <c r="AD247" s="80"/>
      <c r="AE247" s="80"/>
      <c r="AF247" s="70"/>
      <c r="AG247" s="65"/>
      <c r="AH247" s="80"/>
    </row>
    <row r="248" spans="1:34" s="192" customFormat="1" x14ac:dyDescent="0.15">
      <c r="A248" s="80"/>
      <c r="B248" s="80" t="s">
        <v>2054</v>
      </c>
      <c r="C248" s="81" t="s">
        <v>1693</v>
      </c>
      <c r="D248" s="82">
        <v>50</v>
      </c>
      <c r="E248" s="80" t="s">
        <v>5</v>
      </c>
      <c r="F248" s="82">
        <v>25</v>
      </c>
      <c r="G248" s="82">
        <f>F248+Z248</f>
        <v>30</v>
      </c>
      <c r="H248" s="85">
        <v>44594</v>
      </c>
      <c r="I248" s="143" t="s">
        <v>6351</v>
      </c>
      <c r="J248" s="143" t="s">
        <v>6349</v>
      </c>
      <c r="K248" s="143" t="s">
        <v>2105</v>
      </c>
      <c r="L248" s="143" t="s">
        <v>2084</v>
      </c>
      <c r="M248" s="91">
        <v>42887</v>
      </c>
      <c r="N248" s="80"/>
      <c r="O248" s="143" t="s">
        <v>6352</v>
      </c>
      <c r="P248" s="148" t="s">
        <v>4</v>
      </c>
      <c r="Q248" s="148" t="s">
        <v>1</v>
      </c>
      <c r="R248" s="148" t="s">
        <v>6358</v>
      </c>
      <c r="S248" s="161" t="s">
        <v>4</v>
      </c>
      <c r="T248" s="161" t="s">
        <v>1</v>
      </c>
      <c r="U248" s="148" t="s">
        <v>6359</v>
      </c>
      <c r="V248" s="148" t="s">
        <v>278</v>
      </c>
      <c r="W248" s="161" t="s">
        <v>1</v>
      </c>
      <c r="X248" s="148" t="s">
        <v>6360</v>
      </c>
      <c r="Y248" s="148" t="s">
        <v>4</v>
      </c>
      <c r="Z248" s="84">
        <v>5</v>
      </c>
      <c r="AA248" s="148" t="s">
        <v>6361</v>
      </c>
      <c r="AB248" s="80" t="s">
        <v>2053</v>
      </c>
      <c r="AC248" s="80"/>
      <c r="AD248" s="80"/>
      <c r="AE248" s="25" t="s">
        <v>2052</v>
      </c>
      <c r="AF248" s="71"/>
      <c r="AG248" s="66"/>
      <c r="AH248" s="80"/>
    </row>
    <row r="249" spans="1:34" s="192" customFormat="1" x14ac:dyDescent="0.15">
      <c r="A249" s="80"/>
      <c r="B249" s="80" t="s">
        <v>2938</v>
      </c>
      <c r="C249" s="81" t="s">
        <v>1693</v>
      </c>
      <c r="D249" s="82">
        <v>50</v>
      </c>
      <c r="E249" s="80" t="s">
        <v>5</v>
      </c>
      <c r="F249" s="82">
        <v>20.9</v>
      </c>
      <c r="G249" s="82"/>
      <c r="H249" s="85">
        <v>44411</v>
      </c>
      <c r="I249" s="80" t="s">
        <v>2937</v>
      </c>
      <c r="J249" s="80" t="s">
        <v>2936</v>
      </c>
      <c r="K249" s="80" t="s">
        <v>2050</v>
      </c>
      <c r="L249" s="80" t="s">
        <v>2935</v>
      </c>
      <c r="M249" s="80">
        <v>2018</v>
      </c>
      <c r="N249" s="80"/>
      <c r="O249" s="80" t="s">
        <v>2934</v>
      </c>
      <c r="P249" s="84" t="s">
        <v>4</v>
      </c>
      <c r="Q249" s="84">
        <v>1.5</v>
      </c>
      <c r="R249" s="84" t="s">
        <v>2933</v>
      </c>
      <c r="S249" s="84" t="s">
        <v>1</v>
      </c>
      <c r="T249" s="84" t="s">
        <v>1</v>
      </c>
      <c r="U249" s="84" t="s">
        <v>1</v>
      </c>
      <c r="V249" s="84" t="s">
        <v>1</v>
      </c>
      <c r="W249" s="84" t="s">
        <v>1</v>
      </c>
      <c r="X249" s="84" t="s">
        <v>1</v>
      </c>
      <c r="Y249" s="84" t="s">
        <v>1</v>
      </c>
      <c r="Z249" s="84" t="s">
        <v>1</v>
      </c>
      <c r="AA249" s="84" t="s">
        <v>1</v>
      </c>
      <c r="AB249" s="80" t="s">
        <v>2205</v>
      </c>
      <c r="AC249" s="80"/>
      <c r="AD249" s="80"/>
      <c r="AE249" s="80"/>
      <c r="AF249" s="70"/>
      <c r="AG249" s="65"/>
      <c r="AH249" s="80"/>
    </row>
    <row r="250" spans="1:34" s="192" customFormat="1" x14ac:dyDescent="0.15">
      <c r="A250" s="80"/>
      <c r="B250" s="80" t="s">
        <v>1096</v>
      </c>
      <c r="C250" s="81" t="s">
        <v>1693</v>
      </c>
      <c r="D250" s="82">
        <v>50</v>
      </c>
      <c r="E250" s="80" t="s">
        <v>4</v>
      </c>
      <c r="F250" s="15">
        <v>18.5</v>
      </c>
      <c r="G250" s="15"/>
      <c r="H250" s="85">
        <v>45050</v>
      </c>
      <c r="I250" s="80" t="s">
        <v>2932</v>
      </c>
      <c r="J250" s="80" t="s">
        <v>2931</v>
      </c>
      <c r="K250" s="80" t="s">
        <v>2050</v>
      </c>
      <c r="L250" s="80" t="s">
        <v>2061</v>
      </c>
      <c r="M250" s="80">
        <v>2023</v>
      </c>
      <c r="N250" s="80"/>
      <c r="O250" s="80" t="s">
        <v>2930</v>
      </c>
      <c r="P250" s="84" t="s">
        <v>1</v>
      </c>
      <c r="Q250" s="84" t="s">
        <v>1</v>
      </c>
      <c r="R250" s="84" t="s">
        <v>1</v>
      </c>
      <c r="S250" s="84" t="s">
        <v>1</v>
      </c>
      <c r="T250" s="84" t="s">
        <v>1</v>
      </c>
      <c r="U250" s="84" t="s">
        <v>1</v>
      </c>
      <c r="V250" s="84" t="s">
        <v>1</v>
      </c>
      <c r="W250" s="84" t="s">
        <v>1</v>
      </c>
      <c r="X250" s="84" t="s">
        <v>1</v>
      </c>
      <c r="Y250" s="84" t="s">
        <v>1</v>
      </c>
      <c r="Z250" s="84" t="s">
        <v>1</v>
      </c>
      <c r="AA250" s="84" t="s">
        <v>1</v>
      </c>
      <c r="AB250" s="80" t="s">
        <v>2369</v>
      </c>
      <c r="AC250" s="80"/>
      <c r="AD250" s="80"/>
      <c r="AE250" s="80"/>
      <c r="AF250" s="70"/>
      <c r="AG250" s="65"/>
      <c r="AH250" s="80"/>
    </row>
    <row r="251" spans="1:34" s="192" customFormat="1" x14ac:dyDescent="0.15">
      <c r="A251" s="80"/>
      <c r="B251" s="80" t="s">
        <v>2030</v>
      </c>
      <c r="C251" s="81" t="s">
        <v>1693</v>
      </c>
      <c r="D251" s="82">
        <v>50</v>
      </c>
      <c r="E251" s="80" t="s">
        <v>5</v>
      </c>
      <c r="F251" s="82">
        <v>18</v>
      </c>
      <c r="G251" s="82"/>
      <c r="H251" s="85">
        <v>44866</v>
      </c>
      <c r="I251" s="80" t="s">
        <v>4404</v>
      </c>
      <c r="J251" s="80" t="s">
        <v>4403</v>
      </c>
      <c r="K251" s="80" t="s">
        <v>2050</v>
      </c>
      <c r="L251" s="80" t="s">
        <v>2061</v>
      </c>
      <c r="M251" s="80">
        <v>2021</v>
      </c>
      <c r="N251" s="80"/>
      <c r="O251" s="80" t="s">
        <v>4405</v>
      </c>
      <c r="P251" s="84" t="s">
        <v>4</v>
      </c>
      <c r="Q251" s="84">
        <v>5.0999999999999996</v>
      </c>
      <c r="R251" s="84" t="s">
        <v>4407</v>
      </c>
      <c r="S251" s="84" t="s">
        <v>1</v>
      </c>
      <c r="T251" s="84" t="s">
        <v>1</v>
      </c>
      <c r="U251" s="84" t="s">
        <v>1</v>
      </c>
      <c r="V251" s="84" t="s">
        <v>1</v>
      </c>
      <c r="W251" s="84" t="s">
        <v>1</v>
      </c>
      <c r="X251" s="84" t="s">
        <v>1</v>
      </c>
      <c r="Y251" s="84" t="s">
        <v>1</v>
      </c>
      <c r="Z251" s="84" t="s">
        <v>1</v>
      </c>
      <c r="AA251" s="84" t="s">
        <v>1</v>
      </c>
      <c r="AB251" s="80" t="s">
        <v>2053</v>
      </c>
      <c r="AC251" s="80"/>
      <c r="AD251" s="80"/>
      <c r="AE251" s="25" t="s">
        <v>4402</v>
      </c>
      <c r="AF251" s="71"/>
      <c r="AG251" s="66"/>
      <c r="AH251" s="80"/>
    </row>
    <row r="252" spans="1:34" s="192" customFormat="1" x14ac:dyDescent="0.15">
      <c r="A252" s="80"/>
      <c r="B252" s="80" t="s">
        <v>466</v>
      </c>
      <c r="C252" s="81" t="s">
        <v>1693</v>
      </c>
      <c r="D252" s="82">
        <v>50</v>
      </c>
      <c r="E252" s="80" t="s">
        <v>5</v>
      </c>
      <c r="F252" s="82">
        <v>15.5</v>
      </c>
      <c r="G252" s="82"/>
      <c r="H252" s="85">
        <v>44727</v>
      </c>
      <c r="I252" s="80" t="s">
        <v>2929</v>
      </c>
      <c r="J252" s="80" t="s">
        <v>2928</v>
      </c>
      <c r="K252" s="80" t="s">
        <v>2050</v>
      </c>
      <c r="L252" s="80" t="s">
        <v>2244</v>
      </c>
      <c r="M252" s="80">
        <v>2013</v>
      </c>
      <c r="N252" s="80"/>
      <c r="O252" s="80" t="s">
        <v>2927</v>
      </c>
      <c r="P252" s="84" t="s">
        <v>5</v>
      </c>
      <c r="Q252" s="84">
        <v>12</v>
      </c>
      <c r="R252" s="90" t="s">
        <v>2926</v>
      </c>
      <c r="S252" s="84" t="s">
        <v>4</v>
      </c>
      <c r="T252" s="84">
        <v>2</v>
      </c>
      <c r="U252" s="84" t="s">
        <v>1099</v>
      </c>
      <c r="V252" s="84" t="s">
        <v>1</v>
      </c>
      <c r="W252" s="84" t="s">
        <v>1</v>
      </c>
      <c r="X252" s="84" t="s">
        <v>1</v>
      </c>
      <c r="Y252" s="84" t="s">
        <v>1</v>
      </c>
      <c r="Z252" s="84" t="s">
        <v>1</v>
      </c>
      <c r="AA252" s="84" t="s">
        <v>1</v>
      </c>
      <c r="AB252" s="80" t="s">
        <v>2083</v>
      </c>
      <c r="AC252" s="80"/>
      <c r="AD252" s="80"/>
      <c r="AE252" s="80"/>
      <c r="AF252" s="70"/>
      <c r="AG252" s="65"/>
      <c r="AH252" s="80"/>
    </row>
    <row r="253" spans="1:34" s="192" customFormat="1" x14ac:dyDescent="0.15">
      <c r="A253" s="80"/>
      <c r="B253" s="80" t="s">
        <v>355</v>
      </c>
      <c r="C253" s="81" t="s">
        <v>1693</v>
      </c>
      <c r="D253" s="82">
        <v>50</v>
      </c>
      <c r="E253" s="80" t="s">
        <v>5</v>
      </c>
      <c r="F253" s="82">
        <v>16</v>
      </c>
      <c r="G253" s="82"/>
      <c r="H253" s="85">
        <v>44663</v>
      </c>
      <c r="I253" s="80" t="s">
        <v>2925</v>
      </c>
      <c r="J253" s="80" t="s">
        <v>2924</v>
      </c>
      <c r="K253" s="80" t="s">
        <v>2050</v>
      </c>
      <c r="L253" s="80" t="s">
        <v>2233</v>
      </c>
      <c r="M253" s="80">
        <v>2019</v>
      </c>
      <c r="N253" s="80"/>
      <c r="O253" s="80" t="s">
        <v>2923</v>
      </c>
      <c r="P253" s="84" t="s">
        <v>4</v>
      </c>
      <c r="Q253" s="84">
        <v>12</v>
      </c>
      <c r="R253" s="84" t="s">
        <v>2922</v>
      </c>
      <c r="S253" s="84" t="s">
        <v>1</v>
      </c>
      <c r="T253" s="84" t="s">
        <v>1</v>
      </c>
      <c r="U253" s="84" t="s">
        <v>1</v>
      </c>
      <c r="V253" s="84" t="s">
        <v>1</v>
      </c>
      <c r="W253" s="84" t="s">
        <v>1</v>
      </c>
      <c r="X253" s="84" t="s">
        <v>1</v>
      </c>
      <c r="Y253" s="84" t="s">
        <v>1</v>
      </c>
      <c r="Z253" s="84" t="s">
        <v>1</v>
      </c>
      <c r="AA253" s="84" t="s">
        <v>1</v>
      </c>
      <c r="AB253" s="80" t="s">
        <v>2083</v>
      </c>
      <c r="AC253" s="80"/>
      <c r="AD253" s="80"/>
      <c r="AE253" s="80"/>
      <c r="AF253" s="70"/>
      <c r="AG253" s="65"/>
      <c r="AH253" s="80"/>
    </row>
    <row r="254" spans="1:34" s="192" customFormat="1" x14ac:dyDescent="0.15">
      <c r="B254" s="192" t="s">
        <v>2023</v>
      </c>
      <c r="C254" s="201" t="s">
        <v>1693</v>
      </c>
      <c r="D254" s="194">
        <v>50</v>
      </c>
      <c r="E254" s="192" t="s">
        <v>5</v>
      </c>
      <c r="F254" s="194">
        <v>16</v>
      </c>
      <c r="G254" s="194" t="e">
        <f>F254+Companies!Q240</f>
        <v>#VALUE!</v>
      </c>
      <c r="H254" s="202">
        <v>44966</v>
      </c>
      <c r="I254" s="192" t="s">
        <v>7108</v>
      </c>
      <c r="J254" s="192" t="s">
        <v>7106</v>
      </c>
      <c r="K254" s="192" t="s">
        <v>2050</v>
      </c>
      <c r="L254" s="192" t="s">
        <v>2272</v>
      </c>
      <c r="M254" s="192">
        <v>2020</v>
      </c>
      <c r="O254" s="192" t="s">
        <v>7107</v>
      </c>
      <c r="P254" s="195" t="s">
        <v>4</v>
      </c>
      <c r="Q254" s="195">
        <v>4.8</v>
      </c>
      <c r="R254" s="195" t="s">
        <v>7109</v>
      </c>
      <c r="S254" s="195" t="s">
        <v>1</v>
      </c>
      <c r="T254" s="195" t="s">
        <v>1</v>
      </c>
      <c r="U254" s="195" t="s">
        <v>1</v>
      </c>
      <c r="V254" s="195" t="s">
        <v>1</v>
      </c>
      <c r="W254" s="195" t="s">
        <v>1</v>
      </c>
      <c r="X254" s="195" t="s">
        <v>1</v>
      </c>
      <c r="Y254" s="195" t="s">
        <v>1</v>
      </c>
      <c r="Z254" s="195" t="s">
        <v>1</v>
      </c>
      <c r="AA254" s="195" t="s">
        <v>1</v>
      </c>
      <c r="AB254" s="192" t="s">
        <v>6662</v>
      </c>
      <c r="AC254" s="192" t="s">
        <v>6665</v>
      </c>
      <c r="AD254" s="192" t="s">
        <v>2369</v>
      </c>
      <c r="AE254" s="25" t="s">
        <v>7105</v>
      </c>
      <c r="AF254" s="70"/>
      <c r="AG254" s="65"/>
    </row>
    <row r="255" spans="1:34" s="192" customFormat="1" x14ac:dyDescent="0.15">
      <c r="A255" s="80"/>
      <c r="B255" s="80" t="s">
        <v>298</v>
      </c>
      <c r="C255" s="81" t="s">
        <v>1693</v>
      </c>
      <c r="D255" s="82">
        <v>50</v>
      </c>
      <c r="E255" s="80" t="s">
        <v>5</v>
      </c>
      <c r="F255" s="82">
        <v>15</v>
      </c>
      <c r="G255" s="82"/>
      <c r="H255" s="85">
        <v>44314</v>
      </c>
      <c r="I255" s="80" t="s">
        <v>2921</v>
      </c>
      <c r="J255" s="80" t="s">
        <v>2920</v>
      </c>
      <c r="K255" s="80" t="s">
        <v>2050</v>
      </c>
      <c r="L255" s="80" t="s">
        <v>2919</v>
      </c>
      <c r="M255" s="80">
        <v>2017</v>
      </c>
      <c r="N255" s="80"/>
      <c r="O255" s="80" t="s">
        <v>2918</v>
      </c>
      <c r="P255" s="84" t="s">
        <v>278</v>
      </c>
      <c r="Q255" s="84" t="s">
        <v>1</v>
      </c>
      <c r="R255" s="84" t="s">
        <v>2917</v>
      </c>
      <c r="S255" s="84" t="s">
        <v>1</v>
      </c>
      <c r="T255" s="84" t="s">
        <v>1</v>
      </c>
      <c r="U255" s="84" t="s">
        <v>1</v>
      </c>
      <c r="V255" s="84" t="s">
        <v>1</v>
      </c>
      <c r="W255" s="84" t="s">
        <v>1</v>
      </c>
      <c r="X255" s="84" t="s">
        <v>1</v>
      </c>
      <c r="Y255" s="84" t="s">
        <v>1</v>
      </c>
      <c r="Z255" s="84" t="s">
        <v>1</v>
      </c>
      <c r="AA255" s="84" t="s">
        <v>1</v>
      </c>
      <c r="AB255" s="80" t="s">
        <v>2916</v>
      </c>
      <c r="AC255" s="80"/>
      <c r="AD255" s="80"/>
      <c r="AE255" s="80"/>
      <c r="AF255" s="70"/>
      <c r="AG255" s="65"/>
      <c r="AH255" s="80"/>
    </row>
    <row r="256" spans="1:34" x14ac:dyDescent="0.15">
      <c r="B256" s="12" t="s">
        <v>2915</v>
      </c>
      <c r="C256" s="29" t="s">
        <v>1693</v>
      </c>
      <c r="D256" s="15">
        <v>50</v>
      </c>
      <c r="E256" s="12" t="s">
        <v>5</v>
      </c>
      <c r="F256" s="15">
        <v>11</v>
      </c>
      <c r="G256" s="15"/>
      <c r="H256" s="14">
        <v>45070</v>
      </c>
      <c r="I256" s="12" t="s">
        <v>2100</v>
      </c>
      <c r="J256" s="12"/>
      <c r="K256" s="32" t="s">
        <v>2050</v>
      </c>
      <c r="L256" s="32" t="s">
        <v>2463</v>
      </c>
      <c r="M256" s="12">
        <v>2018</v>
      </c>
      <c r="N256" s="12"/>
      <c r="O256" s="12" t="s">
        <v>2914</v>
      </c>
      <c r="P256" s="24" t="s">
        <v>4</v>
      </c>
      <c r="Q256" s="24" t="s">
        <v>1</v>
      </c>
      <c r="R256" s="24" t="s">
        <v>2913</v>
      </c>
      <c r="S256" s="24" t="s">
        <v>278</v>
      </c>
      <c r="T256" s="24" t="s">
        <v>1</v>
      </c>
      <c r="U256" s="24" t="s">
        <v>2912</v>
      </c>
      <c r="V256" s="84" t="s">
        <v>1</v>
      </c>
      <c r="W256" s="84" t="s">
        <v>1</v>
      </c>
      <c r="X256" s="84" t="s">
        <v>1</v>
      </c>
      <c r="Y256" s="84" t="s">
        <v>1</v>
      </c>
      <c r="Z256" s="84" t="s">
        <v>1</v>
      </c>
      <c r="AA256" s="84" t="s">
        <v>1</v>
      </c>
      <c r="AB256" s="12" t="s">
        <v>2911</v>
      </c>
      <c r="AC256" s="12"/>
      <c r="AD256" s="12"/>
      <c r="AE256" s="12"/>
      <c r="AF256" s="72"/>
      <c r="AG256" s="67"/>
      <c r="AH256" s="12"/>
    </row>
    <row r="257" spans="1:34" x14ac:dyDescent="0.15">
      <c r="B257" s="80" t="s">
        <v>683</v>
      </c>
      <c r="C257" s="81" t="s">
        <v>1693</v>
      </c>
      <c r="D257" s="82">
        <v>50</v>
      </c>
      <c r="E257" s="80" t="s">
        <v>5</v>
      </c>
      <c r="F257" s="82">
        <v>15</v>
      </c>
      <c r="H257" s="85">
        <v>44838</v>
      </c>
      <c r="I257" s="80" t="s">
        <v>2910</v>
      </c>
      <c r="J257" s="80" t="s">
        <v>2909</v>
      </c>
      <c r="K257" s="80" t="s">
        <v>2050</v>
      </c>
      <c r="L257" s="80" t="s">
        <v>2740</v>
      </c>
      <c r="M257" s="80">
        <v>2020</v>
      </c>
      <c r="O257" s="80" t="s">
        <v>2908</v>
      </c>
      <c r="P257" s="84" t="s">
        <v>1</v>
      </c>
      <c r="Q257" s="84" t="s">
        <v>1</v>
      </c>
      <c r="R257" s="84" t="s">
        <v>1</v>
      </c>
      <c r="S257" s="84" t="s">
        <v>1</v>
      </c>
      <c r="T257" s="84" t="s">
        <v>1</v>
      </c>
      <c r="U257" s="84" t="s">
        <v>1</v>
      </c>
      <c r="V257" s="84" t="s">
        <v>1</v>
      </c>
      <c r="W257" s="84" t="s">
        <v>1</v>
      </c>
      <c r="X257" s="84" t="s">
        <v>1</v>
      </c>
      <c r="Y257" s="84" t="s">
        <v>1</v>
      </c>
      <c r="Z257" s="84" t="s">
        <v>1</v>
      </c>
      <c r="AA257" s="84" t="s">
        <v>1</v>
      </c>
      <c r="AB257" s="80" t="s">
        <v>2907</v>
      </c>
    </row>
    <row r="258" spans="1:34" x14ac:dyDescent="0.15">
      <c r="B258" s="12" t="s">
        <v>717</v>
      </c>
      <c r="C258" s="29" t="s">
        <v>1693</v>
      </c>
      <c r="D258" s="15">
        <v>50</v>
      </c>
      <c r="E258" s="12" t="s">
        <v>5</v>
      </c>
      <c r="F258" s="15">
        <v>12.5</v>
      </c>
      <c r="G258" s="15"/>
      <c r="H258" s="14">
        <v>44784</v>
      </c>
      <c r="I258" s="12" t="s">
        <v>2906</v>
      </c>
      <c r="J258" s="12" t="s">
        <v>2905</v>
      </c>
      <c r="K258" s="12" t="s">
        <v>2050</v>
      </c>
      <c r="L258" s="12" t="s">
        <v>2067</v>
      </c>
      <c r="M258" s="31">
        <v>2018</v>
      </c>
      <c r="N258" s="12"/>
      <c r="O258" s="12" t="s">
        <v>2904</v>
      </c>
      <c r="P258" s="24" t="s">
        <v>5</v>
      </c>
      <c r="Q258" s="24">
        <v>10</v>
      </c>
      <c r="R258" s="24" t="s">
        <v>2903</v>
      </c>
      <c r="S258" s="24" t="s">
        <v>278</v>
      </c>
      <c r="T258" s="24" t="s">
        <v>1</v>
      </c>
      <c r="U258" s="24" t="s">
        <v>2902</v>
      </c>
      <c r="V258" s="24" t="s">
        <v>4</v>
      </c>
      <c r="W258" s="24" t="s">
        <v>1</v>
      </c>
      <c r="X258" s="24" t="s">
        <v>2901</v>
      </c>
      <c r="Y258" s="24" t="s">
        <v>1</v>
      </c>
      <c r="Z258" s="24" t="s">
        <v>1</v>
      </c>
      <c r="AA258" s="24" t="s">
        <v>1</v>
      </c>
      <c r="AB258" s="12" t="s">
        <v>2900</v>
      </c>
      <c r="AC258" s="12"/>
      <c r="AD258" s="12"/>
      <c r="AE258" s="12"/>
      <c r="AF258" s="72"/>
      <c r="AG258" s="67"/>
      <c r="AH258" s="12"/>
    </row>
    <row r="259" spans="1:34" s="12" customFormat="1" x14ac:dyDescent="0.15">
      <c r="A259" s="80"/>
      <c r="B259" s="12" t="s">
        <v>681</v>
      </c>
      <c r="C259" s="29" t="s">
        <v>1693</v>
      </c>
      <c r="D259" s="15">
        <v>50</v>
      </c>
      <c r="E259" s="12" t="s">
        <v>4</v>
      </c>
      <c r="F259" s="15">
        <v>5.3</v>
      </c>
      <c r="G259" s="15"/>
      <c r="H259" s="14">
        <v>45069</v>
      </c>
      <c r="I259" s="12" t="s">
        <v>2899</v>
      </c>
      <c r="J259" s="12" t="s">
        <v>2898</v>
      </c>
      <c r="K259" s="12" t="s">
        <v>2050</v>
      </c>
      <c r="L259" s="12" t="s">
        <v>2309</v>
      </c>
      <c r="M259" s="30">
        <v>44531</v>
      </c>
      <c r="O259" s="12" t="s">
        <v>2897</v>
      </c>
      <c r="P259" s="24" t="s">
        <v>278</v>
      </c>
      <c r="Q259" s="24" t="s">
        <v>1</v>
      </c>
      <c r="R259" s="24" t="s">
        <v>682</v>
      </c>
      <c r="S259" s="24" t="s">
        <v>1</v>
      </c>
      <c r="T259" s="24" t="s">
        <v>1</v>
      </c>
      <c r="U259" s="24" t="s">
        <v>1</v>
      </c>
      <c r="V259" s="24" t="s">
        <v>1</v>
      </c>
      <c r="W259" s="24" t="s">
        <v>1</v>
      </c>
      <c r="X259" s="24" t="s">
        <v>1</v>
      </c>
      <c r="Y259" s="24" t="s">
        <v>1</v>
      </c>
      <c r="Z259" s="24" t="s">
        <v>1</v>
      </c>
      <c r="AA259" s="24" t="s">
        <v>1</v>
      </c>
      <c r="AB259" s="12" t="s">
        <v>2896</v>
      </c>
      <c r="AF259" s="72"/>
      <c r="AG259" s="67"/>
    </row>
    <row r="260" spans="1:34" x14ac:dyDescent="0.15">
      <c r="A260" s="192"/>
      <c r="B260" s="192" t="s">
        <v>679</v>
      </c>
      <c r="C260" s="201" t="s">
        <v>1693</v>
      </c>
      <c r="D260" s="194">
        <v>50</v>
      </c>
      <c r="E260" s="192" t="s">
        <v>4</v>
      </c>
      <c r="F260" s="194">
        <v>15</v>
      </c>
      <c r="G260" s="194"/>
      <c r="H260" s="202">
        <v>44691</v>
      </c>
      <c r="I260" s="192" t="s">
        <v>2880</v>
      </c>
      <c r="J260" s="192" t="s">
        <v>2895</v>
      </c>
      <c r="K260" s="192" t="s">
        <v>2050</v>
      </c>
      <c r="L260" s="192" t="s">
        <v>2637</v>
      </c>
      <c r="M260" s="208">
        <v>44362</v>
      </c>
      <c r="N260" s="192"/>
      <c r="O260" s="192" t="s">
        <v>2894</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2159</v>
      </c>
      <c r="AC260" s="192"/>
      <c r="AD260" s="192"/>
      <c r="AE260" s="192"/>
      <c r="AH260" s="192"/>
    </row>
    <row r="261" spans="1:34" x14ac:dyDescent="0.15">
      <c r="A261" s="192"/>
      <c r="B261" s="192" t="s">
        <v>677</v>
      </c>
      <c r="C261" s="201" t="s">
        <v>1693</v>
      </c>
      <c r="D261" s="194">
        <v>50</v>
      </c>
      <c r="E261" s="192" t="s">
        <v>5</v>
      </c>
      <c r="F261" s="194">
        <v>15</v>
      </c>
      <c r="G261" s="194"/>
      <c r="H261" s="202">
        <v>44482</v>
      </c>
      <c r="I261" s="192" t="s">
        <v>2893</v>
      </c>
      <c r="J261" s="192" t="s">
        <v>2892</v>
      </c>
      <c r="K261" s="192" t="s">
        <v>2050</v>
      </c>
      <c r="L261" s="192" t="s">
        <v>2061</v>
      </c>
      <c r="M261" s="192">
        <v>2020</v>
      </c>
      <c r="N261" s="192"/>
      <c r="O261" s="192" t="s">
        <v>2891</v>
      </c>
      <c r="P261" s="195" t="s">
        <v>4</v>
      </c>
      <c r="Q261" s="195">
        <v>4.5</v>
      </c>
      <c r="R261" s="195" t="s">
        <v>2890</v>
      </c>
      <c r="S261" s="195" t="s">
        <v>278</v>
      </c>
      <c r="T261" s="195">
        <v>0.125</v>
      </c>
      <c r="U261" s="195" t="s">
        <v>1069</v>
      </c>
      <c r="V261" s="195" t="s">
        <v>1</v>
      </c>
      <c r="W261" s="195" t="s">
        <v>1</v>
      </c>
      <c r="X261" s="195" t="s">
        <v>1</v>
      </c>
      <c r="Y261" s="195" t="s">
        <v>1</v>
      </c>
      <c r="Z261" s="195" t="s">
        <v>1</v>
      </c>
      <c r="AA261" s="195" t="s">
        <v>1</v>
      </c>
      <c r="AB261" s="192" t="s">
        <v>2099</v>
      </c>
      <c r="AC261" s="192"/>
      <c r="AD261" s="192"/>
      <c r="AE261" s="192"/>
      <c r="AH261" s="192"/>
    </row>
    <row r="262" spans="1:34" x14ac:dyDescent="0.15">
      <c r="A262" s="192"/>
      <c r="B262" s="192" t="s">
        <v>673</v>
      </c>
      <c r="C262" s="201" t="s">
        <v>1693</v>
      </c>
      <c r="D262" s="194">
        <v>50</v>
      </c>
      <c r="E262" s="192" t="s">
        <v>5</v>
      </c>
      <c r="F262" s="194">
        <v>14.5</v>
      </c>
      <c r="G262" s="194"/>
      <c r="H262" s="202">
        <v>44389</v>
      </c>
      <c r="I262" s="192" t="s">
        <v>2889</v>
      </c>
      <c r="J262" s="192" t="s">
        <v>2888</v>
      </c>
      <c r="K262" s="192" t="s">
        <v>2050</v>
      </c>
      <c r="L262" s="192" t="s">
        <v>2061</v>
      </c>
      <c r="M262" s="192">
        <v>2019</v>
      </c>
      <c r="N262" s="192"/>
      <c r="O262" s="192" t="s">
        <v>2887</v>
      </c>
      <c r="P262" s="195" t="s">
        <v>4</v>
      </c>
      <c r="Q262" s="195">
        <v>3</v>
      </c>
      <c r="R262" s="195" t="s">
        <v>2886</v>
      </c>
      <c r="S262" s="195" t="s">
        <v>278</v>
      </c>
      <c r="T262" s="195" t="s">
        <v>1</v>
      </c>
      <c r="U262" s="195" t="s">
        <v>2885</v>
      </c>
      <c r="V262" s="195" t="s">
        <v>1</v>
      </c>
      <c r="W262" s="195" t="s">
        <v>1</v>
      </c>
      <c r="X262" s="195" t="s">
        <v>1</v>
      </c>
      <c r="Y262" s="195" t="s">
        <v>1</v>
      </c>
      <c r="Z262" s="195" t="s">
        <v>1</v>
      </c>
      <c r="AA262" s="195" t="s">
        <v>1</v>
      </c>
      <c r="AB262" s="192" t="s">
        <v>2369</v>
      </c>
      <c r="AC262" s="192"/>
      <c r="AD262" s="192"/>
      <c r="AE262" s="192"/>
      <c r="AH262" s="192"/>
    </row>
    <row r="263" spans="1:34" x14ac:dyDescent="0.15">
      <c r="A263" s="192"/>
      <c r="B263" s="192" t="s">
        <v>777</v>
      </c>
      <c r="C263" s="201" t="s">
        <v>1693</v>
      </c>
      <c r="D263" s="194">
        <v>50</v>
      </c>
      <c r="E263" s="192" t="s">
        <v>4</v>
      </c>
      <c r="F263" s="194">
        <v>15</v>
      </c>
      <c r="G263" s="194"/>
      <c r="H263" s="202">
        <v>44999</v>
      </c>
      <c r="I263" s="192" t="s">
        <v>2884</v>
      </c>
      <c r="J263" s="192" t="s">
        <v>2883</v>
      </c>
      <c r="K263" s="192" t="s">
        <v>2050</v>
      </c>
      <c r="L263" s="192" t="s">
        <v>2061</v>
      </c>
      <c r="M263" s="192">
        <v>2021</v>
      </c>
      <c r="N263" s="192" t="s">
        <v>2882</v>
      </c>
      <c r="O263" s="192" t="s">
        <v>1</v>
      </c>
      <c r="P263" s="195" t="s">
        <v>278</v>
      </c>
      <c r="Q263" s="195">
        <v>4.5</v>
      </c>
      <c r="R263" s="195" t="s">
        <v>2881</v>
      </c>
      <c r="S263" s="195" t="s">
        <v>1</v>
      </c>
      <c r="T263" s="195" t="s">
        <v>1</v>
      </c>
      <c r="U263" s="195" t="s">
        <v>1</v>
      </c>
      <c r="V263" s="195" t="s">
        <v>1</v>
      </c>
      <c r="W263" s="195" t="s">
        <v>1</v>
      </c>
      <c r="X263" s="195" t="s">
        <v>1</v>
      </c>
      <c r="Y263" s="195" t="s">
        <v>1</v>
      </c>
      <c r="Z263" s="195" t="s">
        <v>1</v>
      </c>
      <c r="AA263" s="195" t="s">
        <v>1</v>
      </c>
      <c r="AB263" s="192" t="s">
        <v>2369</v>
      </c>
      <c r="AC263" s="192"/>
      <c r="AD263" s="192"/>
      <c r="AE263" s="192"/>
      <c r="AH263" s="192"/>
    </row>
    <row r="264" spans="1:34" x14ac:dyDescent="0.15">
      <c r="A264" s="192"/>
      <c r="B264" s="192" t="s">
        <v>670</v>
      </c>
      <c r="C264" s="201" t="s">
        <v>1693</v>
      </c>
      <c r="D264" s="194">
        <v>50</v>
      </c>
      <c r="E264" s="192" t="s">
        <v>5</v>
      </c>
      <c r="F264" s="194">
        <v>14</v>
      </c>
      <c r="G264" s="194"/>
      <c r="H264" s="202">
        <v>44705</v>
      </c>
      <c r="I264" s="192" t="s">
        <v>2880</v>
      </c>
      <c r="J264" s="192" t="s">
        <v>2879</v>
      </c>
      <c r="K264" s="192" t="s">
        <v>2050</v>
      </c>
      <c r="L264" s="192" t="s">
        <v>2637</v>
      </c>
      <c r="M264" s="192">
        <v>2019</v>
      </c>
      <c r="N264" s="192"/>
      <c r="O264" s="192" t="s">
        <v>2878</v>
      </c>
      <c r="P264" s="195" t="s">
        <v>4</v>
      </c>
      <c r="Q264" s="195">
        <v>5</v>
      </c>
      <c r="R264" s="195" t="s">
        <v>2877</v>
      </c>
      <c r="S264" s="195" t="s">
        <v>278</v>
      </c>
      <c r="T264" s="195">
        <v>0.62</v>
      </c>
      <c r="U264" s="195" t="s">
        <v>2876</v>
      </c>
      <c r="V264" s="195" t="s">
        <v>1</v>
      </c>
      <c r="W264" s="195" t="s">
        <v>1</v>
      </c>
      <c r="X264" s="195" t="s">
        <v>1</v>
      </c>
      <c r="Y264" s="195" t="s">
        <v>1</v>
      </c>
      <c r="Z264" s="195" t="s">
        <v>1</v>
      </c>
      <c r="AA264" s="195" t="s">
        <v>1</v>
      </c>
      <c r="AB264" s="192" t="s">
        <v>2697</v>
      </c>
      <c r="AC264" s="192"/>
      <c r="AD264" s="192"/>
      <c r="AE264" s="192"/>
      <c r="AH264" s="192"/>
    </row>
    <row r="265" spans="1:34" x14ac:dyDescent="0.15">
      <c r="A265" s="192"/>
      <c r="B265" s="192" t="s">
        <v>2875</v>
      </c>
      <c r="C265" s="201" t="s">
        <v>1693</v>
      </c>
      <c r="D265" s="194">
        <v>50</v>
      </c>
      <c r="E265" s="192" t="s">
        <v>5</v>
      </c>
      <c r="F265" s="194">
        <v>13.6</v>
      </c>
      <c r="G265" s="194"/>
      <c r="H265" s="202">
        <v>44134</v>
      </c>
      <c r="I265" s="192" t="s">
        <v>2874</v>
      </c>
      <c r="J265" s="192" t="s">
        <v>2873</v>
      </c>
      <c r="K265" s="192" t="s">
        <v>2050</v>
      </c>
      <c r="L265" s="192" t="s">
        <v>2857</v>
      </c>
      <c r="M265" s="192">
        <v>2016</v>
      </c>
      <c r="N265" s="192"/>
      <c r="O265" s="192" t="s">
        <v>2872</v>
      </c>
      <c r="P265" s="195" t="s">
        <v>5</v>
      </c>
      <c r="Q265" s="195">
        <v>6</v>
      </c>
      <c r="R265" s="195" t="s">
        <v>2871</v>
      </c>
      <c r="S265" s="195" t="s">
        <v>4</v>
      </c>
      <c r="T265" s="195">
        <v>5</v>
      </c>
      <c r="U265" s="195" t="s">
        <v>2871</v>
      </c>
      <c r="V265" s="195" t="s">
        <v>4</v>
      </c>
      <c r="W265" s="195">
        <v>3</v>
      </c>
      <c r="X265" s="195" t="s">
        <v>2870</v>
      </c>
      <c r="Y265" s="195" t="s">
        <v>4</v>
      </c>
      <c r="Z265" s="195">
        <v>2</v>
      </c>
      <c r="AA265" s="195" t="s">
        <v>2870</v>
      </c>
      <c r="AB265" s="192" t="s">
        <v>2213</v>
      </c>
      <c r="AC265" s="192"/>
      <c r="AD265" s="192"/>
      <c r="AE265" s="192"/>
      <c r="AH265" s="192"/>
    </row>
    <row r="266" spans="1:34" x14ac:dyDescent="0.15">
      <c r="A266" s="192"/>
      <c r="B266" s="192" t="s">
        <v>2869</v>
      </c>
      <c r="C266" s="201" t="s">
        <v>1693</v>
      </c>
      <c r="D266" s="194">
        <v>50</v>
      </c>
      <c r="E266" s="192" t="s">
        <v>4</v>
      </c>
      <c r="F266" s="194">
        <v>13.75</v>
      </c>
      <c r="G266" s="194"/>
      <c r="H266" s="202">
        <v>45014</v>
      </c>
      <c r="I266" s="192" t="s">
        <v>2868</v>
      </c>
      <c r="J266" s="192" t="s">
        <v>2867</v>
      </c>
      <c r="K266" s="192" t="s">
        <v>2576</v>
      </c>
      <c r="L266" s="192" t="s">
        <v>2866</v>
      </c>
      <c r="M266" s="192">
        <v>2021</v>
      </c>
      <c r="N266" s="192" t="s">
        <v>2865</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2099</v>
      </c>
      <c r="AC266" s="192"/>
      <c r="AD266" s="192"/>
      <c r="AE266" s="192"/>
      <c r="AH266" s="192"/>
    </row>
    <row r="267" spans="1:34" x14ac:dyDescent="0.15">
      <c r="A267" s="192"/>
      <c r="B267" s="192" t="s">
        <v>667</v>
      </c>
      <c r="C267" s="201" t="s">
        <v>1693</v>
      </c>
      <c r="D267" s="194">
        <v>50</v>
      </c>
      <c r="E267" s="192" t="s">
        <v>5</v>
      </c>
      <c r="F267" s="194">
        <v>12.7</v>
      </c>
      <c r="G267" s="194"/>
      <c r="H267" s="202">
        <v>44952</v>
      </c>
      <c r="I267" s="192" t="s">
        <v>2864</v>
      </c>
      <c r="J267" s="192" t="s">
        <v>2863</v>
      </c>
      <c r="K267" s="192" t="s">
        <v>2050</v>
      </c>
      <c r="L267" s="192" t="s">
        <v>2534</v>
      </c>
      <c r="M267" s="192">
        <v>2021</v>
      </c>
      <c r="N267" s="192"/>
      <c r="O267" s="192" t="s">
        <v>2862</v>
      </c>
      <c r="P267" s="195" t="s">
        <v>4</v>
      </c>
      <c r="Q267" s="195">
        <v>5</v>
      </c>
      <c r="R267" s="195" t="s">
        <v>668</v>
      </c>
      <c r="S267" s="195" t="s">
        <v>1</v>
      </c>
      <c r="T267" s="195" t="s">
        <v>1</v>
      </c>
      <c r="U267" s="195" t="s">
        <v>1</v>
      </c>
      <c r="V267" s="195" t="s">
        <v>1</v>
      </c>
      <c r="W267" s="195" t="s">
        <v>1</v>
      </c>
      <c r="X267" s="195" t="s">
        <v>1</v>
      </c>
      <c r="Y267" s="195" t="s">
        <v>1</v>
      </c>
      <c r="Z267" s="195" t="s">
        <v>1</v>
      </c>
      <c r="AA267" s="195" t="s">
        <v>1</v>
      </c>
      <c r="AB267" s="192" t="s">
        <v>2060</v>
      </c>
      <c r="AC267" s="192"/>
      <c r="AD267" s="192"/>
      <c r="AE267" s="192"/>
      <c r="AH267" s="192"/>
    </row>
    <row r="268" spans="1:34" s="192" customFormat="1" x14ac:dyDescent="0.15">
      <c r="A268" s="80"/>
      <c r="B268" s="12" t="s">
        <v>662</v>
      </c>
      <c r="C268" s="29" t="s">
        <v>1693</v>
      </c>
      <c r="D268" s="15">
        <v>50</v>
      </c>
      <c r="E268" s="12" t="s">
        <v>4</v>
      </c>
      <c r="F268" s="15">
        <v>13</v>
      </c>
      <c r="G268" s="15"/>
      <c r="H268" s="14">
        <v>44896</v>
      </c>
      <c r="I268" s="12" t="s">
        <v>2861</v>
      </c>
      <c r="J268" s="80" t="s">
        <v>2860</v>
      </c>
      <c r="K268" s="12" t="s">
        <v>2050</v>
      </c>
      <c r="L268" s="12" t="s">
        <v>2458</v>
      </c>
      <c r="M268" s="12">
        <v>2019</v>
      </c>
      <c r="N268" s="80"/>
      <c r="O268" s="80" t="s">
        <v>2859</v>
      </c>
      <c r="P268" s="84" t="s">
        <v>278</v>
      </c>
      <c r="Q268" s="84">
        <v>1</v>
      </c>
      <c r="R268" s="84" t="s">
        <v>1</v>
      </c>
      <c r="S268" s="84" t="s">
        <v>1</v>
      </c>
      <c r="T268" s="84" t="s">
        <v>1</v>
      </c>
      <c r="U268" s="84" t="s">
        <v>1</v>
      </c>
      <c r="V268" s="84" t="s">
        <v>1</v>
      </c>
      <c r="W268" s="84" t="s">
        <v>1</v>
      </c>
      <c r="X268" s="84" t="s">
        <v>1</v>
      </c>
      <c r="Y268" s="84" t="s">
        <v>1</v>
      </c>
      <c r="Z268" s="84" t="s">
        <v>1</v>
      </c>
      <c r="AA268" s="84" t="s">
        <v>1</v>
      </c>
      <c r="AB268" s="80" t="s">
        <v>2858</v>
      </c>
      <c r="AC268" s="80"/>
      <c r="AD268" s="80"/>
      <c r="AE268" s="80"/>
      <c r="AF268" s="70"/>
      <c r="AG268" s="65"/>
      <c r="AH268" s="80"/>
    </row>
    <row r="269" spans="1:34" s="192" customFormat="1" x14ac:dyDescent="0.15">
      <c r="A269" s="80"/>
      <c r="B269" s="80" t="s">
        <v>657</v>
      </c>
      <c r="C269" s="81" t="s">
        <v>1693</v>
      </c>
      <c r="D269" s="82">
        <v>50</v>
      </c>
      <c r="E269" s="80" t="s">
        <v>5</v>
      </c>
      <c r="F269" s="82">
        <v>12.6</v>
      </c>
      <c r="G269" s="82"/>
      <c r="H269" s="85">
        <v>44579</v>
      </c>
      <c r="I269" s="80" t="s">
        <v>2857</v>
      </c>
      <c r="J269" s="80" t="s">
        <v>2856</v>
      </c>
      <c r="K269" s="80" t="s">
        <v>2050</v>
      </c>
      <c r="L269" s="80" t="s">
        <v>2061</v>
      </c>
      <c r="M269" s="80">
        <v>2020</v>
      </c>
      <c r="N269" s="80"/>
      <c r="O269" s="80" t="s">
        <v>2855</v>
      </c>
      <c r="P269" s="84" t="s">
        <v>4</v>
      </c>
      <c r="Q269" s="84">
        <v>3</v>
      </c>
      <c r="R269" s="84" t="s">
        <v>2854</v>
      </c>
      <c r="S269" s="80" t="s">
        <v>1</v>
      </c>
      <c r="T269" s="80" t="s">
        <v>1</v>
      </c>
      <c r="U269" s="80" t="s">
        <v>1</v>
      </c>
      <c r="V269" s="80" t="s">
        <v>1</v>
      </c>
      <c r="W269" s="80" t="s">
        <v>1</v>
      </c>
      <c r="X269" s="80" t="s">
        <v>1</v>
      </c>
      <c r="Y269" s="80" t="s">
        <v>1</v>
      </c>
      <c r="Z269" s="80" t="s">
        <v>1</v>
      </c>
      <c r="AA269" s="80" t="s">
        <v>1</v>
      </c>
      <c r="AB269" s="80" t="s">
        <v>2369</v>
      </c>
      <c r="AC269" s="80"/>
      <c r="AD269" s="80"/>
      <c r="AE269" s="80"/>
      <c r="AF269" s="70"/>
      <c r="AG269" s="65"/>
      <c r="AH269" s="80"/>
    </row>
    <row r="270" spans="1:34" s="192" customFormat="1" x14ac:dyDescent="0.15">
      <c r="A270" s="80"/>
      <c r="B270" s="80" t="s">
        <v>689</v>
      </c>
      <c r="C270" s="81" t="s">
        <v>1693</v>
      </c>
      <c r="D270" s="82">
        <v>50</v>
      </c>
      <c r="E270" s="80" t="s">
        <v>5</v>
      </c>
      <c r="F270" s="82">
        <v>12.5</v>
      </c>
      <c r="G270" s="82"/>
      <c r="H270" s="85">
        <v>45005</v>
      </c>
      <c r="I270" s="80" t="s">
        <v>2853</v>
      </c>
      <c r="J270" s="80"/>
      <c r="K270" s="80" t="s">
        <v>2050</v>
      </c>
      <c r="L270" s="80" t="s">
        <v>2061</v>
      </c>
      <c r="M270" s="80">
        <v>2021</v>
      </c>
      <c r="N270" s="80"/>
      <c r="O270" s="80" t="s">
        <v>2852</v>
      </c>
      <c r="P270" s="84" t="s">
        <v>4</v>
      </c>
      <c r="Q270" s="84">
        <v>5</v>
      </c>
      <c r="R270" s="84" t="s">
        <v>699</v>
      </c>
      <c r="S270" s="84" t="s">
        <v>1</v>
      </c>
      <c r="T270" s="84" t="s">
        <v>1</v>
      </c>
      <c r="U270" s="84" t="s">
        <v>1</v>
      </c>
      <c r="V270" s="84" t="s">
        <v>1</v>
      </c>
      <c r="W270" s="84" t="s">
        <v>1</v>
      </c>
      <c r="X270" s="84" t="s">
        <v>1</v>
      </c>
      <c r="Y270" s="84" t="s">
        <v>1</v>
      </c>
      <c r="Z270" s="84" t="s">
        <v>1</v>
      </c>
      <c r="AA270" s="84" t="s">
        <v>1</v>
      </c>
      <c r="AB270" s="80" t="s">
        <v>2653</v>
      </c>
      <c r="AC270" s="80"/>
      <c r="AD270" s="80"/>
      <c r="AE270" s="80"/>
      <c r="AF270" s="70"/>
      <c r="AG270" s="65"/>
      <c r="AH270" s="80"/>
    </row>
    <row r="271" spans="1:34" s="192" customFormat="1" x14ac:dyDescent="0.15">
      <c r="A271" s="80"/>
      <c r="B271" s="12" t="s">
        <v>1070</v>
      </c>
      <c r="C271" s="29" t="s">
        <v>1693</v>
      </c>
      <c r="D271" s="15">
        <v>50</v>
      </c>
      <c r="E271" s="12" t="s">
        <v>5</v>
      </c>
      <c r="F271" s="15">
        <v>12.5</v>
      </c>
      <c r="G271" s="15"/>
      <c r="H271" s="14">
        <v>44978</v>
      </c>
      <c r="I271" s="12" t="s">
        <v>2851</v>
      </c>
      <c r="J271" s="12" t="s">
        <v>2850</v>
      </c>
      <c r="K271" s="12" t="s">
        <v>2050</v>
      </c>
      <c r="L271" s="12" t="s">
        <v>2061</v>
      </c>
      <c r="M271" s="12">
        <v>2019</v>
      </c>
      <c r="N271" s="12" t="s">
        <v>1902</v>
      </c>
      <c r="O271" s="12" t="s">
        <v>2849</v>
      </c>
      <c r="P271" s="24" t="s">
        <v>4</v>
      </c>
      <c r="Q271" s="24" t="s">
        <v>1</v>
      </c>
      <c r="R271" s="24" t="s">
        <v>1069</v>
      </c>
      <c r="S271" s="24" t="s">
        <v>1</v>
      </c>
      <c r="T271" s="24" t="s">
        <v>1</v>
      </c>
      <c r="U271" s="24" t="s">
        <v>1</v>
      </c>
      <c r="V271" s="24" t="s">
        <v>1</v>
      </c>
      <c r="W271" s="24" t="s">
        <v>1</v>
      </c>
      <c r="X271" s="24" t="s">
        <v>1</v>
      </c>
      <c r="Y271" s="24" t="s">
        <v>1</v>
      </c>
      <c r="Z271" s="24" t="s">
        <v>1</v>
      </c>
      <c r="AA271" s="24" t="s">
        <v>1</v>
      </c>
      <c r="AB271" s="12" t="s">
        <v>2369</v>
      </c>
      <c r="AC271" s="12"/>
      <c r="AD271" s="12"/>
      <c r="AE271" s="12"/>
      <c r="AF271" s="72"/>
      <c r="AG271" s="67"/>
      <c r="AH271" s="12"/>
    </row>
    <row r="272" spans="1:34" s="192" customFormat="1" x14ac:dyDescent="0.15">
      <c r="A272" s="80"/>
      <c r="B272" s="80" t="s">
        <v>774</v>
      </c>
      <c r="C272" s="81" t="s">
        <v>1693</v>
      </c>
      <c r="D272" s="82">
        <v>50</v>
      </c>
      <c r="E272" s="80" t="s">
        <v>5</v>
      </c>
      <c r="F272" s="82">
        <v>12.8</v>
      </c>
      <c r="G272" s="82"/>
      <c r="H272" s="85">
        <v>44698</v>
      </c>
      <c r="I272" s="80" t="s">
        <v>2848</v>
      </c>
      <c r="J272" s="80"/>
      <c r="K272" s="80" t="s">
        <v>2050</v>
      </c>
      <c r="L272" s="80" t="s">
        <v>2061</v>
      </c>
      <c r="M272" s="80">
        <v>2020</v>
      </c>
      <c r="N272" s="80"/>
      <c r="O272" s="80" t="s">
        <v>2847</v>
      </c>
      <c r="P272" s="84" t="s">
        <v>4</v>
      </c>
      <c r="Q272" s="84">
        <v>5.5</v>
      </c>
      <c r="R272" s="84" t="s">
        <v>2846</v>
      </c>
      <c r="S272" s="80" t="s">
        <v>1</v>
      </c>
      <c r="T272" s="80" t="s">
        <v>1</v>
      </c>
      <c r="U272" s="80" t="s">
        <v>1</v>
      </c>
      <c r="V272" s="80" t="s">
        <v>1</v>
      </c>
      <c r="W272" s="80" t="s">
        <v>1</v>
      </c>
      <c r="X272" s="80" t="s">
        <v>1</v>
      </c>
      <c r="Y272" s="80" t="s">
        <v>1</v>
      </c>
      <c r="Z272" s="80" t="s">
        <v>1</v>
      </c>
      <c r="AA272" s="80" t="s">
        <v>1</v>
      </c>
      <c r="AB272" s="80" t="s">
        <v>2369</v>
      </c>
      <c r="AC272" s="80"/>
      <c r="AD272" s="80"/>
      <c r="AE272" s="80"/>
      <c r="AF272" s="70"/>
      <c r="AG272" s="65"/>
      <c r="AH272" s="80"/>
    </row>
    <row r="273" spans="1:34" s="192" customFormat="1" x14ac:dyDescent="0.15">
      <c r="A273" s="80"/>
      <c r="B273" s="80" t="s">
        <v>645</v>
      </c>
      <c r="C273" s="81" t="s">
        <v>1693</v>
      </c>
      <c r="D273" s="82">
        <v>50</v>
      </c>
      <c r="E273" s="80" t="s">
        <v>5</v>
      </c>
      <c r="F273" s="82">
        <v>12.5</v>
      </c>
      <c r="G273" s="82"/>
      <c r="H273" s="85">
        <v>43391</v>
      </c>
      <c r="I273" s="80" t="s">
        <v>2845</v>
      </c>
      <c r="J273" s="80" t="s">
        <v>2844</v>
      </c>
      <c r="K273" s="80" t="s">
        <v>2050</v>
      </c>
      <c r="L273" s="80" t="s">
        <v>2061</v>
      </c>
      <c r="M273" s="80">
        <v>2018</v>
      </c>
      <c r="N273" s="80"/>
      <c r="O273" s="80" t="s">
        <v>2843</v>
      </c>
      <c r="P273" s="84" t="s">
        <v>4</v>
      </c>
      <c r="Q273" s="84">
        <v>2</v>
      </c>
      <c r="R273" s="84" t="s">
        <v>817</v>
      </c>
      <c r="S273" s="84" t="s">
        <v>1</v>
      </c>
      <c r="T273" s="84" t="s">
        <v>1</v>
      </c>
      <c r="U273" s="84" t="s">
        <v>1</v>
      </c>
      <c r="V273" s="84" t="s">
        <v>1</v>
      </c>
      <c r="W273" s="84" t="s">
        <v>1</v>
      </c>
      <c r="X273" s="84" t="s">
        <v>1</v>
      </c>
      <c r="Y273" s="84" t="s">
        <v>1</v>
      </c>
      <c r="Z273" s="84" t="s">
        <v>1</v>
      </c>
      <c r="AA273" s="84" t="s">
        <v>1</v>
      </c>
      <c r="AB273" s="80" t="s">
        <v>2842</v>
      </c>
      <c r="AC273" s="80"/>
      <c r="AD273" s="80"/>
      <c r="AE273" s="80"/>
      <c r="AF273" s="70"/>
      <c r="AG273" s="65"/>
      <c r="AH273" s="80"/>
    </row>
    <row r="274" spans="1:34" s="192" customFormat="1" x14ac:dyDescent="0.15">
      <c r="A274" s="80"/>
      <c r="B274" s="80" t="s">
        <v>647</v>
      </c>
      <c r="C274" s="81" t="s">
        <v>1693</v>
      </c>
      <c r="D274" s="82">
        <v>50</v>
      </c>
      <c r="E274" s="80" t="s">
        <v>5</v>
      </c>
      <c r="F274" s="82">
        <v>13</v>
      </c>
      <c r="G274" s="82"/>
      <c r="H274" s="85">
        <v>44642</v>
      </c>
      <c r="I274" s="80" t="s">
        <v>2841</v>
      </c>
      <c r="J274" s="80" t="s">
        <v>2840</v>
      </c>
      <c r="K274" s="80" t="s">
        <v>2050</v>
      </c>
      <c r="L274" s="80" t="s">
        <v>2061</v>
      </c>
      <c r="M274" s="80">
        <v>2019</v>
      </c>
      <c r="N274" s="80"/>
      <c r="O274" s="80" t="s">
        <v>2839</v>
      </c>
      <c r="P274" s="84" t="s">
        <v>4</v>
      </c>
      <c r="Q274" s="84">
        <v>3.5</v>
      </c>
      <c r="R274" s="84" t="s">
        <v>2838</v>
      </c>
      <c r="S274" s="84" t="s">
        <v>278</v>
      </c>
      <c r="T274" s="84">
        <v>1</v>
      </c>
      <c r="U274" s="84" t="s">
        <v>2837</v>
      </c>
      <c r="V274" s="84" t="s">
        <v>1</v>
      </c>
      <c r="W274" s="84" t="s">
        <v>1</v>
      </c>
      <c r="X274" s="84" t="s">
        <v>1</v>
      </c>
      <c r="Y274" s="84" t="s">
        <v>1</v>
      </c>
      <c r="Z274" s="84" t="s">
        <v>1</v>
      </c>
      <c r="AA274" s="84" t="s">
        <v>1</v>
      </c>
      <c r="AB274" s="80" t="s">
        <v>2836</v>
      </c>
      <c r="AC274" s="80"/>
      <c r="AD274" s="80"/>
      <c r="AE274" s="80"/>
      <c r="AF274" s="70"/>
      <c r="AG274" s="65"/>
      <c r="AH274" s="80"/>
    </row>
    <row r="275" spans="1:34" s="192" customFormat="1" x14ac:dyDescent="0.15">
      <c r="A275" s="80"/>
      <c r="B275" s="80" t="s">
        <v>652</v>
      </c>
      <c r="C275" s="81" t="s">
        <v>1693</v>
      </c>
      <c r="D275" s="82">
        <v>50</v>
      </c>
      <c r="E275" s="80" t="s">
        <v>4</v>
      </c>
      <c r="F275" s="82">
        <v>12.25</v>
      </c>
      <c r="G275" s="82"/>
      <c r="H275" s="85">
        <v>44622</v>
      </c>
      <c r="I275" s="80" t="s">
        <v>2835</v>
      </c>
      <c r="J275" s="80" t="s">
        <v>2834</v>
      </c>
      <c r="K275" s="80" t="s">
        <v>2050</v>
      </c>
      <c r="L275" s="80" t="s">
        <v>2061</v>
      </c>
      <c r="M275" s="80">
        <v>2019</v>
      </c>
      <c r="N275" s="80" t="s">
        <v>2833</v>
      </c>
      <c r="O275" s="80" t="s">
        <v>2832</v>
      </c>
      <c r="P275" s="84" t="s">
        <v>4</v>
      </c>
      <c r="Q275" s="84">
        <v>3.8</v>
      </c>
      <c r="R275" s="84" t="s">
        <v>1</v>
      </c>
      <c r="S275" s="84" t="s">
        <v>1</v>
      </c>
      <c r="T275" s="84" t="s">
        <v>1</v>
      </c>
      <c r="U275" s="84" t="s">
        <v>1</v>
      </c>
      <c r="V275" s="84" t="s">
        <v>1</v>
      </c>
      <c r="W275" s="84" t="s">
        <v>1</v>
      </c>
      <c r="X275" s="84" t="s">
        <v>1</v>
      </c>
      <c r="Y275" s="84" t="s">
        <v>1</v>
      </c>
      <c r="Z275" s="84" t="s">
        <v>1</v>
      </c>
      <c r="AA275" s="84" t="s">
        <v>1</v>
      </c>
      <c r="AB275" s="80" t="s">
        <v>2369</v>
      </c>
      <c r="AC275" s="80"/>
      <c r="AD275" s="80"/>
      <c r="AE275" s="80"/>
      <c r="AF275" s="70"/>
      <c r="AG275" s="65"/>
      <c r="AH275" s="80"/>
    </row>
    <row r="276" spans="1:34" s="192" customFormat="1" x14ac:dyDescent="0.15">
      <c r="A276" s="80"/>
      <c r="B276" s="80" t="s">
        <v>517</v>
      </c>
      <c r="C276" s="81" t="s">
        <v>1693</v>
      </c>
      <c r="D276" s="82">
        <v>50</v>
      </c>
      <c r="E276" s="80" t="s">
        <v>5</v>
      </c>
      <c r="F276" s="82">
        <v>12</v>
      </c>
      <c r="G276" s="82"/>
      <c r="H276" s="85">
        <v>44340</v>
      </c>
      <c r="I276" s="80" t="s">
        <v>2831</v>
      </c>
      <c r="J276" s="80" t="s">
        <v>2830</v>
      </c>
      <c r="K276" s="80" t="s">
        <v>2050</v>
      </c>
      <c r="L276" s="80" t="s">
        <v>2084</v>
      </c>
      <c r="M276" s="80">
        <v>2014</v>
      </c>
      <c r="N276" s="80"/>
      <c r="O276" s="80" t="s">
        <v>2829</v>
      </c>
      <c r="P276" s="84" t="s">
        <v>4</v>
      </c>
      <c r="Q276" s="84">
        <v>4</v>
      </c>
      <c r="R276" s="84" t="s">
        <v>2828</v>
      </c>
      <c r="S276" s="84" t="s">
        <v>4</v>
      </c>
      <c r="T276" s="84">
        <v>1.7</v>
      </c>
      <c r="U276" s="84" t="s">
        <v>2827</v>
      </c>
      <c r="V276" s="84" t="s">
        <v>4</v>
      </c>
      <c r="W276" s="84" t="s">
        <v>1</v>
      </c>
      <c r="X276" s="84" t="s">
        <v>2826</v>
      </c>
      <c r="Y276" s="84" t="s">
        <v>4</v>
      </c>
      <c r="Z276" s="84" t="s">
        <v>1</v>
      </c>
      <c r="AA276" s="84" t="s">
        <v>2825</v>
      </c>
      <c r="AB276" s="80" t="s">
        <v>2824</v>
      </c>
      <c r="AC276" s="80"/>
      <c r="AD276" s="80"/>
      <c r="AE276" s="80"/>
      <c r="AF276" s="70"/>
      <c r="AG276" s="65"/>
      <c r="AH276" s="80"/>
    </row>
    <row r="277" spans="1:34" s="192" customFormat="1" x14ac:dyDescent="0.15">
      <c r="A277" s="80"/>
      <c r="B277" s="80" t="s">
        <v>650</v>
      </c>
      <c r="C277" s="81" t="s">
        <v>1693</v>
      </c>
      <c r="D277" s="82">
        <v>50</v>
      </c>
      <c r="E277" s="80" t="s">
        <v>5</v>
      </c>
      <c r="F277" s="82">
        <v>12</v>
      </c>
      <c r="G277" s="82"/>
      <c r="H277" s="85">
        <v>44677</v>
      </c>
      <c r="I277" s="80" t="s">
        <v>2823</v>
      </c>
      <c r="J277" s="80" t="s">
        <v>2822</v>
      </c>
      <c r="K277" s="80" t="s">
        <v>2050</v>
      </c>
      <c r="L277" s="80" t="s">
        <v>2061</v>
      </c>
      <c r="M277" s="80">
        <v>2019</v>
      </c>
      <c r="N277" s="80"/>
      <c r="O277" s="80" t="s">
        <v>2821</v>
      </c>
      <c r="P277" s="84" t="s">
        <v>4</v>
      </c>
      <c r="Q277" s="84">
        <v>8</v>
      </c>
      <c r="R277" s="80" t="s">
        <v>2820</v>
      </c>
      <c r="S277" s="84" t="s">
        <v>1</v>
      </c>
      <c r="T277" s="84" t="s">
        <v>1</v>
      </c>
      <c r="U277" s="84" t="s">
        <v>1</v>
      </c>
      <c r="V277" s="84" t="s">
        <v>1</v>
      </c>
      <c r="W277" s="84" t="s">
        <v>1</v>
      </c>
      <c r="X277" s="84" t="s">
        <v>1</v>
      </c>
      <c r="Y277" s="84" t="s">
        <v>1</v>
      </c>
      <c r="Z277" s="84" t="s">
        <v>1</v>
      </c>
      <c r="AA277" s="84" t="s">
        <v>1</v>
      </c>
      <c r="AB277" s="80" t="s">
        <v>2369</v>
      </c>
      <c r="AC277" s="80"/>
      <c r="AD277" s="80"/>
      <c r="AE277" s="80"/>
      <c r="AF277" s="70"/>
      <c r="AG277" s="65"/>
      <c r="AH277" s="80"/>
    </row>
    <row r="278" spans="1:34" s="192" customFormat="1" x14ac:dyDescent="0.15">
      <c r="A278" s="80"/>
      <c r="B278" s="80" t="s">
        <v>643</v>
      </c>
      <c r="C278" s="81" t="s">
        <v>1693</v>
      </c>
      <c r="D278" s="82">
        <v>50</v>
      </c>
      <c r="E278" s="80" t="s">
        <v>5</v>
      </c>
      <c r="F278" s="82">
        <v>12</v>
      </c>
      <c r="G278" s="82"/>
      <c r="H278" s="85">
        <v>44860</v>
      </c>
      <c r="I278" s="80" t="s">
        <v>2402</v>
      </c>
      <c r="J278" s="80" t="s">
        <v>2819</v>
      </c>
      <c r="K278" s="80" t="s">
        <v>2050</v>
      </c>
      <c r="L278" s="80" t="s">
        <v>2061</v>
      </c>
      <c r="M278" s="80">
        <v>2020</v>
      </c>
      <c r="N278" s="80" t="s">
        <v>2818</v>
      </c>
      <c r="O278" s="80" t="s">
        <v>2817</v>
      </c>
      <c r="P278" s="84" t="s">
        <v>4</v>
      </c>
      <c r="Q278" s="84">
        <v>2.8</v>
      </c>
      <c r="R278" s="84" t="s">
        <v>2816</v>
      </c>
      <c r="S278" s="84" t="s">
        <v>1</v>
      </c>
      <c r="T278" s="84" t="s">
        <v>1</v>
      </c>
      <c r="U278" s="84" t="s">
        <v>1</v>
      </c>
      <c r="V278" s="84" t="s">
        <v>1</v>
      </c>
      <c r="W278" s="84" t="s">
        <v>1</v>
      </c>
      <c r="X278" s="84" t="s">
        <v>1</v>
      </c>
      <c r="Y278" s="84" t="s">
        <v>1</v>
      </c>
      <c r="Z278" s="84" t="s">
        <v>1</v>
      </c>
      <c r="AA278" s="84" t="s">
        <v>1</v>
      </c>
      <c r="AB278" s="80" t="s">
        <v>2815</v>
      </c>
      <c r="AC278" s="80"/>
      <c r="AD278" s="80"/>
      <c r="AE278" s="80"/>
      <c r="AF278" s="70"/>
      <c r="AG278" s="65"/>
      <c r="AH278" s="80"/>
    </row>
    <row r="279" spans="1:34" s="192" customFormat="1" x14ac:dyDescent="0.15">
      <c r="A279" s="80"/>
      <c r="B279" s="80" t="s">
        <v>653</v>
      </c>
      <c r="C279" s="81" t="s">
        <v>1693</v>
      </c>
      <c r="D279" s="82">
        <v>50</v>
      </c>
      <c r="E279" s="80" t="s">
        <v>5</v>
      </c>
      <c r="F279" s="82">
        <v>12</v>
      </c>
      <c r="G279" s="82"/>
      <c r="H279" s="85">
        <v>44971</v>
      </c>
      <c r="I279" s="80" t="s">
        <v>2814</v>
      </c>
      <c r="J279" s="80" t="s">
        <v>2813</v>
      </c>
      <c r="K279" s="80" t="s">
        <v>2050</v>
      </c>
      <c r="L279" s="80" t="s">
        <v>2061</v>
      </c>
      <c r="M279" s="80">
        <v>2022</v>
      </c>
      <c r="N279" s="80"/>
      <c r="O279" s="80" t="s">
        <v>2812</v>
      </c>
      <c r="P279" s="84" t="s">
        <v>4</v>
      </c>
      <c r="Q279" s="84">
        <v>5</v>
      </c>
      <c r="R279" s="84" t="s">
        <v>2811</v>
      </c>
      <c r="S279" s="84" t="s">
        <v>1</v>
      </c>
      <c r="T279" s="84" t="s">
        <v>1</v>
      </c>
      <c r="U279" s="84" t="s">
        <v>1</v>
      </c>
      <c r="V279" s="84" t="s">
        <v>1</v>
      </c>
      <c r="W279" s="84" t="s">
        <v>1</v>
      </c>
      <c r="X279" s="84" t="s">
        <v>1</v>
      </c>
      <c r="Y279" s="84" t="s">
        <v>1</v>
      </c>
      <c r="Z279" s="84" t="s">
        <v>1</v>
      </c>
      <c r="AA279" s="84" t="s">
        <v>1</v>
      </c>
      <c r="AB279" s="80" t="s">
        <v>2128</v>
      </c>
      <c r="AC279" s="80"/>
      <c r="AD279" s="80"/>
      <c r="AE279" s="80"/>
      <c r="AF279" s="70"/>
      <c r="AG279" s="65"/>
      <c r="AH279" s="80"/>
    </row>
    <row r="280" spans="1:34" s="192" customFormat="1" x14ac:dyDescent="0.15">
      <c r="B280" s="192" t="s">
        <v>720</v>
      </c>
      <c r="C280" s="201" t="s">
        <v>1693</v>
      </c>
      <c r="D280" s="194">
        <v>50</v>
      </c>
      <c r="E280" s="192" t="s">
        <v>5</v>
      </c>
      <c r="F280" s="194">
        <v>11</v>
      </c>
      <c r="G280" s="194"/>
      <c r="H280" s="202">
        <v>44483</v>
      </c>
      <c r="I280" s="192" t="s">
        <v>2810</v>
      </c>
      <c r="J280" s="192" t="s">
        <v>2809</v>
      </c>
      <c r="K280" s="192" t="s">
        <v>2050</v>
      </c>
      <c r="L280" s="192" t="s">
        <v>2129</v>
      </c>
      <c r="M280" s="192">
        <v>2020</v>
      </c>
      <c r="O280" s="192" t="s">
        <v>2808</v>
      </c>
      <c r="P280" s="195" t="s">
        <v>4</v>
      </c>
      <c r="Q280" s="195">
        <v>2.9</v>
      </c>
      <c r="R280" s="195" t="s">
        <v>2807</v>
      </c>
      <c r="S280" s="195" t="s">
        <v>278</v>
      </c>
      <c r="T280" s="195" t="s">
        <v>1</v>
      </c>
      <c r="U280" s="195" t="s">
        <v>2806</v>
      </c>
      <c r="V280" s="195" t="s">
        <v>1</v>
      </c>
      <c r="W280" s="195" t="s">
        <v>1</v>
      </c>
      <c r="X280" s="195" t="s">
        <v>1</v>
      </c>
      <c r="Y280" s="195" t="s">
        <v>1</v>
      </c>
      <c r="Z280" s="195" t="s">
        <v>1</v>
      </c>
      <c r="AA280" s="195" t="s">
        <v>1</v>
      </c>
      <c r="AB280" s="192" t="s">
        <v>2805</v>
      </c>
      <c r="AF280" s="70"/>
      <c r="AG280" s="65"/>
    </row>
    <row r="281" spans="1:34" s="192" customFormat="1" x14ac:dyDescent="0.15">
      <c r="B281" s="192" t="s">
        <v>6825</v>
      </c>
      <c r="C281" s="201" t="s">
        <v>1693</v>
      </c>
      <c r="D281" s="194">
        <v>50</v>
      </c>
      <c r="E281" s="192" t="s">
        <v>5</v>
      </c>
      <c r="F281" s="194">
        <v>11</v>
      </c>
      <c r="G281" s="194">
        <f>F281</f>
        <v>11</v>
      </c>
      <c r="H281" s="27">
        <v>43215</v>
      </c>
      <c r="I281" s="192" t="s">
        <v>6826</v>
      </c>
      <c r="J281" s="192" t="s">
        <v>6824</v>
      </c>
      <c r="K281" s="192" t="s">
        <v>2050</v>
      </c>
      <c r="L281" s="192" t="s">
        <v>2061</v>
      </c>
      <c r="M281" s="192">
        <v>2016</v>
      </c>
      <c r="O281" s="192" t="s">
        <v>6827</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6822</v>
      </c>
      <c r="AC281" s="192" t="s">
        <v>2858</v>
      </c>
      <c r="AD281" s="192" t="s">
        <v>2858</v>
      </c>
      <c r="AE281" s="25" t="s">
        <v>6823</v>
      </c>
      <c r="AF281" s="70"/>
      <c r="AG281" s="65"/>
    </row>
    <row r="282" spans="1:34" s="192" customFormat="1" x14ac:dyDescent="0.15">
      <c r="B282" s="192" t="s">
        <v>2804</v>
      </c>
      <c r="C282" s="201" t="s">
        <v>1693</v>
      </c>
      <c r="D282" s="194">
        <v>50</v>
      </c>
      <c r="E282" s="192" t="s">
        <v>5</v>
      </c>
      <c r="F282" s="194">
        <v>11</v>
      </c>
      <c r="G282" s="194"/>
      <c r="H282" s="202">
        <v>44959</v>
      </c>
      <c r="I282" s="192" t="s">
        <v>2803</v>
      </c>
      <c r="J282" s="192" t="s">
        <v>2802</v>
      </c>
      <c r="K282" s="192" t="s">
        <v>2050</v>
      </c>
      <c r="L282" s="192" t="s">
        <v>2129</v>
      </c>
      <c r="M282" s="192">
        <v>2020</v>
      </c>
      <c r="O282" s="192" t="s">
        <v>2801</v>
      </c>
      <c r="P282" s="195" t="s">
        <v>4</v>
      </c>
      <c r="Q282" s="195">
        <v>2.2000000000000002</v>
      </c>
      <c r="R282" s="195" t="s">
        <v>2800</v>
      </c>
      <c r="S282" s="195" t="s">
        <v>1</v>
      </c>
      <c r="T282" s="195" t="s">
        <v>1</v>
      </c>
      <c r="U282" s="195" t="s">
        <v>1</v>
      </c>
      <c r="V282" s="195" t="s">
        <v>1</v>
      </c>
      <c r="W282" s="195" t="s">
        <v>1</v>
      </c>
      <c r="X282" s="195" t="s">
        <v>1</v>
      </c>
      <c r="Y282" s="195" t="s">
        <v>1</v>
      </c>
      <c r="Z282" s="195" t="s">
        <v>1</v>
      </c>
      <c r="AA282" s="195" t="s">
        <v>1</v>
      </c>
      <c r="AB282" s="192" t="s">
        <v>2060</v>
      </c>
      <c r="AF282" s="70"/>
      <c r="AG282" s="65"/>
    </row>
    <row r="283" spans="1:34" s="12" customFormat="1" x14ac:dyDescent="0.15">
      <c r="B283" s="12" t="s">
        <v>2799</v>
      </c>
      <c r="C283" s="29" t="s">
        <v>1693</v>
      </c>
      <c r="D283" s="15">
        <v>50</v>
      </c>
      <c r="E283" s="12" t="s">
        <v>5</v>
      </c>
      <c r="F283" s="15">
        <v>10.6</v>
      </c>
      <c r="G283" s="15"/>
      <c r="H283" s="14">
        <v>44819</v>
      </c>
      <c r="I283" s="12" t="s">
        <v>2798</v>
      </c>
      <c r="J283" s="12" t="s">
        <v>2797</v>
      </c>
      <c r="K283" s="12" t="s">
        <v>2050</v>
      </c>
      <c r="L283" s="12" t="s">
        <v>2309</v>
      </c>
      <c r="M283" s="12">
        <v>2019</v>
      </c>
      <c r="O283" s="12" t="s">
        <v>2796</v>
      </c>
      <c r="P283" s="24" t="s">
        <v>4</v>
      </c>
      <c r="Q283" s="24">
        <v>1.5</v>
      </c>
      <c r="R283" s="24" t="s">
        <v>2795</v>
      </c>
      <c r="S283" s="24" t="s">
        <v>278</v>
      </c>
      <c r="T283" s="24">
        <v>0.1</v>
      </c>
      <c r="U283" s="24" t="s">
        <v>640</v>
      </c>
      <c r="V283" s="24" t="s">
        <v>1</v>
      </c>
      <c r="W283" s="24" t="s">
        <v>1</v>
      </c>
      <c r="X283" s="24" t="s">
        <v>1</v>
      </c>
      <c r="Y283" s="24" t="s">
        <v>1</v>
      </c>
      <c r="Z283" s="24" t="s">
        <v>1</v>
      </c>
      <c r="AA283" s="24" t="s">
        <v>1</v>
      </c>
      <c r="AB283" s="12" t="s">
        <v>2053</v>
      </c>
      <c r="AF283" s="72"/>
      <c r="AG283" s="67"/>
    </row>
    <row r="284" spans="1:34" s="192" customFormat="1" x14ac:dyDescent="0.15">
      <c r="B284" s="192" t="s">
        <v>636</v>
      </c>
      <c r="C284" s="201" t="s">
        <v>1693</v>
      </c>
      <c r="D284" s="194">
        <v>50</v>
      </c>
      <c r="E284" s="192" t="s">
        <v>4</v>
      </c>
      <c r="F284" s="194">
        <v>10.6</v>
      </c>
      <c r="G284" s="194"/>
      <c r="H284" s="202">
        <v>45007</v>
      </c>
      <c r="I284" s="192" t="s">
        <v>2794</v>
      </c>
      <c r="J284" s="192" t="s">
        <v>2793</v>
      </c>
      <c r="K284" s="192" t="s">
        <v>2050</v>
      </c>
      <c r="L284" s="192" t="s">
        <v>2244</v>
      </c>
      <c r="M284" s="192">
        <v>2022</v>
      </c>
      <c r="O284" s="192" t="s">
        <v>2792</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2083</v>
      </c>
      <c r="AF284" s="70"/>
      <c r="AG284" s="65"/>
    </row>
    <row r="285" spans="1:34" s="192" customFormat="1" x14ac:dyDescent="0.15">
      <c r="B285" s="192" t="s">
        <v>633</v>
      </c>
      <c r="C285" s="201" t="s">
        <v>1693</v>
      </c>
      <c r="D285" s="194">
        <v>50</v>
      </c>
      <c r="E285" s="192" t="s">
        <v>4</v>
      </c>
      <c r="F285" s="194">
        <v>10.5</v>
      </c>
      <c r="G285" s="194"/>
      <c r="H285" s="202">
        <v>44984</v>
      </c>
      <c r="I285" s="192" t="s">
        <v>2100</v>
      </c>
      <c r="J285" s="192" t="s">
        <v>2791</v>
      </c>
      <c r="K285" s="192" t="s">
        <v>2050</v>
      </c>
      <c r="L285" s="192" t="s">
        <v>2463</v>
      </c>
      <c r="M285" s="192">
        <v>2019</v>
      </c>
      <c r="O285" s="192" t="s">
        <v>2790</v>
      </c>
      <c r="P285" s="195" t="s">
        <v>4</v>
      </c>
      <c r="Q285" s="195">
        <v>3</v>
      </c>
      <c r="R285" s="195" t="s">
        <v>2789</v>
      </c>
      <c r="S285" s="195" t="s">
        <v>4</v>
      </c>
      <c r="T285" s="195">
        <v>2</v>
      </c>
      <c r="U285" s="195" t="s">
        <v>2788</v>
      </c>
      <c r="V285" s="195" t="s">
        <v>278</v>
      </c>
      <c r="W285" s="195">
        <v>0.6</v>
      </c>
      <c r="X285" s="195" t="s">
        <v>1</v>
      </c>
      <c r="Y285" s="195" t="s">
        <v>1</v>
      </c>
      <c r="Z285" s="195" t="s">
        <v>1</v>
      </c>
      <c r="AA285" s="195" t="s">
        <v>1</v>
      </c>
      <c r="AB285" s="192" t="s">
        <v>2099</v>
      </c>
      <c r="AF285" s="70"/>
      <c r="AG285" s="65"/>
    </row>
    <row r="286" spans="1:34" x14ac:dyDescent="0.15">
      <c r="B286" s="80" t="s">
        <v>2018</v>
      </c>
      <c r="C286" s="257" t="s">
        <v>1693</v>
      </c>
      <c r="D286" s="80">
        <v>50</v>
      </c>
      <c r="E286" s="258" t="s">
        <v>4</v>
      </c>
      <c r="F286" s="80">
        <v>11</v>
      </c>
      <c r="G286" s="80">
        <f>F286</f>
        <v>11</v>
      </c>
      <c r="H286" s="86">
        <v>44686</v>
      </c>
      <c r="I286" s="258" t="s">
        <v>7466</v>
      </c>
      <c r="J286" s="258" t="s">
        <v>7463</v>
      </c>
      <c r="K286" s="258" t="s">
        <v>2050</v>
      </c>
      <c r="L286" s="258" t="s">
        <v>3264</v>
      </c>
      <c r="M286" s="80">
        <v>2020</v>
      </c>
      <c r="O286" s="258" t="s">
        <v>7467</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6686</v>
      </c>
      <c r="AD286" s="258" t="s">
        <v>2152</v>
      </c>
      <c r="AE286" s="258" t="s">
        <v>7462</v>
      </c>
      <c r="AF286" s="80"/>
      <c r="AG286" s="80"/>
    </row>
    <row r="287" spans="1:34" s="192" customFormat="1" x14ac:dyDescent="0.15">
      <c r="B287" s="192" t="s">
        <v>574</v>
      </c>
      <c r="C287" s="201" t="s">
        <v>1693</v>
      </c>
      <c r="D287" s="194">
        <v>50</v>
      </c>
      <c r="E287" s="192" t="s">
        <v>4</v>
      </c>
      <c r="F287" s="194">
        <v>10</v>
      </c>
      <c r="G287" s="194"/>
      <c r="H287" s="202">
        <v>44887</v>
      </c>
      <c r="I287" s="192" t="s">
        <v>2787</v>
      </c>
      <c r="J287" s="192" t="s">
        <v>2786</v>
      </c>
      <c r="K287" s="192" t="s">
        <v>2050</v>
      </c>
      <c r="L287" s="192" t="s">
        <v>2067</v>
      </c>
      <c r="M287" s="192">
        <v>2021</v>
      </c>
      <c r="O287" s="192" t="s">
        <v>2785</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2060</v>
      </c>
      <c r="AF287" s="70"/>
      <c r="AG287" s="65"/>
    </row>
    <row r="288" spans="1:34" s="192" customFormat="1" x14ac:dyDescent="0.15">
      <c r="B288" s="192" t="s">
        <v>772</v>
      </c>
      <c r="C288" s="201" t="s">
        <v>1693</v>
      </c>
      <c r="D288" s="194">
        <v>50</v>
      </c>
      <c r="E288" s="192" t="s">
        <v>4</v>
      </c>
      <c r="F288" s="194">
        <v>10</v>
      </c>
      <c r="G288" s="194"/>
      <c r="H288" s="202">
        <v>44858</v>
      </c>
      <c r="I288" s="192" t="s">
        <v>2784</v>
      </c>
      <c r="J288" s="192" t="s">
        <v>2783</v>
      </c>
      <c r="K288" s="192" t="s">
        <v>2315</v>
      </c>
      <c r="L288" s="192" t="s">
        <v>2782</v>
      </c>
      <c r="M288" s="192">
        <v>2021</v>
      </c>
      <c r="O288" s="192" t="s">
        <v>2781</v>
      </c>
      <c r="P288" s="195" t="s">
        <v>4</v>
      </c>
      <c r="Q288" s="195">
        <v>4.5999999999999996</v>
      </c>
      <c r="R288" s="195" t="s">
        <v>2780</v>
      </c>
      <c r="S288" s="195" t="s">
        <v>1</v>
      </c>
      <c r="T288" s="195" t="s">
        <v>1</v>
      </c>
      <c r="U288" s="195" t="s">
        <v>1</v>
      </c>
      <c r="V288" s="195" t="s">
        <v>1</v>
      </c>
      <c r="W288" s="195" t="s">
        <v>1</v>
      </c>
      <c r="X288" s="195" t="s">
        <v>1</v>
      </c>
      <c r="Y288" s="195" t="s">
        <v>1</v>
      </c>
      <c r="Z288" s="195" t="s">
        <v>1</v>
      </c>
      <c r="AA288" s="195" t="s">
        <v>1</v>
      </c>
      <c r="AB288" s="192" t="s">
        <v>2779</v>
      </c>
      <c r="AF288" s="70"/>
      <c r="AG288" s="65"/>
    </row>
    <row r="289" spans="2:33" s="258" customFormat="1" x14ac:dyDescent="0.15">
      <c r="B289" s="258" t="s">
        <v>2012</v>
      </c>
      <c r="C289" s="257" t="s">
        <v>1693</v>
      </c>
      <c r="D289" s="258">
        <v>50</v>
      </c>
      <c r="E289" s="258" t="s">
        <v>5</v>
      </c>
      <c r="F289" s="258">
        <v>10</v>
      </c>
      <c r="G289" s="258">
        <v>10</v>
      </c>
      <c r="H289" s="171">
        <v>44307</v>
      </c>
      <c r="I289" s="258" t="s">
        <v>7644</v>
      </c>
      <c r="J289" s="258" t="s">
        <v>7643</v>
      </c>
      <c r="K289" s="258" t="s">
        <v>2050</v>
      </c>
      <c r="L289" s="258" t="s">
        <v>2272</v>
      </c>
      <c r="M289" s="174">
        <v>44105</v>
      </c>
      <c r="O289" s="258" t="s">
        <v>7645</v>
      </c>
      <c r="P289" s="258" t="s">
        <v>1</v>
      </c>
      <c r="Q289" s="258" t="s">
        <v>1</v>
      </c>
      <c r="R289" s="258" t="s">
        <v>1</v>
      </c>
      <c r="S289" s="258" t="s">
        <v>1</v>
      </c>
      <c r="T289" s="258" t="s">
        <v>1</v>
      </c>
      <c r="U289" s="258" t="s">
        <v>1</v>
      </c>
      <c r="V289" s="258" t="s">
        <v>1</v>
      </c>
      <c r="W289" s="258" t="s">
        <v>1</v>
      </c>
      <c r="X289" s="258" t="s">
        <v>1</v>
      </c>
      <c r="Y289" s="258" t="s">
        <v>1</v>
      </c>
      <c r="Z289" s="258" t="s">
        <v>1</v>
      </c>
      <c r="AA289" s="258" t="s">
        <v>1</v>
      </c>
      <c r="AB289" s="258" t="s">
        <v>6662</v>
      </c>
      <c r="AC289" s="258" t="s">
        <v>6665</v>
      </c>
      <c r="AD289" s="258" t="s">
        <v>2369</v>
      </c>
      <c r="AE289" s="271" t="s">
        <v>7642</v>
      </c>
    </row>
    <row r="290" spans="2:33" s="192" customFormat="1" x14ac:dyDescent="0.15">
      <c r="B290" s="192" t="s">
        <v>409</v>
      </c>
      <c r="C290" s="201" t="s">
        <v>1693</v>
      </c>
      <c r="D290" s="194">
        <v>50</v>
      </c>
      <c r="E290" s="192" t="s">
        <v>5</v>
      </c>
      <c r="F290" s="194">
        <v>10</v>
      </c>
      <c r="G290" s="194"/>
      <c r="H290" s="202">
        <v>44740</v>
      </c>
      <c r="I290" s="192" t="s">
        <v>2778</v>
      </c>
      <c r="J290" s="192" t="s">
        <v>2777</v>
      </c>
      <c r="K290" s="192" t="s">
        <v>2050</v>
      </c>
      <c r="L290" s="192" t="s">
        <v>2400</v>
      </c>
      <c r="M290" s="192">
        <v>2016</v>
      </c>
      <c r="O290" s="192" t="s">
        <v>2776</v>
      </c>
      <c r="P290" s="195" t="s">
        <v>4</v>
      </c>
      <c r="Q290" s="195">
        <v>4</v>
      </c>
      <c r="R290" s="195" t="s">
        <v>2775</v>
      </c>
      <c r="S290" s="195" t="s">
        <v>1</v>
      </c>
      <c r="T290" s="195" t="s">
        <v>1</v>
      </c>
      <c r="U290" s="195" t="s">
        <v>1</v>
      </c>
      <c r="V290" s="195" t="s">
        <v>1</v>
      </c>
      <c r="W290" s="195" t="s">
        <v>1</v>
      </c>
      <c r="X290" s="195" t="s">
        <v>1</v>
      </c>
      <c r="Y290" s="195" t="s">
        <v>1</v>
      </c>
      <c r="Z290" s="195" t="s">
        <v>1</v>
      </c>
      <c r="AA290" s="195" t="s">
        <v>1</v>
      </c>
      <c r="AB290" s="192" t="s">
        <v>2090</v>
      </c>
      <c r="AF290" s="70"/>
      <c r="AG290" s="65"/>
    </row>
    <row r="291" spans="2:33" s="12" customFormat="1" x14ac:dyDescent="0.15">
      <c r="B291" s="12" t="s">
        <v>2014</v>
      </c>
      <c r="C291" s="29" t="s">
        <v>1693</v>
      </c>
      <c r="D291" s="12">
        <v>50</v>
      </c>
      <c r="E291" s="12" t="s">
        <v>5</v>
      </c>
      <c r="F291" s="12">
        <v>10</v>
      </c>
      <c r="G291" s="12">
        <f>F291</f>
        <v>10</v>
      </c>
      <c r="H291" s="269">
        <v>44384</v>
      </c>
      <c r="I291" s="12" t="s">
        <v>2601</v>
      </c>
      <c r="J291" s="12" t="s">
        <v>7505</v>
      </c>
      <c r="K291" s="12" t="s">
        <v>2050</v>
      </c>
      <c r="L291" s="12" t="s">
        <v>3338</v>
      </c>
      <c r="M291" s="269">
        <v>43101</v>
      </c>
      <c r="O291" s="12" t="s">
        <v>7507</v>
      </c>
      <c r="P291" s="12" t="s">
        <v>1</v>
      </c>
      <c r="Q291" s="12" t="s">
        <v>1</v>
      </c>
      <c r="R291" s="12" t="s">
        <v>1</v>
      </c>
      <c r="S291" s="12" t="s">
        <v>1</v>
      </c>
      <c r="T291" s="12" t="s">
        <v>1</v>
      </c>
      <c r="U291" s="12" t="s">
        <v>1</v>
      </c>
      <c r="V291" s="12" t="s">
        <v>1</v>
      </c>
      <c r="W291" s="12" t="s">
        <v>1</v>
      </c>
      <c r="X291" s="12" t="s">
        <v>1</v>
      </c>
      <c r="Y291" s="12" t="s">
        <v>1</v>
      </c>
      <c r="Z291" s="12" t="s">
        <v>1</v>
      </c>
      <c r="AA291" s="12" t="s">
        <v>1</v>
      </c>
      <c r="AB291" s="12" t="s">
        <v>6662</v>
      </c>
      <c r="AC291" s="12" t="s">
        <v>6664</v>
      </c>
      <c r="AD291" s="12" t="s">
        <v>2907</v>
      </c>
      <c r="AE291" s="12" t="s">
        <v>7504</v>
      </c>
    </row>
    <row r="292" spans="2:33" s="192" customFormat="1" x14ac:dyDescent="0.15">
      <c r="B292" s="192" t="s">
        <v>566</v>
      </c>
      <c r="C292" s="201" t="s">
        <v>1693</v>
      </c>
      <c r="D292" s="194">
        <v>50</v>
      </c>
      <c r="E292" s="192" t="s">
        <v>4</v>
      </c>
      <c r="F292" s="194">
        <v>9</v>
      </c>
      <c r="G292" s="194"/>
      <c r="H292" s="202">
        <v>44859</v>
      </c>
      <c r="I292" s="192" t="s">
        <v>2774</v>
      </c>
      <c r="J292" s="192" t="s">
        <v>2773</v>
      </c>
      <c r="K292" s="192" t="s">
        <v>2050</v>
      </c>
      <c r="L292" s="192" t="s">
        <v>2772</v>
      </c>
      <c r="M292" s="192">
        <v>2021</v>
      </c>
      <c r="N292" s="192" t="s">
        <v>2771</v>
      </c>
      <c r="O292" s="192" t="s">
        <v>2770</v>
      </c>
      <c r="P292" s="195" t="s">
        <v>1</v>
      </c>
      <c r="Q292" s="195" t="s">
        <v>1</v>
      </c>
      <c r="R292" s="195" t="s">
        <v>1</v>
      </c>
      <c r="S292" s="195" t="s">
        <v>1</v>
      </c>
      <c r="T292" s="195" t="s">
        <v>1</v>
      </c>
      <c r="U292" s="195" t="s">
        <v>1</v>
      </c>
      <c r="V292" s="195" t="s">
        <v>1</v>
      </c>
      <c r="W292" s="195" t="s">
        <v>1</v>
      </c>
      <c r="X292" s="195" t="s">
        <v>1</v>
      </c>
      <c r="Y292" s="195" t="s">
        <v>1</v>
      </c>
      <c r="Z292" s="195" t="s">
        <v>1</v>
      </c>
      <c r="AA292" s="195" t="s">
        <v>1</v>
      </c>
      <c r="AB292" s="192" t="s">
        <v>2083</v>
      </c>
      <c r="AF292" s="70"/>
      <c r="AG292" s="65"/>
    </row>
    <row r="293" spans="2:33" x14ac:dyDescent="0.15">
      <c r="B293" s="80" t="s">
        <v>2015</v>
      </c>
      <c r="C293" s="257" t="s">
        <v>1693</v>
      </c>
      <c r="D293" s="80">
        <v>50</v>
      </c>
      <c r="E293" s="258" t="s">
        <v>5</v>
      </c>
      <c r="F293" s="80">
        <v>9</v>
      </c>
      <c r="G293" s="95">
        <f>F293+Q293</f>
        <v>11.5</v>
      </c>
      <c r="H293" s="86">
        <v>44540</v>
      </c>
      <c r="I293" s="258" t="s">
        <v>7492</v>
      </c>
      <c r="J293" s="258" t="s">
        <v>7494</v>
      </c>
      <c r="K293" s="258" t="s">
        <v>2050</v>
      </c>
      <c r="L293" s="258" t="s">
        <v>7492</v>
      </c>
      <c r="M293" s="80">
        <v>2016</v>
      </c>
      <c r="N293" s="258" t="s">
        <v>7496</v>
      </c>
      <c r="O293" s="258" t="s">
        <v>7495</v>
      </c>
      <c r="P293" s="258" t="s">
        <v>4</v>
      </c>
      <c r="Q293" s="80">
        <v>2.5</v>
      </c>
      <c r="R293" s="258" t="s">
        <v>7501</v>
      </c>
      <c r="S293" s="258" t="s">
        <v>1</v>
      </c>
      <c r="T293" s="258" t="s">
        <v>1</v>
      </c>
      <c r="U293" s="258" t="s">
        <v>1</v>
      </c>
      <c r="V293" s="258" t="s">
        <v>1</v>
      </c>
      <c r="W293" s="258" t="s">
        <v>1</v>
      </c>
      <c r="X293" s="258" t="s">
        <v>1</v>
      </c>
      <c r="Y293" s="258" t="s">
        <v>1</v>
      </c>
      <c r="Z293" s="258" t="s">
        <v>1</v>
      </c>
      <c r="AA293" s="258" t="s">
        <v>1</v>
      </c>
      <c r="AB293" s="258" t="s">
        <v>6662</v>
      </c>
      <c r="AC293" s="258" t="s">
        <v>6665</v>
      </c>
      <c r="AD293" s="258" t="s">
        <v>2661</v>
      </c>
      <c r="AE293" s="258" t="s">
        <v>7493</v>
      </c>
      <c r="AF293" s="80"/>
      <c r="AG293" s="80"/>
    </row>
    <row r="294" spans="2:33" s="192" customFormat="1" x14ac:dyDescent="0.15">
      <c r="B294" s="192" t="s">
        <v>429</v>
      </c>
      <c r="C294" s="201" t="s">
        <v>1693</v>
      </c>
      <c r="D294" s="194">
        <v>50</v>
      </c>
      <c r="E294" s="192" t="s">
        <v>5</v>
      </c>
      <c r="F294" s="194">
        <v>8.5</v>
      </c>
      <c r="G294" s="194"/>
      <c r="H294" s="202">
        <v>44307</v>
      </c>
      <c r="I294" s="192" t="s">
        <v>2769</v>
      </c>
      <c r="J294" s="192" t="s">
        <v>2768</v>
      </c>
      <c r="K294" s="192" t="s">
        <v>2050</v>
      </c>
      <c r="L294" s="192" t="s">
        <v>2767</v>
      </c>
      <c r="M294" s="192">
        <v>2016</v>
      </c>
      <c r="O294" s="192" t="s">
        <v>2766</v>
      </c>
      <c r="P294" s="195" t="s">
        <v>4</v>
      </c>
      <c r="Q294" s="195">
        <v>4.4000000000000004</v>
      </c>
      <c r="R294" s="195" t="s">
        <v>1</v>
      </c>
      <c r="S294" s="195" t="s">
        <v>1</v>
      </c>
      <c r="T294" s="195" t="s">
        <v>1</v>
      </c>
      <c r="U294" s="195" t="s">
        <v>1</v>
      </c>
      <c r="V294" s="195" t="s">
        <v>1</v>
      </c>
      <c r="W294" s="195" t="s">
        <v>1</v>
      </c>
      <c r="X294" s="195" t="s">
        <v>1</v>
      </c>
      <c r="Y294" s="195" t="s">
        <v>1</v>
      </c>
      <c r="Z294" s="195" t="s">
        <v>1</v>
      </c>
      <c r="AA294" s="195" t="s">
        <v>1</v>
      </c>
      <c r="AB294" s="192" t="s">
        <v>2056</v>
      </c>
      <c r="AF294" s="70"/>
      <c r="AG294" s="65"/>
    </row>
    <row r="295" spans="2:33" s="192" customFormat="1" x14ac:dyDescent="0.15">
      <c r="B295" s="192" t="s">
        <v>581</v>
      </c>
      <c r="C295" s="201" t="s">
        <v>1693</v>
      </c>
      <c r="D295" s="194">
        <v>50</v>
      </c>
      <c r="E295" s="192" t="s">
        <v>4</v>
      </c>
      <c r="F295" s="194">
        <v>8</v>
      </c>
      <c r="G295" s="194"/>
      <c r="H295" s="202">
        <v>44711</v>
      </c>
      <c r="I295" s="192" t="s">
        <v>2765</v>
      </c>
      <c r="J295" s="192" t="s">
        <v>2764</v>
      </c>
      <c r="K295" s="192" t="s">
        <v>2050</v>
      </c>
      <c r="L295" s="192" t="s">
        <v>2244</v>
      </c>
      <c r="M295" s="192">
        <v>2021</v>
      </c>
      <c r="N295" s="192" t="s">
        <v>2763</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2083</v>
      </c>
      <c r="AF295" s="70"/>
      <c r="AG295" s="65"/>
    </row>
    <row r="296" spans="2:33" s="192" customFormat="1" x14ac:dyDescent="0.15">
      <c r="B296" s="192" t="s">
        <v>2761</v>
      </c>
      <c r="C296" s="201" t="s">
        <v>1693</v>
      </c>
      <c r="D296" s="194">
        <v>50</v>
      </c>
      <c r="E296" s="192" t="s">
        <v>5</v>
      </c>
      <c r="F296" s="194">
        <v>8</v>
      </c>
      <c r="G296" s="194"/>
      <c r="H296" s="202">
        <v>45020</v>
      </c>
      <c r="I296" s="192" t="s">
        <v>2760</v>
      </c>
      <c r="K296" s="192" t="s">
        <v>2050</v>
      </c>
      <c r="L296" s="192" t="s">
        <v>2309</v>
      </c>
      <c r="M296" s="192">
        <v>2019</v>
      </c>
      <c r="O296" s="192" t="s">
        <v>2759</v>
      </c>
      <c r="P296" s="195" t="s">
        <v>1</v>
      </c>
      <c r="Q296" s="195" t="s">
        <v>1</v>
      </c>
      <c r="R296" s="195" t="s">
        <v>1</v>
      </c>
      <c r="S296" s="195" t="s">
        <v>1</v>
      </c>
      <c r="T296" s="195" t="s">
        <v>1</v>
      </c>
      <c r="U296" s="195" t="s">
        <v>1</v>
      </c>
      <c r="V296" s="195" t="s">
        <v>1</v>
      </c>
      <c r="W296" s="195" t="s">
        <v>1</v>
      </c>
      <c r="X296" s="195" t="s">
        <v>1</v>
      </c>
      <c r="Y296" s="195" t="s">
        <v>1</v>
      </c>
      <c r="Z296" s="195" t="s">
        <v>1</v>
      </c>
      <c r="AA296" s="195" t="s">
        <v>1</v>
      </c>
      <c r="AB296" s="192" t="s">
        <v>2758</v>
      </c>
      <c r="AF296" s="70"/>
      <c r="AG296" s="65"/>
    </row>
    <row r="297" spans="2:33" x14ac:dyDescent="0.15">
      <c r="B297" s="80" t="s">
        <v>2009</v>
      </c>
      <c r="C297" s="257" t="s">
        <v>1693</v>
      </c>
      <c r="D297" s="80">
        <v>50</v>
      </c>
      <c r="E297" s="258" t="s">
        <v>4</v>
      </c>
      <c r="F297" s="80">
        <v>7</v>
      </c>
      <c r="G297" s="80">
        <f>F297+Q297</f>
        <v>9</v>
      </c>
      <c r="H297" s="86">
        <v>44763</v>
      </c>
      <c r="I297" s="258" t="s">
        <v>7691</v>
      </c>
      <c r="J297" s="258" t="s">
        <v>7689</v>
      </c>
      <c r="K297" s="258" t="s">
        <v>2315</v>
      </c>
      <c r="L297" s="258" t="s">
        <v>7690</v>
      </c>
      <c r="M297" s="86">
        <v>43879</v>
      </c>
      <c r="N297" s="258" t="s">
        <v>7695</v>
      </c>
      <c r="O297" s="258" t="s">
        <v>7692</v>
      </c>
      <c r="P297" s="258" t="s">
        <v>278</v>
      </c>
      <c r="Q297" s="172">
        <v>2</v>
      </c>
      <c r="R297" s="258" t="s">
        <v>7696</v>
      </c>
      <c r="S297" s="258" t="s">
        <v>1</v>
      </c>
      <c r="T297" s="258" t="s">
        <v>1</v>
      </c>
      <c r="U297" s="258" t="s">
        <v>1</v>
      </c>
      <c r="V297" s="258" t="s">
        <v>1</v>
      </c>
      <c r="W297" s="258" t="s">
        <v>1</v>
      </c>
      <c r="X297" s="258" t="s">
        <v>1</v>
      </c>
      <c r="Y297" s="258" t="s">
        <v>1</v>
      </c>
      <c r="Z297" s="258" t="s">
        <v>1</v>
      </c>
      <c r="AA297" s="258" t="s">
        <v>1</v>
      </c>
      <c r="AB297" s="181" t="s">
        <v>6662</v>
      </c>
      <c r="AC297" s="258" t="s">
        <v>6670</v>
      </c>
      <c r="AD297" s="258" t="s">
        <v>7687</v>
      </c>
      <c r="AE297" s="25" t="s">
        <v>7688</v>
      </c>
      <c r="AF297" s="80"/>
      <c r="AG297" s="80"/>
    </row>
    <row r="298" spans="2:33" x14ac:dyDescent="0.15">
      <c r="B298" s="80" t="s">
        <v>2011</v>
      </c>
      <c r="C298" s="257" t="s">
        <v>1693</v>
      </c>
      <c r="D298" s="80">
        <v>50</v>
      </c>
      <c r="E298" s="258" t="s">
        <v>4</v>
      </c>
      <c r="F298" s="272">
        <v>6.6</v>
      </c>
      <c r="G298" s="272">
        <f>F298+T298+W298</f>
        <v>9.3000000000000007</v>
      </c>
      <c r="H298" s="86">
        <v>44562</v>
      </c>
      <c r="I298" s="258" t="s">
        <v>7651</v>
      </c>
      <c r="J298" s="258" t="s">
        <v>7649</v>
      </c>
      <c r="K298" s="258" t="s">
        <v>2050</v>
      </c>
      <c r="L298" s="258" t="s">
        <v>7650</v>
      </c>
      <c r="M298" s="80">
        <v>2019</v>
      </c>
      <c r="N298" s="258" t="s">
        <v>7652</v>
      </c>
      <c r="O298" s="258" t="s">
        <v>7653</v>
      </c>
      <c r="P298" s="258" t="s">
        <v>4</v>
      </c>
      <c r="Q298" s="258" t="s">
        <v>1</v>
      </c>
      <c r="R298" s="258" t="s">
        <v>7654</v>
      </c>
      <c r="S298" s="258" t="s">
        <v>4</v>
      </c>
      <c r="T298" s="80">
        <v>2.2000000000000002</v>
      </c>
      <c r="U298" s="258" t="s">
        <v>7655</v>
      </c>
      <c r="V298" s="258" t="s">
        <v>7486</v>
      </c>
      <c r="W298" s="80">
        <v>0.5</v>
      </c>
      <c r="X298" s="258" t="s">
        <v>2703</v>
      </c>
      <c r="Y298" s="258" t="s">
        <v>1</v>
      </c>
      <c r="Z298" s="258" t="s">
        <v>1</v>
      </c>
      <c r="AA298" s="258" t="s">
        <v>1</v>
      </c>
      <c r="AB298" s="181" t="s">
        <v>6662</v>
      </c>
      <c r="AC298" s="181" t="s">
        <v>6665</v>
      </c>
      <c r="AD298" s="181" t="s">
        <v>2369</v>
      </c>
      <c r="AE298" s="25" t="s">
        <v>7648</v>
      </c>
      <c r="AF298" s="80"/>
      <c r="AG298" s="80"/>
    </row>
    <row r="299" spans="2:33" s="192" customFormat="1" x14ac:dyDescent="0.15">
      <c r="B299" s="192" t="s">
        <v>594</v>
      </c>
      <c r="C299" s="201" t="s">
        <v>1693</v>
      </c>
      <c r="D299" s="194">
        <v>50</v>
      </c>
      <c r="E299" s="192" t="s">
        <v>4</v>
      </c>
      <c r="F299" s="194">
        <v>6.8</v>
      </c>
      <c r="G299" s="194"/>
      <c r="H299" s="202">
        <v>44964</v>
      </c>
      <c r="I299" s="192" t="s">
        <v>2757</v>
      </c>
      <c r="J299" s="192" t="s">
        <v>2756</v>
      </c>
      <c r="K299" s="192" t="s">
        <v>2050</v>
      </c>
      <c r="L299" s="192" t="s">
        <v>2755</v>
      </c>
      <c r="M299" s="192">
        <v>2021</v>
      </c>
      <c r="O299" s="192" t="s">
        <v>2754</v>
      </c>
      <c r="P299" s="195" t="s">
        <v>4</v>
      </c>
      <c r="Q299" s="195">
        <v>1.6</v>
      </c>
      <c r="R299" s="195" t="s">
        <v>2753</v>
      </c>
      <c r="S299" s="195" t="s">
        <v>1</v>
      </c>
      <c r="T299" s="195" t="s">
        <v>1</v>
      </c>
      <c r="U299" s="195" t="s">
        <v>1</v>
      </c>
      <c r="V299" s="195" t="s">
        <v>1</v>
      </c>
      <c r="W299" s="195" t="s">
        <v>1</v>
      </c>
      <c r="X299" s="195" t="s">
        <v>1</v>
      </c>
      <c r="Y299" s="195" t="s">
        <v>1</v>
      </c>
      <c r="Z299" s="195" t="s">
        <v>1</v>
      </c>
      <c r="AA299" s="195" t="s">
        <v>1</v>
      </c>
      <c r="AB299" s="192" t="s">
        <v>2752</v>
      </c>
      <c r="AF299" s="70"/>
      <c r="AG299" s="65"/>
    </row>
    <row r="300" spans="2:33" s="192" customFormat="1" x14ac:dyDescent="0.15">
      <c r="B300" s="192" t="s">
        <v>440</v>
      </c>
      <c r="C300" s="201" t="s">
        <v>1693</v>
      </c>
      <c r="D300" s="194">
        <v>50</v>
      </c>
      <c r="E300" s="192" t="s">
        <v>4</v>
      </c>
      <c r="F300" s="194">
        <v>7</v>
      </c>
      <c r="G300" s="194"/>
      <c r="H300" s="202">
        <v>44602</v>
      </c>
      <c r="I300" s="192" t="s">
        <v>2751</v>
      </c>
      <c r="J300" s="192" t="s">
        <v>2750</v>
      </c>
      <c r="K300" s="192" t="s">
        <v>2050</v>
      </c>
      <c r="L300" s="192" t="s">
        <v>2326</v>
      </c>
      <c r="M300" s="192">
        <v>2019</v>
      </c>
      <c r="O300" s="192" t="s">
        <v>2749</v>
      </c>
      <c r="P300" s="195" t="s">
        <v>278</v>
      </c>
      <c r="Q300" s="195">
        <v>1.1000000000000001</v>
      </c>
      <c r="R300" s="195" t="s">
        <v>441</v>
      </c>
      <c r="S300" s="195" t="s">
        <v>1</v>
      </c>
      <c r="T300" s="195" t="s">
        <v>1</v>
      </c>
      <c r="U300" s="195" t="s">
        <v>1</v>
      </c>
      <c r="V300" s="195" t="s">
        <v>1</v>
      </c>
      <c r="W300" s="195" t="s">
        <v>1</v>
      </c>
      <c r="X300" s="195" t="s">
        <v>1</v>
      </c>
      <c r="Y300" s="195" t="s">
        <v>1</v>
      </c>
      <c r="Z300" s="195" t="s">
        <v>1</v>
      </c>
      <c r="AA300" s="195" t="s">
        <v>1</v>
      </c>
      <c r="AB300" s="192" t="s">
        <v>2159</v>
      </c>
      <c r="AF300" s="70"/>
      <c r="AG300" s="65"/>
    </row>
    <row r="301" spans="2:33" s="192" customFormat="1" x14ac:dyDescent="0.15">
      <c r="B301" s="192" t="s">
        <v>830</v>
      </c>
      <c r="C301" s="201" t="s">
        <v>1693</v>
      </c>
      <c r="D301" s="194">
        <v>50</v>
      </c>
      <c r="E301" s="192" t="s">
        <v>4</v>
      </c>
      <c r="F301" s="194">
        <v>4.5</v>
      </c>
      <c r="G301" s="194"/>
      <c r="H301" s="202">
        <v>45056</v>
      </c>
      <c r="I301" s="192" t="s">
        <v>2748</v>
      </c>
      <c r="J301" s="192" t="s">
        <v>2747</v>
      </c>
      <c r="K301" s="192" t="s">
        <v>2050</v>
      </c>
      <c r="L301" s="192" t="s">
        <v>2746</v>
      </c>
      <c r="M301" s="192">
        <v>2022</v>
      </c>
      <c r="O301" s="192" t="s">
        <v>2745</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2048</v>
      </c>
      <c r="AF301" s="70"/>
      <c r="AG301" s="65"/>
    </row>
    <row r="302" spans="2:33" s="192" customFormat="1" x14ac:dyDescent="0.15">
      <c r="B302" s="192" t="s">
        <v>710</v>
      </c>
      <c r="C302" s="201" t="s">
        <v>1693</v>
      </c>
      <c r="D302" s="194">
        <v>50</v>
      </c>
      <c r="E302" s="192" t="s">
        <v>4</v>
      </c>
      <c r="F302" s="194">
        <v>5.5</v>
      </c>
      <c r="G302" s="194"/>
      <c r="H302" s="202">
        <v>45092</v>
      </c>
      <c r="I302" s="192" t="s">
        <v>2744</v>
      </c>
      <c r="K302" s="192" t="s">
        <v>2050</v>
      </c>
      <c r="L302" s="192" t="s">
        <v>2061</v>
      </c>
      <c r="M302" s="208">
        <v>44176</v>
      </c>
      <c r="O302" s="192" t="s">
        <v>2743</v>
      </c>
      <c r="P302" s="195" t="s">
        <v>278</v>
      </c>
      <c r="Q302" s="195">
        <v>0.125</v>
      </c>
      <c r="R302" s="195" t="s">
        <v>2703</v>
      </c>
      <c r="S302" s="195" t="s">
        <v>1</v>
      </c>
      <c r="T302" s="195" t="s">
        <v>1</v>
      </c>
      <c r="U302" s="195" t="s">
        <v>1</v>
      </c>
      <c r="V302" s="195" t="s">
        <v>1</v>
      </c>
      <c r="W302" s="195" t="s">
        <v>1</v>
      </c>
      <c r="X302" s="195" t="s">
        <v>1</v>
      </c>
      <c r="Y302" s="195" t="s">
        <v>1</v>
      </c>
      <c r="Z302" s="195" t="s">
        <v>1</v>
      </c>
      <c r="AA302" s="195" t="s">
        <v>1</v>
      </c>
      <c r="AB302" s="192" t="s">
        <v>2369</v>
      </c>
      <c r="AF302" s="70"/>
      <c r="AG302" s="65"/>
    </row>
    <row r="303" spans="2:33" s="192" customFormat="1" x14ac:dyDescent="0.15">
      <c r="B303" s="192" t="s">
        <v>563</v>
      </c>
      <c r="C303" s="201" t="s">
        <v>1693</v>
      </c>
      <c r="D303" s="194">
        <v>50</v>
      </c>
      <c r="E303" s="192" t="s">
        <v>4</v>
      </c>
      <c r="F303" s="194">
        <v>5.6</v>
      </c>
      <c r="G303" s="194"/>
      <c r="H303" s="202">
        <v>45048</v>
      </c>
      <c r="I303" s="192" t="s">
        <v>2742</v>
      </c>
      <c r="J303" s="192" t="s">
        <v>2741</v>
      </c>
      <c r="K303" s="192" t="s">
        <v>2050</v>
      </c>
      <c r="L303" s="192" t="s">
        <v>2740</v>
      </c>
      <c r="M303" s="192">
        <v>2022</v>
      </c>
      <c r="N303" s="192" t="s">
        <v>2739</v>
      </c>
      <c r="O303" s="192" t="s">
        <v>2738</v>
      </c>
      <c r="P303" s="195" t="s">
        <v>1</v>
      </c>
      <c r="Q303" s="195" t="s">
        <v>1</v>
      </c>
      <c r="R303" s="195" t="s">
        <v>1</v>
      </c>
      <c r="S303" s="195" t="s">
        <v>1</v>
      </c>
      <c r="T303" s="195" t="s">
        <v>1</v>
      </c>
      <c r="U303" s="195" t="s">
        <v>1</v>
      </c>
      <c r="V303" s="195" t="s">
        <v>1</v>
      </c>
      <c r="W303" s="195" t="s">
        <v>1</v>
      </c>
      <c r="X303" s="195" t="s">
        <v>1</v>
      </c>
      <c r="Y303" s="195" t="s">
        <v>1</v>
      </c>
      <c r="Z303" s="195" t="s">
        <v>1</v>
      </c>
      <c r="AA303" s="195" t="s">
        <v>1</v>
      </c>
      <c r="AB303" s="192" t="s">
        <v>2053</v>
      </c>
      <c r="AF303" s="70"/>
      <c r="AG303" s="65"/>
    </row>
    <row r="304" spans="2:33" s="192" customFormat="1" x14ac:dyDescent="0.15">
      <c r="B304" s="192" t="s">
        <v>592</v>
      </c>
      <c r="C304" s="201" t="s">
        <v>1693</v>
      </c>
      <c r="D304" s="194">
        <v>50</v>
      </c>
      <c r="E304" s="192" t="s">
        <v>4</v>
      </c>
      <c r="F304" s="194">
        <v>6</v>
      </c>
      <c r="G304" s="194"/>
      <c r="H304" s="202">
        <v>44852</v>
      </c>
      <c r="I304" s="192" t="s">
        <v>2737</v>
      </c>
      <c r="J304" s="192" t="s">
        <v>2736</v>
      </c>
      <c r="K304" s="192" t="s">
        <v>2050</v>
      </c>
      <c r="L304" s="192" t="s">
        <v>2735</v>
      </c>
      <c r="M304" s="192">
        <v>2022</v>
      </c>
      <c r="O304" s="192" t="s">
        <v>2734</v>
      </c>
      <c r="P304" s="195" t="s">
        <v>1</v>
      </c>
      <c r="Q304" s="195" t="s">
        <v>1</v>
      </c>
      <c r="R304" s="195" t="s">
        <v>1</v>
      </c>
      <c r="S304" s="195" t="s">
        <v>1</v>
      </c>
      <c r="T304" s="195" t="s">
        <v>1</v>
      </c>
      <c r="U304" s="195" t="s">
        <v>1</v>
      </c>
      <c r="V304" s="195" t="s">
        <v>1</v>
      </c>
      <c r="W304" s="195" t="s">
        <v>1</v>
      </c>
      <c r="X304" s="195" t="s">
        <v>1</v>
      </c>
      <c r="Y304" s="195" t="s">
        <v>1</v>
      </c>
      <c r="Z304" s="195" t="s">
        <v>1</v>
      </c>
      <c r="AA304" s="195" t="s">
        <v>1</v>
      </c>
      <c r="AB304" s="192" t="s">
        <v>2159</v>
      </c>
      <c r="AF304" s="70"/>
      <c r="AG304" s="65"/>
    </row>
    <row r="305" spans="1:34" s="192" customFormat="1" x14ac:dyDescent="0.15">
      <c r="B305" s="192" t="s">
        <v>470</v>
      </c>
      <c r="C305" s="201" t="s">
        <v>1693</v>
      </c>
      <c r="D305" s="194">
        <v>50</v>
      </c>
      <c r="E305" s="192" t="s">
        <v>4</v>
      </c>
      <c r="F305" s="194">
        <v>6</v>
      </c>
      <c r="G305" s="194"/>
      <c r="H305" s="202">
        <v>45104</v>
      </c>
      <c r="I305" s="192" t="s">
        <v>2733</v>
      </c>
      <c r="K305" s="192" t="s">
        <v>2050</v>
      </c>
      <c r="L305" s="192" t="s">
        <v>2732</v>
      </c>
      <c r="M305" s="192">
        <v>2023</v>
      </c>
      <c r="N305" s="192" t="s">
        <v>1902</v>
      </c>
      <c r="O305" s="192" t="s">
        <v>2731</v>
      </c>
      <c r="P305" s="195" t="s">
        <v>1</v>
      </c>
      <c r="Q305" s="195" t="s">
        <v>1</v>
      </c>
      <c r="R305" s="195" t="s">
        <v>1</v>
      </c>
      <c r="S305" s="195" t="s">
        <v>1</v>
      </c>
      <c r="T305" s="195" t="s">
        <v>1</v>
      </c>
      <c r="U305" s="195" t="s">
        <v>1</v>
      </c>
      <c r="V305" s="195" t="s">
        <v>1</v>
      </c>
      <c r="W305" s="195" t="s">
        <v>1</v>
      </c>
      <c r="X305" s="195" t="s">
        <v>1</v>
      </c>
      <c r="Y305" s="195" t="s">
        <v>1</v>
      </c>
      <c r="Z305" s="195" t="s">
        <v>1</v>
      </c>
      <c r="AA305" s="195" t="s">
        <v>1</v>
      </c>
      <c r="AB305" s="192" t="s">
        <v>2152</v>
      </c>
      <c r="AF305" s="70"/>
      <c r="AG305" s="65"/>
    </row>
    <row r="306" spans="1:34" s="192" customFormat="1" x14ac:dyDescent="0.15">
      <c r="B306" s="192" t="s">
        <v>597</v>
      </c>
      <c r="C306" s="201" t="s">
        <v>1693</v>
      </c>
      <c r="D306" s="194">
        <v>50</v>
      </c>
      <c r="E306" s="192" t="s">
        <v>4</v>
      </c>
      <c r="F306" s="194">
        <v>6</v>
      </c>
      <c r="G306" s="194"/>
      <c r="H306" s="202">
        <v>44781</v>
      </c>
      <c r="I306" s="192" t="s">
        <v>2730</v>
      </c>
      <c r="J306" s="192" t="s">
        <v>2729</v>
      </c>
      <c r="K306" s="192" t="s">
        <v>2050</v>
      </c>
      <c r="L306" s="192" t="s">
        <v>2728</v>
      </c>
      <c r="M306" s="192">
        <v>2021</v>
      </c>
      <c r="O306" s="192" t="s">
        <v>2727</v>
      </c>
      <c r="P306" s="195" t="s">
        <v>278</v>
      </c>
      <c r="Q306" s="195">
        <v>1</v>
      </c>
      <c r="R306" s="195" t="s">
        <v>2726</v>
      </c>
      <c r="S306" s="195" t="s">
        <v>1</v>
      </c>
      <c r="T306" s="195" t="s">
        <v>1</v>
      </c>
      <c r="U306" s="195" t="s">
        <v>1</v>
      </c>
      <c r="V306" s="195" t="s">
        <v>1</v>
      </c>
      <c r="W306" s="195" t="s">
        <v>1</v>
      </c>
      <c r="X306" s="195" t="s">
        <v>1</v>
      </c>
      <c r="Y306" s="195" t="s">
        <v>1</v>
      </c>
      <c r="Z306" s="195" t="s">
        <v>1</v>
      </c>
      <c r="AA306" s="195" t="s">
        <v>1</v>
      </c>
      <c r="AB306" s="192" t="s">
        <v>2128</v>
      </c>
      <c r="AF306" s="70"/>
      <c r="AG306" s="65"/>
    </row>
    <row r="307" spans="1:34" s="192" customFormat="1" x14ac:dyDescent="0.15">
      <c r="B307" s="192" t="s">
        <v>542</v>
      </c>
      <c r="C307" s="201" t="s">
        <v>1693</v>
      </c>
      <c r="D307" s="194">
        <v>50</v>
      </c>
      <c r="E307" s="192" t="s">
        <v>5</v>
      </c>
      <c r="F307" s="194">
        <v>5</v>
      </c>
      <c r="G307" s="194"/>
      <c r="H307" s="202">
        <v>44514</v>
      </c>
      <c r="I307" s="192" t="s">
        <v>2725</v>
      </c>
      <c r="J307" s="192" t="s">
        <v>2724</v>
      </c>
      <c r="K307" s="192" t="s">
        <v>2050</v>
      </c>
      <c r="L307" s="192" t="s">
        <v>2149</v>
      </c>
      <c r="M307" s="192">
        <v>2018</v>
      </c>
      <c r="O307" s="192" t="s">
        <v>2723</v>
      </c>
      <c r="P307" s="195" t="s">
        <v>4</v>
      </c>
      <c r="Q307" s="195" t="s">
        <v>1</v>
      </c>
      <c r="R307" s="195" t="s">
        <v>2722</v>
      </c>
      <c r="S307" s="195" t="s">
        <v>1</v>
      </c>
      <c r="T307" s="195" t="s">
        <v>1</v>
      </c>
      <c r="U307" s="195" t="s">
        <v>1</v>
      </c>
      <c r="V307" s="195" t="s">
        <v>1</v>
      </c>
      <c r="W307" s="195" t="s">
        <v>1</v>
      </c>
      <c r="X307" s="195" t="s">
        <v>1</v>
      </c>
      <c r="Y307" s="195" t="s">
        <v>1</v>
      </c>
      <c r="Z307" s="195" t="s">
        <v>1</v>
      </c>
      <c r="AA307" s="195" t="s">
        <v>1</v>
      </c>
      <c r="AB307" s="192" t="s">
        <v>2099</v>
      </c>
      <c r="AF307" s="70"/>
      <c r="AG307" s="65"/>
    </row>
    <row r="308" spans="1:34" s="192" customFormat="1" x14ac:dyDescent="0.15">
      <c r="B308" s="192" t="s">
        <v>2721</v>
      </c>
      <c r="C308" s="201" t="s">
        <v>1693</v>
      </c>
      <c r="D308" s="194">
        <v>50</v>
      </c>
      <c r="E308" s="192" t="s">
        <v>7</v>
      </c>
      <c r="F308" s="194">
        <v>5</v>
      </c>
      <c r="G308" s="194"/>
      <c r="H308" s="193" t="s">
        <v>1</v>
      </c>
      <c r="I308" s="192" t="s">
        <v>2720</v>
      </c>
      <c r="K308" s="192" t="s">
        <v>2050</v>
      </c>
      <c r="L308" s="192" t="s">
        <v>2309</v>
      </c>
      <c r="M308" s="208">
        <v>40483</v>
      </c>
      <c r="O308" s="192" t="s">
        <v>7</v>
      </c>
      <c r="P308" s="195" t="s">
        <v>1</v>
      </c>
      <c r="Q308" s="195" t="s">
        <v>1</v>
      </c>
      <c r="R308" s="195" t="s">
        <v>5</v>
      </c>
      <c r="S308" s="195" t="s">
        <v>1</v>
      </c>
      <c r="T308" s="195" t="s">
        <v>1</v>
      </c>
      <c r="U308" s="195" t="s">
        <v>1</v>
      </c>
      <c r="V308" s="195" t="s">
        <v>1</v>
      </c>
      <c r="W308" s="195" t="s">
        <v>1</v>
      </c>
      <c r="X308" s="195" t="s">
        <v>1</v>
      </c>
      <c r="Y308" s="195" t="s">
        <v>1</v>
      </c>
      <c r="Z308" s="195" t="s">
        <v>1</v>
      </c>
      <c r="AA308" s="195" t="s">
        <v>1</v>
      </c>
      <c r="AB308" s="192" t="s">
        <v>2719</v>
      </c>
      <c r="AF308" s="70"/>
      <c r="AG308" s="65"/>
    </row>
    <row r="309" spans="1:34" s="192" customFormat="1" x14ac:dyDescent="0.15">
      <c r="B309" s="192" t="s">
        <v>704</v>
      </c>
      <c r="C309" s="201" t="s">
        <v>1693</v>
      </c>
      <c r="D309" s="194">
        <v>50</v>
      </c>
      <c r="E309" s="192" t="s">
        <v>5</v>
      </c>
      <c r="F309" s="194">
        <v>6</v>
      </c>
      <c r="G309" s="194"/>
      <c r="H309" s="202">
        <v>44917</v>
      </c>
      <c r="I309" s="192" t="s">
        <v>2718</v>
      </c>
      <c r="K309" s="192" t="s">
        <v>2050</v>
      </c>
      <c r="L309" s="192" t="s">
        <v>2633</v>
      </c>
      <c r="O309" s="192" t="s">
        <v>2717</v>
      </c>
      <c r="P309" s="195" t="s">
        <v>4</v>
      </c>
      <c r="Q309" s="195">
        <v>5.9</v>
      </c>
      <c r="R309" s="195" t="s">
        <v>2716</v>
      </c>
      <c r="S309" s="195" t="s">
        <v>4</v>
      </c>
      <c r="T309" s="195" t="s">
        <v>1</v>
      </c>
      <c r="U309" s="195" t="s">
        <v>2715</v>
      </c>
      <c r="V309" s="195" t="s">
        <v>4</v>
      </c>
      <c r="W309" s="195">
        <v>3.6</v>
      </c>
      <c r="X309" s="195" t="s">
        <v>2714</v>
      </c>
      <c r="Y309" s="195" t="s">
        <v>1</v>
      </c>
      <c r="Z309" s="195" t="s">
        <v>1</v>
      </c>
      <c r="AA309" s="195" t="s">
        <v>1</v>
      </c>
      <c r="AB309" s="192" t="s">
        <v>2713</v>
      </c>
      <c r="AF309" s="70"/>
      <c r="AG309" s="65"/>
    </row>
    <row r="310" spans="1:34" s="192" customFormat="1" x14ac:dyDescent="0.15">
      <c r="B310" s="192" t="s">
        <v>332</v>
      </c>
      <c r="C310" s="201" t="s">
        <v>1693</v>
      </c>
      <c r="D310" s="194">
        <v>50</v>
      </c>
      <c r="E310" s="192" t="s">
        <v>2712</v>
      </c>
      <c r="F310" s="194">
        <v>2.5</v>
      </c>
      <c r="G310" s="194"/>
      <c r="H310" s="202">
        <v>44805</v>
      </c>
      <c r="I310" s="192" t="s">
        <v>2711</v>
      </c>
      <c r="J310" s="192" t="s">
        <v>2710</v>
      </c>
      <c r="K310" s="192" t="s">
        <v>2050</v>
      </c>
      <c r="L310" s="192" t="s">
        <v>2400</v>
      </c>
      <c r="M310" s="192">
        <v>2020</v>
      </c>
      <c r="N310" s="192" t="s">
        <v>2709</v>
      </c>
      <c r="O310" s="192" t="s">
        <v>1</v>
      </c>
      <c r="P310" s="195" t="s">
        <v>4</v>
      </c>
      <c r="Q310" s="195">
        <v>5.0999999999999996</v>
      </c>
      <c r="R310" s="195" t="s">
        <v>2708</v>
      </c>
      <c r="S310" s="195" t="s">
        <v>1</v>
      </c>
      <c r="T310" s="195" t="s">
        <v>1</v>
      </c>
      <c r="U310" s="195" t="s">
        <v>1</v>
      </c>
      <c r="V310" s="195" t="s">
        <v>1</v>
      </c>
      <c r="W310" s="195" t="s">
        <v>1</v>
      </c>
      <c r="X310" s="195" t="s">
        <v>1</v>
      </c>
      <c r="Y310" s="195" t="s">
        <v>1</v>
      </c>
      <c r="Z310" s="195" t="s">
        <v>1</v>
      </c>
      <c r="AA310" s="195" t="s">
        <v>1</v>
      </c>
      <c r="AB310" s="192" t="s">
        <v>2466</v>
      </c>
      <c r="AF310" s="70"/>
      <c r="AG310" s="65"/>
    </row>
    <row r="311" spans="1:34" s="192" customFormat="1" x14ac:dyDescent="0.15">
      <c r="B311" s="192" t="s">
        <v>700</v>
      </c>
      <c r="C311" s="201" t="s">
        <v>1693</v>
      </c>
      <c r="D311" s="194">
        <v>50</v>
      </c>
      <c r="E311" s="192" t="s">
        <v>4</v>
      </c>
      <c r="F311" s="194">
        <v>2.5</v>
      </c>
      <c r="G311" s="194"/>
      <c r="H311" s="202">
        <v>44469</v>
      </c>
      <c r="I311" s="192" t="s">
        <v>2707</v>
      </c>
      <c r="J311" s="192" t="s">
        <v>2706</v>
      </c>
      <c r="K311" s="192" t="s">
        <v>2050</v>
      </c>
      <c r="L311" s="192" t="s">
        <v>2705</v>
      </c>
      <c r="M311" s="207">
        <v>44211</v>
      </c>
      <c r="O311" s="192" t="s">
        <v>2704</v>
      </c>
      <c r="P311" s="195" t="s">
        <v>278</v>
      </c>
      <c r="Q311" s="195" t="s">
        <v>1</v>
      </c>
      <c r="R311" s="195" t="s">
        <v>2703</v>
      </c>
      <c r="S311" s="195" t="s">
        <v>1</v>
      </c>
      <c r="T311" s="195" t="s">
        <v>1</v>
      </c>
      <c r="U311" s="195" t="s">
        <v>1</v>
      </c>
      <c r="V311" s="195" t="s">
        <v>1</v>
      </c>
      <c r="W311" s="195" t="s">
        <v>1</v>
      </c>
      <c r="X311" s="195" t="s">
        <v>1</v>
      </c>
      <c r="Y311" s="195" t="s">
        <v>1</v>
      </c>
      <c r="Z311" s="195" t="s">
        <v>1</v>
      </c>
      <c r="AA311" s="195" t="s">
        <v>1</v>
      </c>
      <c r="AB311" s="192" t="s">
        <v>2369</v>
      </c>
      <c r="AF311" s="70"/>
      <c r="AG311" s="65"/>
    </row>
    <row r="312" spans="1:34" s="192" customFormat="1" x14ac:dyDescent="0.15">
      <c r="B312" s="192" t="s">
        <v>2702</v>
      </c>
      <c r="C312" s="201" t="s">
        <v>1693</v>
      </c>
      <c r="D312" s="194">
        <v>50</v>
      </c>
      <c r="E312" s="192" t="s">
        <v>4</v>
      </c>
      <c r="F312" s="194">
        <v>1.5</v>
      </c>
      <c r="G312" s="194"/>
      <c r="H312" s="202">
        <v>45061</v>
      </c>
      <c r="I312" s="192" t="s">
        <v>2701</v>
      </c>
      <c r="J312" s="192" t="s">
        <v>2700</v>
      </c>
      <c r="K312" s="192" t="s">
        <v>2315</v>
      </c>
      <c r="L312" s="192" t="s">
        <v>2699</v>
      </c>
      <c r="M312" s="192">
        <v>2023</v>
      </c>
      <c r="O312" s="192" t="s">
        <v>2698</v>
      </c>
      <c r="P312" s="195" t="s">
        <v>1</v>
      </c>
      <c r="Q312" s="195" t="s">
        <v>1</v>
      </c>
      <c r="R312" s="195" t="s">
        <v>1</v>
      </c>
      <c r="S312" s="195" t="s">
        <v>1</v>
      </c>
      <c r="T312" s="195" t="s">
        <v>1</v>
      </c>
      <c r="U312" s="195" t="s">
        <v>1</v>
      </c>
      <c r="V312" s="195" t="s">
        <v>1</v>
      </c>
      <c r="W312" s="195" t="s">
        <v>1</v>
      </c>
      <c r="X312" s="195" t="s">
        <v>1</v>
      </c>
      <c r="Y312" s="195" t="s">
        <v>1</v>
      </c>
      <c r="Z312" s="195" t="s">
        <v>1</v>
      </c>
      <c r="AA312" s="195" t="s">
        <v>1</v>
      </c>
      <c r="AB312" s="192" t="s">
        <v>2697</v>
      </c>
      <c r="AF312" s="70"/>
      <c r="AG312" s="65"/>
    </row>
    <row r="313" spans="1:34" s="192" customFormat="1" x14ac:dyDescent="0.15">
      <c r="B313" s="192" t="s">
        <v>2696</v>
      </c>
      <c r="C313" s="201" t="s">
        <v>1693</v>
      </c>
      <c r="D313" s="194">
        <v>50</v>
      </c>
      <c r="E313" s="192" t="s">
        <v>4</v>
      </c>
      <c r="F313" s="194">
        <v>0.5</v>
      </c>
      <c r="G313" s="194"/>
      <c r="H313" s="202">
        <v>45021</v>
      </c>
      <c r="I313" s="192" t="s">
        <v>2695</v>
      </c>
      <c r="K313" s="192" t="s">
        <v>2050</v>
      </c>
      <c r="L313" s="192" t="s">
        <v>2694</v>
      </c>
      <c r="M313" s="192">
        <v>2022</v>
      </c>
      <c r="N313" s="192" t="s">
        <v>1708</v>
      </c>
      <c r="O313" s="192" t="s">
        <v>1069</v>
      </c>
      <c r="P313" s="195" t="s">
        <v>4</v>
      </c>
      <c r="Q313" s="195">
        <v>0.56999999999999995</v>
      </c>
      <c r="R313" s="195" t="s">
        <v>776</v>
      </c>
      <c r="S313" s="195" t="s">
        <v>1</v>
      </c>
      <c r="T313" s="195" t="s">
        <v>1</v>
      </c>
      <c r="U313" s="195" t="s">
        <v>1</v>
      </c>
      <c r="V313" s="195" t="s">
        <v>1</v>
      </c>
      <c r="W313" s="195" t="s">
        <v>1</v>
      </c>
      <c r="X313" s="195" t="s">
        <v>1</v>
      </c>
      <c r="Y313" s="195" t="s">
        <v>1</v>
      </c>
      <c r="Z313" s="195" t="s">
        <v>1</v>
      </c>
      <c r="AA313" s="195" t="s">
        <v>1</v>
      </c>
      <c r="AB313" s="192" t="s">
        <v>2693</v>
      </c>
      <c r="AF313" s="70"/>
      <c r="AG313" s="65"/>
    </row>
    <row r="314" spans="1:34" x14ac:dyDescent="0.15">
      <c r="A314" s="192"/>
      <c r="B314" s="192" t="s">
        <v>2692</v>
      </c>
      <c r="C314" s="201" t="s">
        <v>1693</v>
      </c>
      <c r="D314" s="194">
        <v>50</v>
      </c>
      <c r="E314" s="192" t="s">
        <v>278</v>
      </c>
      <c r="F314" s="194">
        <v>0.5</v>
      </c>
      <c r="G314" s="82">
        <f>F314</f>
        <v>0.5</v>
      </c>
      <c r="H314" s="202">
        <v>45021</v>
      </c>
      <c r="I314" s="192" t="s">
        <v>2691</v>
      </c>
      <c r="J314" s="192" t="s">
        <v>2690</v>
      </c>
      <c r="K314" s="192" t="s">
        <v>2050</v>
      </c>
      <c r="L314" s="192" t="s">
        <v>2531</v>
      </c>
      <c r="M314" s="208">
        <v>42609</v>
      </c>
      <c r="N314" s="192" t="s">
        <v>1911</v>
      </c>
      <c r="O314" s="192" t="s">
        <v>2689</v>
      </c>
      <c r="P314" s="195" t="s">
        <v>1</v>
      </c>
      <c r="Q314" s="195" t="s">
        <v>1</v>
      </c>
      <c r="R314" s="195" t="s">
        <v>1</v>
      </c>
      <c r="S314" s="195" t="s">
        <v>1</v>
      </c>
      <c r="T314" s="195" t="s">
        <v>1</v>
      </c>
      <c r="U314" s="195" t="s">
        <v>1</v>
      </c>
      <c r="V314" s="195" t="s">
        <v>1</v>
      </c>
      <c r="W314" s="195" t="s">
        <v>1</v>
      </c>
      <c r="X314" s="195" t="s">
        <v>1</v>
      </c>
      <c r="Y314" s="195" t="s">
        <v>1</v>
      </c>
      <c r="Z314" s="195" t="s">
        <v>1</v>
      </c>
      <c r="AA314" s="195" t="s">
        <v>1</v>
      </c>
      <c r="AB314" s="192" t="s">
        <v>2369</v>
      </c>
      <c r="AC314" s="192"/>
      <c r="AD314" s="192"/>
      <c r="AE314" s="25" t="s">
        <v>5191</v>
      </c>
      <c r="AF314" s="70">
        <v>2.7959999999999998</v>
      </c>
      <c r="AG314" s="76">
        <v>0.20208333333333331</v>
      </c>
      <c r="AH314" s="192"/>
    </row>
    <row r="315" spans="1:34" x14ac:dyDescent="0.15">
      <c r="A315" s="192"/>
      <c r="B315" s="192" t="s">
        <v>2664</v>
      </c>
      <c r="C315" s="201" t="s">
        <v>1693</v>
      </c>
      <c r="D315" s="194">
        <v>30</v>
      </c>
      <c r="E315" s="192" t="s">
        <v>4</v>
      </c>
      <c r="F315" s="194">
        <v>6</v>
      </c>
      <c r="G315" s="82">
        <f>F315</f>
        <v>6</v>
      </c>
      <c r="H315" s="202">
        <v>45070</v>
      </c>
      <c r="I315" s="192" t="s">
        <v>2663</v>
      </c>
      <c r="J315" s="192" t="s">
        <v>2662</v>
      </c>
      <c r="K315" s="192" t="s">
        <v>2315</v>
      </c>
      <c r="L315" s="192" t="s">
        <v>2531</v>
      </c>
      <c r="M315" s="192">
        <v>2021</v>
      </c>
      <c r="N315" s="192"/>
      <c r="O315" s="192" t="s">
        <v>1</v>
      </c>
      <c r="P315" s="192" t="s">
        <v>1</v>
      </c>
      <c r="Q315" s="192" t="s">
        <v>1</v>
      </c>
      <c r="R315" s="192" t="s">
        <v>1</v>
      </c>
      <c r="S315" s="192" t="s">
        <v>1</v>
      </c>
      <c r="T315" s="192" t="s">
        <v>1</v>
      </c>
      <c r="U315" s="192" t="s">
        <v>1</v>
      </c>
      <c r="V315" s="192" t="s">
        <v>1</v>
      </c>
      <c r="W315" s="192" t="s">
        <v>1</v>
      </c>
      <c r="X315" s="192" t="s">
        <v>1</v>
      </c>
      <c r="Y315" s="192" t="s">
        <v>1</v>
      </c>
      <c r="Z315" s="192" t="s">
        <v>1</v>
      </c>
      <c r="AA315" s="192" t="s">
        <v>1</v>
      </c>
      <c r="AB315" s="192" t="s">
        <v>6662</v>
      </c>
      <c r="AC315" s="192" t="s">
        <v>6665</v>
      </c>
      <c r="AD315" s="192" t="s">
        <v>2661</v>
      </c>
      <c r="AE315" s="25" t="s">
        <v>5076</v>
      </c>
      <c r="AF315" s="70">
        <v>2.4209999999999998</v>
      </c>
      <c r="AG315" s="76">
        <v>0.1173611111111111</v>
      </c>
      <c r="AH315" s="192"/>
    </row>
    <row r="316" spans="1:34" s="192" customFormat="1" x14ac:dyDescent="0.15">
      <c r="B316" s="192" t="s">
        <v>2688</v>
      </c>
      <c r="C316" s="201" t="s">
        <v>1693</v>
      </c>
      <c r="D316" s="194">
        <v>40</v>
      </c>
      <c r="E316" s="192" t="s">
        <v>7</v>
      </c>
      <c r="F316" s="194">
        <v>5</v>
      </c>
      <c r="G316" s="194"/>
      <c r="H316" s="202">
        <v>44008</v>
      </c>
      <c r="I316" s="192" t="s">
        <v>2687</v>
      </c>
      <c r="J316" s="192" t="s">
        <v>2686</v>
      </c>
      <c r="K316" s="192" t="s">
        <v>2050</v>
      </c>
      <c r="L316" s="192" t="s">
        <v>2105</v>
      </c>
      <c r="M316" s="192">
        <v>2016</v>
      </c>
      <c r="N316" s="192" t="s">
        <v>2685</v>
      </c>
      <c r="O316" s="192" t="s">
        <v>2684</v>
      </c>
      <c r="P316" s="195" t="s">
        <v>7</v>
      </c>
      <c r="Q316" s="195">
        <v>14</v>
      </c>
      <c r="R316" s="195" t="s">
        <v>2683</v>
      </c>
      <c r="S316" s="195" t="s">
        <v>5</v>
      </c>
      <c r="T316" s="195">
        <v>4</v>
      </c>
      <c r="U316" s="195" t="s">
        <v>2682</v>
      </c>
      <c r="V316" s="195" t="s">
        <v>4</v>
      </c>
      <c r="W316" s="195">
        <v>0.6</v>
      </c>
      <c r="X316" s="195" t="s">
        <v>2681</v>
      </c>
      <c r="Y316" s="195" t="s">
        <v>1</v>
      </c>
      <c r="Z316" s="195" t="s">
        <v>1</v>
      </c>
      <c r="AA316" s="195" t="s">
        <v>1</v>
      </c>
      <c r="AB316" s="192" t="s">
        <v>2680</v>
      </c>
      <c r="AF316" s="70"/>
      <c r="AG316" s="65"/>
    </row>
    <row r="317" spans="1:34" s="192" customFormat="1" x14ac:dyDescent="0.15">
      <c r="B317" s="192" t="s">
        <v>2679</v>
      </c>
      <c r="C317" s="201" t="s">
        <v>1693</v>
      </c>
      <c r="D317" s="194">
        <v>40</v>
      </c>
      <c r="E317" s="192" t="s">
        <v>4</v>
      </c>
      <c r="F317" s="194">
        <v>10</v>
      </c>
      <c r="G317" s="194"/>
      <c r="H317" s="202">
        <v>45026</v>
      </c>
      <c r="I317" s="192" t="s">
        <v>2678</v>
      </c>
      <c r="K317" s="192" t="s">
        <v>2322</v>
      </c>
      <c r="L317" s="192" t="s">
        <v>2322</v>
      </c>
      <c r="M317" s="192">
        <v>2023</v>
      </c>
      <c r="O317" s="192" t="s">
        <v>1</v>
      </c>
      <c r="P317" s="192" t="s">
        <v>1</v>
      </c>
      <c r="Q317" s="192" t="s">
        <v>1</v>
      </c>
      <c r="R317" s="192" t="s">
        <v>1</v>
      </c>
      <c r="S317" s="192" t="s">
        <v>1</v>
      </c>
      <c r="T317" s="192" t="s">
        <v>1</v>
      </c>
      <c r="U317" s="192" t="s">
        <v>1</v>
      </c>
      <c r="V317" s="192" t="s">
        <v>1</v>
      </c>
      <c r="W317" s="192" t="s">
        <v>1</v>
      </c>
      <c r="X317" s="192" t="s">
        <v>1</v>
      </c>
      <c r="Y317" s="192" t="s">
        <v>1</v>
      </c>
      <c r="Z317" s="192" t="s">
        <v>1</v>
      </c>
      <c r="AA317" s="192" t="s">
        <v>1</v>
      </c>
      <c r="AB317" s="192" t="s">
        <v>1</v>
      </c>
      <c r="AF317" s="70"/>
      <c r="AG317" s="65"/>
    </row>
    <row r="318" spans="1:34" s="192" customFormat="1" x14ac:dyDescent="0.15">
      <c r="B318" s="192" t="s">
        <v>625</v>
      </c>
      <c r="C318" s="201" t="s">
        <v>1693</v>
      </c>
      <c r="D318" s="194">
        <v>40</v>
      </c>
      <c r="E318" s="192" t="s">
        <v>5</v>
      </c>
      <c r="F318" s="194">
        <v>10</v>
      </c>
      <c r="G318" s="194"/>
      <c r="H318" s="202">
        <v>44930</v>
      </c>
      <c r="I318" s="192" t="s">
        <v>2677</v>
      </c>
      <c r="J318" s="192" t="s">
        <v>2676</v>
      </c>
      <c r="K318" s="192" t="s">
        <v>2050</v>
      </c>
      <c r="L318" s="192" t="s">
        <v>2675</v>
      </c>
      <c r="M318" s="192">
        <v>2020</v>
      </c>
      <c r="O318" s="192" t="s">
        <v>2674</v>
      </c>
      <c r="P318" s="195" t="s">
        <v>4</v>
      </c>
      <c r="Q318" s="195">
        <v>2</v>
      </c>
      <c r="R318" s="195" t="s">
        <v>1</v>
      </c>
      <c r="S318" s="195" t="s">
        <v>1</v>
      </c>
      <c r="T318" s="195" t="s">
        <v>1</v>
      </c>
      <c r="U318" s="195" t="s">
        <v>1</v>
      </c>
      <c r="V318" s="195" t="s">
        <v>1</v>
      </c>
      <c r="W318" s="195" t="s">
        <v>1</v>
      </c>
      <c r="X318" s="195" t="s">
        <v>1</v>
      </c>
      <c r="Y318" s="195" t="s">
        <v>1</v>
      </c>
      <c r="Z318" s="195" t="s">
        <v>1</v>
      </c>
      <c r="AA318" s="195" t="s">
        <v>1</v>
      </c>
      <c r="AB318" s="192" t="s">
        <v>2602</v>
      </c>
      <c r="AF318" s="70"/>
      <c r="AG318" s="65"/>
    </row>
    <row r="319" spans="1:34" s="192" customFormat="1" x14ac:dyDescent="0.15">
      <c r="B319" s="192" t="s">
        <v>2673</v>
      </c>
      <c r="C319" s="201" t="s">
        <v>1693</v>
      </c>
      <c r="D319" s="194">
        <v>40</v>
      </c>
      <c r="E319" s="192" t="s">
        <v>5</v>
      </c>
      <c r="F319" s="194">
        <v>10</v>
      </c>
      <c r="G319" s="194"/>
      <c r="H319" s="202">
        <v>44825</v>
      </c>
      <c r="I319" s="192" t="s">
        <v>2672</v>
      </c>
      <c r="K319" s="192" t="s">
        <v>2050</v>
      </c>
      <c r="L319" s="192" t="s">
        <v>2531</v>
      </c>
      <c r="M319" s="192">
        <v>2020</v>
      </c>
      <c r="O319" s="192" t="s">
        <v>2671</v>
      </c>
      <c r="P319" s="195" t="s">
        <v>4</v>
      </c>
      <c r="Q319" s="195">
        <v>1.5</v>
      </c>
      <c r="R319" s="195" t="s">
        <v>2670</v>
      </c>
      <c r="S319" s="195" t="s">
        <v>1</v>
      </c>
      <c r="T319" s="195" t="s">
        <v>1</v>
      </c>
      <c r="U319" s="195" t="s">
        <v>1</v>
      </c>
      <c r="V319" s="195" t="s">
        <v>1</v>
      </c>
      <c r="W319" s="195" t="s">
        <v>1</v>
      </c>
      <c r="X319" s="195" t="s">
        <v>1</v>
      </c>
      <c r="Y319" s="195" t="s">
        <v>1</v>
      </c>
      <c r="Z319" s="195" t="s">
        <v>1</v>
      </c>
      <c r="AA319" s="195" t="s">
        <v>1</v>
      </c>
      <c r="AB319" s="192" t="s">
        <v>2669</v>
      </c>
      <c r="AE319" s="25" t="s">
        <v>5192</v>
      </c>
      <c r="AF319" s="70"/>
      <c r="AG319" s="65"/>
    </row>
    <row r="320" spans="1:34" s="192" customFormat="1" x14ac:dyDescent="0.15">
      <c r="B320" s="192" t="s">
        <v>631</v>
      </c>
      <c r="C320" s="201" t="s">
        <v>1693</v>
      </c>
      <c r="D320" s="194">
        <v>40</v>
      </c>
      <c r="E320" s="192" t="s">
        <v>5</v>
      </c>
      <c r="F320" s="194">
        <v>10</v>
      </c>
      <c r="G320" s="194"/>
      <c r="H320" s="202">
        <v>43887</v>
      </c>
      <c r="I320" s="192" t="s">
        <v>2668</v>
      </c>
      <c r="J320" s="192" t="s">
        <v>2667</v>
      </c>
      <c r="K320" s="192" t="s">
        <v>2050</v>
      </c>
      <c r="L320" s="192" t="s">
        <v>2637</v>
      </c>
      <c r="M320" s="192">
        <v>2019</v>
      </c>
      <c r="O320" s="192" t="s">
        <v>632</v>
      </c>
      <c r="P320" s="195" t="s">
        <v>5</v>
      </c>
      <c r="Q320" s="195">
        <v>9</v>
      </c>
      <c r="R320" s="195" t="s">
        <v>2666</v>
      </c>
      <c r="S320" s="195" t="s">
        <v>4</v>
      </c>
      <c r="T320" s="195">
        <v>2.4</v>
      </c>
      <c r="U320" s="195" t="s">
        <v>2665</v>
      </c>
      <c r="V320" s="195" t="s">
        <v>1</v>
      </c>
      <c r="W320" s="195" t="s">
        <v>1</v>
      </c>
      <c r="X320" s="195" t="s">
        <v>1</v>
      </c>
      <c r="Y320" s="195" t="s">
        <v>1</v>
      </c>
      <c r="Z320" s="195" t="s">
        <v>1</v>
      </c>
      <c r="AA320" s="195" t="s">
        <v>1</v>
      </c>
      <c r="AB320" s="192" t="s">
        <v>6662</v>
      </c>
      <c r="AC320" s="192" t="s">
        <v>6665</v>
      </c>
      <c r="AD320" s="192" t="s">
        <v>6672</v>
      </c>
      <c r="AF320" s="70"/>
      <c r="AG320" s="65"/>
    </row>
    <row r="321" spans="1:34" x14ac:dyDescent="0.15">
      <c r="B321" s="80" t="s">
        <v>2019</v>
      </c>
      <c r="C321" s="257" t="s">
        <v>1693</v>
      </c>
      <c r="D321" s="82">
        <v>30</v>
      </c>
      <c r="E321" s="259" t="s">
        <v>4</v>
      </c>
      <c r="F321" s="82">
        <v>12</v>
      </c>
      <c r="G321" s="82">
        <f>F321</f>
        <v>12</v>
      </c>
      <c r="H321" s="85">
        <v>43872</v>
      </c>
      <c r="I321" s="258" t="s">
        <v>7439</v>
      </c>
      <c r="J321" s="258" t="s">
        <v>7435</v>
      </c>
      <c r="K321" s="258" t="s">
        <v>2050</v>
      </c>
      <c r="L321" s="258" t="s">
        <v>3243</v>
      </c>
      <c r="M321" s="91">
        <v>43160</v>
      </c>
      <c r="O321" s="258" t="s">
        <v>7437</v>
      </c>
      <c r="P321" s="260" t="s">
        <v>1</v>
      </c>
      <c r="Q321" s="260" t="s">
        <v>1</v>
      </c>
      <c r="R321" s="260" t="s">
        <v>1</v>
      </c>
      <c r="S321" s="260" t="s">
        <v>1</v>
      </c>
      <c r="T321" s="260" t="s">
        <v>1</v>
      </c>
      <c r="U321" s="260" t="s">
        <v>1</v>
      </c>
      <c r="V321" s="260" t="s">
        <v>1</v>
      </c>
      <c r="W321" s="260" t="s">
        <v>1</v>
      </c>
      <c r="X321" s="260" t="s">
        <v>1</v>
      </c>
      <c r="Y321" s="260" t="s">
        <v>1</v>
      </c>
      <c r="Z321" s="260" t="s">
        <v>1</v>
      </c>
      <c r="AA321" s="260" t="s">
        <v>1</v>
      </c>
      <c r="AB321" s="258" t="s">
        <v>6662</v>
      </c>
      <c r="AC321" s="258" t="s">
        <v>6664</v>
      </c>
      <c r="AD321" s="258" t="s">
        <v>7433</v>
      </c>
      <c r="AE321" s="258" t="s">
        <v>7434</v>
      </c>
    </row>
    <row r="322" spans="1:34" s="192" customFormat="1" x14ac:dyDescent="0.15">
      <c r="B322" s="192" t="s">
        <v>2660</v>
      </c>
      <c r="C322" s="201" t="s">
        <v>1693</v>
      </c>
      <c r="D322" s="194">
        <v>30</v>
      </c>
      <c r="E322" s="192" t="s">
        <v>278</v>
      </c>
      <c r="F322" s="194">
        <v>0.5</v>
      </c>
      <c r="G322" s="194"/>
      <c r="H322" s="202">
        <v>45021</v>
      </c>
      <c r="I322" s="192" t="s">
        <v>2659</v>
      </c>
      <c r="J322" s="192" t="s">
        <v>2658</v>
      </c>
      <c r="K322" s="192" t="s">
        <v>2050</v>
      </c>
      <c r="L322" s="192" t="s">
        <v>2067</v>
      </c>
      <c r="M322" s="192">
        <v>2021</v>
      </c>
      <c r="N322" s="192" t="s">
        <v>1708</v>
      </c>
      <c r="O322" s="192" t="s">
        <v>1069</v>
      </c>
      <c r="P322" s="195" t="s">
        <v>1</v>
      </c>
      <c r="Q322" s="195" t="s">
        <v>1</v>
      </c>
      <c r="R322" s="195" t="s">
        <v>1</v>
      </c>
      <c r="S322" s="195" t="s">
        <v>1</v>
      </c>
      <c r="T322" s="195" t="s">
        <v>1</v>
      </c>
      <c r="U322" s="195" t="s">
        <v>1</v>
      </c>
      <c r="V322" s="195" t="s">
        <v>1</v>
      </c>
      <c r="W322" s="195" t="s">
        <v>1</v>
      </c>
      <c r="X322" s="195" t="s">
        <v>1</v>
      </c>
      <c r="Y322" s="195" t="s">
        <v>1</v>
      </c>
      <c r="Z322" s="195" t="s">
        <v>1</v>
      </c>
      <c r="AA322" s="195" t="s">
        <v>1</v>
      </c>
      <c r="AB322" s="192" t="s">
        <v>6662</v>
      </c>
      <c r="AC322" s="192" t="s">
        <v>6665</v>
      </c>
      <c r="AD322" s="192" t="s">
        <v>2369</v>
      </c>
      <c r="AF322" s="70"/>
      <c r="AG322" s="65"/>
    </row>
    <row r="323" spans="1:34" s="192" customFormat="1" x14ac:dyDescent="0.15">
      <c r="B323" s="192" t="s">
        <v>808</v>
      </c>
      <c r="C323" s="201" t="s">
        <v>1693</v>
      </c>
      <c r="D323" s="194">
        <v>30</v>
      </c>
      <c r="E323" s="192" t="s">
        <v>4</v>
      </c>
      <c r="F323" s="194">
        <v>5</v>
      </c>
      <c r="G323" s="194"/>
      <c r="H323" s="202">
        <v>45062</v>
      </c>
      <c r="I323" s="192" t="s">
        <v>2657</v>
      </c>
      <c r="K323" s="192" t="s">
        <v>2050</v>
      </c>
      <c r="L323" s="192" t="s">
        <v>2244</v>
      </c>
      <c r="M323" s="192">
        <v>2023</v>
      </c>
      <c r="O323" s="192" t="s">
        <v>2656</v>
      </c>
      <c r="P323" s="195" t="s">
        <v>1</v>
      </c>
      <c r="Q323" s="195" t="s">
        <v>1</v>
      </c>
      <c r="R323" s="195" t="s">
        <v>1</v>
      </c>
      <c r="S323" s="195" t="s">
        <v>1</v>
      </c>
      <c r="T323" s="195" t="s">
        <v>1</v>
      </c>
      <c r="U323" s="195" t="s">
        <v>1</v>
      </c>
      <c r="V323" s="195" t="s">
        <v>1</v>
      </c>
      <c r="W323" s="195" t="s">
        <v>1</v>
      </c>
      <c r="X323" s="195" t="s">
        <v>1</v>
      </c>
      <c r="Y323" s="195" t="s">
        <v>1</v>
      </c>
      <c r="Z323" s="195" t="s">
        <v>1</v>
      </c>
      <c r="AA323" s="195" t="s">
        <v>1</v>
      </c>
      <c r="AB323" s="192" t="s">
        <v>6662</v>
      </c>
      <c r="AC323" s="192" t="s">
        <v>6665</v>
      </c>
      <c r="AD323" s="192" t="s">
        <v>6673</v>
      </c>
      <c r="AF323" s="70"/>
      <c r="AG323" s="65"/>
    </row>
    <row r="324" spans="1:34" s="192" customFormat="1" x14ac:dyDescent="0.15">
      <c r="B324" s="192" t="s">
        <v>766</v>
      </c>
      <c r="C324" s="201" t="s">
        <v>1693</v>
      </c>
      <c r="D324" s="194">
        <v>30</v>
      </c>
      <c r="E324" s="192" t="s">
        <v>4</v>
      </c>
      <c r="F324" s="194">
        <v>4</v>
      </c>
      <c r="G324" s="194"/>
      <c r="H324" s="202">
        <v>45026</v>
      </c>
      <c r="I324" s="192" t="s">
        <v>2067</v>
      </c>
      <c r="J324" s="192" t="s">
        <v>2655</v>
      </c>
      <c r="K324" s="192" t="s">
        <v>2050</v>
      </c>
      <c r="L324" s="192" t="s">
        <v>2067</v>
      </c>
      <c r="M324" s="192">
        <v>2021</v>
      </c>
      <c r="O324" s="192" t="s">
        <v>2654</v>
      </c>
      <c r="P324" s="195" t="s">
        <v>1</v>
      </c>
      <c r="Q324" s="195" t="s">
        <v>1</v>
      </c>
      <c r="R324" s="195" t="s">
        <v>1</v>
      </c>
      <c r="S324" s="195" t="s">
        <v>1</v>
      </c>
      <c r="T324" s="195" t="s">
        <v>1</v>
      </c>
      <c r="U324" s="195" t="s">
        <v>1</v>
      </c>
      <c r="V324" s="195" t="s">
        <v>1</v>
      </c>
      <c r="W324" s="195" t="s">
        <v>1</v>
      </c>
      <c r="X324" s="195" t="s">
        <v>1</v>
      </c>
      <c r="Y324" s="195" t="s">
        <v>1</v>
      </c>
      <c r="Z324" s="195" t="s">
        <v>1</v>
      </c>
      <c r="AA324" s="195" t="s">
        <v>1</v>
      </c>
      <c r="AB324" s="192" t="s">
        <v>6662</v>
      </c>
      <c r="AC324" s="192" t="s">
        <v>6666</v>
      </c>
      <c r="AD324" s="192" t="s">
        <v>3983</v>
      </c>
      <c r="AF324" s="70"/>
      <c r="AG324" s="65"/>
    </row>
    <row r="325" spans="1:34" s="192" customFormat="1" x14ac:dyDescent="0.15">
      <c r="B325" s="192" t="s">
        <v>336</v>
      </c>
      <c r="C325" s="201" t="s">
        <v>1693</v>
      </c>
      <c r="D325" s="194">
        <v>30</v>
      </c>
      <c r="E325" s="192" t="s">
        <v>4</v>
      </c>
      <c r="F325" s="194">
        <v>3</v>
      </c>
      <c r="G325" s="194"/>
      <c r="H325" s="202">
        <v>44327</v>
      </c>
      <c r="I325" s="192" t="s">
        <v>2652</v>
      </c>
      <c r="J325" s="192" t="s">
        <v>2651</v>
      </c>
      <c r="K325" s="192" t="s">
        <v>2050</v>
      </c>
      <c r="L325" s="192" t="s">
        <v>2650</v>
      </c>
      <c r="M325" s="192">
        <v>2021</v>
      </c>
      <c r="O325" s="192" t="s">
        <v>2649</v>
      </c>
      <c r="P325" s="195" t="s">
        <v>278</v>
      </c>
      <c r="Q325" s="195">
        <v>1.2</v>
      </c>
      <c r="R325" s="195" t="s">
        <v>2648</v>
      </c>
      <c r="S325" s="195" t="s">
        <v>1</v>
      </c>
      <c r="T325" s="195" t="s">
        <v>1</v>
      </c>
      <c r="U325" s="195" t="s">
        <v>1</v>
      </c>
      <c r="V325" s="195" t="s">
        <v>1</v>
      </c>
      <c r="W325" s="195" t="s">
        <v>1</v>
      </c>
      <c r="X325" s="195" t="s">
        <v>1</v>
      </c>
      <c r="Y325" s="195" t="s">
        <v>1</v>
      </c>
      <c r="Z325" s="195" t="s">
        <v>1</v>
      </c>
      <c r="AA325" s="195" t="s">
        <v>1</v>
      </c>
      <c r="AB325" s="192" t="s">
        <v>6662</v>
      </c>
      <c r="AC325" s="192" t="s">
        <v>6670</v>
      </c>
      <c r="AD325" s="192" t="s">
        <v>6670</v>
      </c>
      <c r="AF325" s="70"/>
      <c r="AG325" s="65"/>
    </row>
    <row r="326" spans="1:34" s="192" customFormat="1" x14ac:dyDescent="0.15">
      <c r="B326" s="192" t="s">
        <v>2647</v>
      </c>
      <c r="C326" s="201" t="s">
        <v>1693</v>
      </c>
      <c r="D326" s="194">
        <v>30</v>
      </c>
      <c r="E326" s="192" t="s">
        <v>278</v>
      </c>
      <c r="F326" s="194">
        <v>3</v>
      </c>
      <c r="G326" s="194"/>
      <c r="H326" s="202">
        <v>45044</v>
      </c>
      <c r="I326" s="192" t="s">
        <v>2646</v>
      </c>
      <c r="J326" s="192" t="s">
        <v>2645</v>
      </c>
      <c r="K326" s="192" t="s">
        <v>2050</v>
      </c>
      <c r="L326" s="192" t="s">
        <v>2644</v>
      </c>
      <c r="M326" s="207">
        <v>44986</v>
      </c>
      <c r="O326" s="192" t="s">
        <v>1</v>
      </c>
      <c r="P326" s="192" t="s">
        <v>1</v>
      </c>
      <c r="Q326" s="192" t="s">
        <v>1</v>
      </c>
      <c r="R326" s="192" t="s">
        <v>1</v>
      </c>
      <c r="S326" s="192" t="s">
        <v>1</v>
      </c>
      <c r="T326" s="192" t="s">
        <v>1</v>
      </c>
      <c r="U326" s="192" t="s">
        <v>1</v>
      </c>
      <c r="V326" s="192" t="s">
        <v>1</v>
      </c>
      <c r="W326" s="192" t="s">
        <v>1</v>
      </c>
      <c r="X326" s="192" t="s">
        <v>1</v>
      </c>
      <c r="Y326" s="192" t="s">
        <v>1</v>
      </c>
      <c r="Z326" s="192" t="s">
        <v>1</v>
      </c>
      <c r="AA326" s="192" t="s">
        <v>1</v>
      </c>
      <c r="AB326" s="192" t="s">
        <v>6662</v>
      </c>
      <c r="AC326" s="192" t="s">
        <v>6665</v>
      </c>
      <c r="AD326" s="192" t="s">
        <v>2369</v>
      </c>
      <c r="AF326" s="70"/>
      <c r="AG326" s="65"/>
    </row>
    <row r="327" spans="1:34" s="192" customFormat="1" x14ac:dyDescent="0.15">
      <c r="B327" s="192" t="s">
        <v>2021</v>
      </c>
      <c r="C327" s="201" t="s">
        <v>1693</v>
      </c>
      <c r="D327" s="194">
        <v>30</v>
      </c>
      <c r="E327" s="192" t="s">
        <v>5</v>
      </c>
      <c r="F327" s="194">
        <v>8</v>
      </c>
      <c r="G327" s="194">
        <v>13</v>
      </c>
      <c r="H327" s="202">
        <v>44663</v>
      </c>
      <c r="I327" s="192" t="s">
        <v>7351</v>
      </c>
      <c r="J327" s="192" t="s">
        <v>7352</v>
      </c>
      <c r="K327" s="192" t="s">
        <v>2050</v>
      </c>
      <c r="L327" s="192" t="s">
        <v>2061</v>
      </c>
      <c r="M327" s="207">
        <v>44663</v>
      </c>
      <c r="O327" s="192" t="s">
        <v>7353</v>
      </c>
      <c r="P327" s="192" t="s">
        <v>5</v>
      </c>
      <c r="Q327" s="195">
        <v>3</v>
      </c>
      <c r="R327" s="192" t="s">
        <v>7354</v>
      </c>
      <c r="S327" s="192" t="s">
        <v>4</v>
      </c>
      <c r="T327" s="195">
        <v>1.7</v>
      </c>
      <c r="U327" s="192" t="s">
        <v>7355</v>
      </c>
      <c r="V327" s="192" t="s">
        <v>1</v>
      </c>
      <c r="W327" s="192" t="s">
        <v>1</v>
      </c>
      <c r="X327" s="192" t="s">
        <v>1</v>
      </c>
      <c r="Y327" s="192" t="s">
        <v>1</v>
      </c>
      <c r="Z327" s="192" t="s">
        <v>1</v>
      </c>
      <c r="AA327" s="192" t="s">
        <v>1</v>
      </c>
      <c r="AB327" s="192" t="s">
        <v>2588</v>
      </c>
      <c r="AC327" s="192" t="s">
        <v>7356</v>
      </c>
      <c r="AD327" s="192" t="s">
        <v>7357</v>
      </c>
      <c r="AE327" s="25" t="s">
        <v>7358</v>
      </c>
      <c r="AF327" s="70"/>
      <c r="AG327" s="65"/>
    </row>
    <row r="328" spans="1:34" s="192" customFormat="1" x14ac:dyDescent="0.15">
      <c r="B328" s="192" t="s">
        <v>2020</v>
      </c>
      <c r="C328" s="201" t="s">
        <v>1693</v>
      </c>
      <c r="D328" s="194">
        <v>30</v>
      </c>
      <c r="E328" s="192" t="s">
        <v>4</v>
      </c>
      <c r="F328" s="194">
        <v>8</v>
      </c>
      <c r="G328" s="194">
        <v>11</v>
      </c>
      <c r="H328" s="202">
        <v>44880</v>
      </c>
      <c r="I328" s="192" t="s">
        <v>7359</v>
      </c>
      <c r="J328" s="192" t="s">
        <v>7360</v>
      </c>
      <c r="K328" s="192" t="s">
        <v>2050</v>
      </c>
      <c r="L328" s="192" t="s">
        <v>2705</v>
      </c>
      <c r="M328" s="207">
        <v>44880</v>
      </c>
      <c r="O328" s="192" t="s">
        <v>7361</v>
      </c>
      <c r="P328" s="192" t="s">
        <v>4</v>
      </c>
      <c r="Q328" s="195">
        <v>3</v>
      </c>
      <c r="R328" s="192" t="s">
        <v>7362</v>
      </c>
      <c r="S328" s="192" t="s">
        <v>1</v>
      </c>
      <c r="T328" s="192" t="s">
        <v>1</v>
      </c>
      <c r="U328" s="192" t="s">
        <v>1</v>
      </c>
      <c r="V328" s="192" t="s">
        <v>1</v>
      </c>
      <c r="W328" s="192" t="s">
        <v>1</v>
      </c>
      <c r="X328" s="192" t="s">
        <v>1</v>
      </c>
      <c r="Y328" s="192" t="s">
        <v>1</v>
      </c>
      <c r="Z328" s="192" t="s">
        <v>1</v>
      </c>
      <c r="AA328" s="192" t="s">
        <v>1</v>
      </c>
      <c r="AB328" s="192" t="s">
        <v>6662</v>
      </c>
      <c r="AC328" s="192" t="s">
        <v>6665</v>
      </c>
      <c r="AD328" s="192" t="s">
        <v>2369</v>
      </c>
      <c r="AE328" s="25" t="s">
        <v>7363</v>
      </c>
      <c r="AF328" s="70"/>
      <c r="AG328" s="65"/>
    </row>
    <row r="329" spans="1:34" x14ac:dyDescent="0.15">
      <c r="A329" s="192"/>
      <c r="B329" s="192" t="s">
        <v>746</v>
      </c>
      <c r="C329" s="201" t="s">
        <v>1693</v>
      </c>
      <c r="D329" s="194">
        <v>25</v>
      </c>
      <c r="E329" s="192" t="s">
        <v>4</v>
      </c>
      <c r="F329" s="194">
        <v>2.6</v>
      </c>
      <c r="G329" s="82">
        <f>+F329</f>
        <v>2.6</v>
      </c>
      <c r="H329" s="202">
        <v>44994</v>
      </c>
      <c r="I329" s="192" t="s">
        <v>5210</v>
      </c>
      <c r="J329" s="192" t="s">
        <v>2643</v>
      </c>
      <c r="K329" s="192" t="s">
        <v>2315</v>
      </c>
      <c r="L329" s="192" t="s">
        <v>2642</v>
      </c>
      <c r="M329" s="208">
        <v>44013</v>
      </c>
      <c r="N329" s="192"/>
      <c r="O329" s="192" t="s">
        <v>2641</v>
      </c>
      <c r="P329" s="195" t="s">
        <v>4</v>
      </c>
      <c r="Q329" s="195" t="s">
        <v>2640</v>
      </c>
      <c r="R329" s="195"/>
      <c r="S329" s="195" t="s">
        <v>278</v>
      </c>
      <c r="T329" s="195" t="s">
        <v>1</v>
      </c>
      <c r="U329" s="195" t="s">
        <v>749</v>
      </c>
      <c r="V329" s="192" t="s">
        <v>1</v>
      </c>
      <c r="W329" s="192" t="s">
        <v>1</v>
      </c>
      <c r="X329" s="192" t="s">
        <v>1</v>
      </c>
      <c r="Y329" s="192" t="s">
        <v>1</v>
      </c>
      <c r="Z329" s="192" t="s">
        <v>1</v>
      </c>
      <c r="AA329" s="192" t="s">
        <v>1</v>
      </c>
      <c r="AB329" s="192" t="s">
        <v>6662</v>
      </c>
      <c r="AC329" s="192" t="s">
        <v>6670</v>
      </c>
      <c r="AD329" s="192" t="s">
        <v>6670</v>
      </c>
      <c r="AE329" s="25" t="s">
        <v>5211</v>
      </c>
      <c r="AF329" s="70">
        <v>0.93803700000000001</v>
      </c>
      <c r="AG329" s="76">
        <v>0.23333333333333331</v>
      </c>
      <c r="AH329" s="192"/>
    </row>
    <row r="330" spans="1:34" s="192" customFormat="1" x14ac:dyDescent="0.15">
      <c r="B330" s="192" t="s">
        <v>2639</v>
      </c>
      <c r="C330" s="201" t="s">
        <v>1693</v>
      </c>
      <c r="D330" s="194">
        <v>25</v>
      </c>
      <c r="E330" s="192" t="s">
        <v>1</v>
      </c>
      <c r="F330" s="194" t="s">
        <v>1</v>
      </c>
      <c r="G330" s="194"/>
      <c r="H330" s="193" t="s">
        <v>1</v>
      </c>
      <c r="I330" s="192" t="s">
        <v>2638</v>
      </c>
      <c r="K330" s="192" t="s">
        <v>2050</v>
      </c>
      <c r="L330" s="192" t="s">
        <v>2637</v>
      </c>
      <c r="M330" s="192">
        <v>2020</v>
      </c>
      <c r="O330" s="192" t="s">
        <v>1</v>
      </c>
      <c r="P330" s="192" t="s">
        <v>1</v>
      </c>
      <c r="Q330" s="192" t="s">
        <v>1</v>
      </c>
      <c r="R330" s="192" t="s">
        <v>1</v>
      </c>
      <c r="S330" s="192" t="s">
        <v>1</v>
      </c>
      <c r="T330" s="192" t="s">
        <v>1</v>
      </c>
      <c r="U330" s="192" t="s">
        <v>1</v>
      </c>
      <c r="V330" s="192" t="s">
        <v>1</v>
      </c>
      <c r="W330" s="192" t="s">
        <v>1</v>
      </c>
      <c r="X330" s="192" t="s">
        <v>1</v>
      </c>
      <c r="Y330" s="192" t="s">
        <v>1</v>
      </c>
      <c r="Z330" s="192" t="s">
        <v>1</v>
      </c>
      <c r="AA330" s="192" t="s">
        <v>1</v>
      </c>
      <c r="AB330" s="192" t="s">
        <v>2636</v>
      </c>
      <c r="AF330" s="70"/>
      <c r="AG330" s="65"/>
    </row>
    <row r="331" spans="1:34" s="192" customFormat="1" x14ac:dyDescent="0.15">
      <c r="B331" s="192" t="s">
        <v>341</v>
      </c>
      <c r="C331" s="201" t="s">
        <v>1693</v>
      </c>
      <c r="D331" s="194">
        <v>20</v>
      </c>
      <c r="E331" s="192" t="s">
        <v>4</v>
      </c>
      <c r="F331" s="194">
        <v>3.5</v>
      </c>
      <c r="G331" s="194"/>
      <c r="H331" s="202">
        <v>44636</v>
      </c>
      <c r="I331" s="192" t="s">
        <v>2635</v>
      </c>
      <c r="J331" s="192" t="s">
        <v>2634</v>
      </c>
      <c r="K331" s="192" t="s">
        <v>2050</v>
      </c>
      <c r="L331" s="192" t="s">
        <v>2633</v>
      </c>
      <c r="M331" s="192">
        <v>2019</v>
      </c>
      <c r="O331" s="192" t="s">
        <v>2632</v>
      </c>
      <c r="P331" s="195" t="s">
        <v>278</v>
      </c>
      <c r="Q331" s="195">
        <v>0.75</v>
      </c>
      <c r="R331" s="195" t="s">
        <v>2631</v>
      </c>
      <c r="S331" s="195" t="s">
        <v>278</v>
      </c>
      <c r="T331" s="195">
        <v>0.12</v>
      </c>
      <c r="U331" s="195" t="s">
        <v>640</v>
      </c>
      <c r="V331" s="195" t="s">
        <v>1</v>
      </c>
      <c r="W331" s="195" t="s">
        <v>1</v>
      </c>
      <c r="X331" s="195" t="s">
        <v>1</v>
      </c>
      <c r="Y331" s="195" t="s">
        <v>1</v>
      </c>
      <c r="Z331" s="195" t="s">
        <v>1</v>
      </c>
      <c r="AA331" s="195" t="s">
        <v>1</v>
      </c>
      <c r="AB331" s="192" t="s">
        <v>6662</v>
      </c>
      <c r="AC331" s="192" t="s">
        <v>6664</v>
      </c>
      <c r="AD331" s="192" t="s">
        <v>2907</v>
      </c>
      <c r="AF331" s="70"/>
      <c r="AG331" s="65"/>
    </row>
    <row r="332" spans="1:34" s="192" customFormat="1" x14ac:dyDescent="0.15">
      <c r="B332" s="192" t="s">
        <v>2630</v>
      </c>
      <c r="C332" s="201" t="s">
        <v>1693</v>
      </c>
      <c r="D332" s="194">
        <v>20</v>
      </c>
      <c r="E332" s="192" t="s">
        <v>4</v>
      </c>
      <c r="F332" s="194">
        <v>4</v>
      </c>
      <c r="G332" s="194"/>
      <c r="H332" s="202">
        <v>44332</v>
      </c>
      <c r="J332" s="192" t="s">
        <v>2629</v>
      </c>
      <c r="K332" s="192" t="s">
        <v>2050</v>
      </c>
      <c r="L332" s="192" t="s">
        <v>2531</v>
      </c>
      <c r="M332" s="192">
        <v>2018</v>
      </c>
      <c r="O332" s="192" t="s">
        <v>488</v>
      </c>
      <c r="P332" s="195" t="s">
        <v>4</v>
      </c>
      <c r="Q332" s="195">
        <v>2</v>
      </c>
      <c r="R332" s="195" t="s">
        <v>2628</v>
      </c>
      <c r="S332" s="195" t="s">
        <v>278</v>
      </c>
      <c r="T332" s="195" t="s">
        <v>1</v>
      </c>
      <c r="U332" s="195" t="s">
        <v>2627</v>
      </c>
      <c r="V332" s="195" t="s">
        <v>1</v>
      </c>
      <c r="W332" s="195" t="s">
        <v>1</v>
      </c>
      <c r="X332" s="195" t="s">
        <v>1</v>
      </c>
      <c r="Y332" s="195" t="s">
        <v>1</v>
      </c>
      <c r="Z332" s="195" t="s">
        <v>1</v>
      </c>
      <c r="AA332" s="195" t="s">
        <v>1</v>
      </c>
      <c r="AB332" s="192" t="s">
        <v>6688</v>
      </c>
      <c r="AD332" s="192" t="s">
        <v>2911</v>
      </c>
      <c r="AE332" s="25" t="s">
        <v>5193</v>
      </c>
      <c r="AF332" s="70"/>
      <c r="AG332" s="65"/>
    </row>
    <row r="333" spans="1:34" s="192" customFormat="1" x14ac:dyDescent="0.15">
      <c r="B333" s="192" t="s">
        <v>510</v>
      </c>
      <c r="C333" s="201" t="s">
        <v>1693</v>
      </c>
      <c r="D333" s="194">
        <v>20</v>
      </c>
      <c r="E333" s="192" t="s">
        <v>4</v>
      </c>
      <c r="F333" s="194">
        <v>3</v>
      </c>
      <c r="G333" s="194"/>
      <c r="H333" s="202">
        <v>45037</v>
      </c>
      <c r="I333" s="192" t="s">
        <v>2626</v>
      </c>
      <c r="J333" s="192" t="s">
        <v>2625</v>
      </c>
      <c r="K333" s="192" t="s">
        <v>2050</v>
      </c>
      <c r="L333" s="192" t="s">
        <v>2624</v>
      </c>
      <c r="M333" s="192">
        <v>2021</v>
      </c>
      <c r="O333" s="192" t="s">
        <v>2623</v>
      </c>
      <c r="P333" s="195" t="s">
        <v>278</v>
      </c>
      <c r="Q333" s="195">
        <v>1.2</v>
      </c>
      <c r="R333" s="195" t="s">
        <v>2622</v>
      </c>
      <c r="S333" s="195" t="s">
        <v>1</v>
      </c>
      <c r="T333" s="195" t="s">
        <v>1</v>
      </c>
      <c r="U333" s="195" t="s">
        <v>1</v>
      </c>
      <c r="V333" s="195" t="s">
        <v>1</v>
      </c>
      <c r="W333" s="195" t="s">
        <v>1</v>
      </c>
      <c r="X333" s="195" t="s">
        <v>1</v>
      </c>
      <c r="Y333" s="195" t="s">
        <v>1</v>
      </c>
      <c r="Z333" s="195" t="s">
        <v>1</v>
      </c>
      <c r="AA333" s="195" t="s">
        <v>1</v>
      </c>
      <c r="AB333" s="192" t="s">
        <v>6662</v>
      </c>
      <c r="AC333" s="192" t="s">
        <v>6669</v>
      </c>
      <c r="AD333" s="192" t="s">
        <v>2359</v>
      </c>
      <c r="AF333" s="70"/>
      <c r="AG333" s="65"/>
    </row>
    <row r="334" spans="1:34" s="192" customFormat="1" x14ac:dyDescent="0.15">
      <c r="B334" s="192" t="s">
        <v>283</v>
      </c>
      <c r="C334" s="201" t="s">
        <v>1693</v>
      </c>
      <c r="D334" s="194">
        <v>20</v>
      </c>
      <c r="E334" s="192" t="s">
        <v>4</v>
      </c>
      <c r="F334" s="194">
        <v>2.6</v>
      </c>
      <c r="G334" s="194"/>
      <c r="H334" s="202">
        <v>45008</v>
      </c>
      <c r="J334" s="192" t="s">
        <v>2621</v>
      </c>
      <c r="K334" s="192" t="s">
        <v>2050</v>
      </c>
      <c r="L334" s="192" t="s">
        <v>2309</v>
      </c>
      <c r="M334" s="192">
        <v>2019</v>
      </c>
      <c r="O334" s="192" t="s">
        <v>2620</v>
      </c>
      <c r="P334" s="195" t="s">
        <v>1</v>
      </c>
      <c r="Q334" s="195" t="s">
        <v>1</v>
      </c>
      <c r="R334" s="195" t="s">
        <v>1</v>
      </c>
      <c r="S334" s="195" t="s">
        <v>1</v>
      </c>
      <c r="T334" s="195" t="s">
        <v>1</v>
      </c>
      <c r="U334" s="195" t="s">
        <v>1</v>
      </c>
      <c r="V334" s="195" t="s">
        <v>1</v>
      </c>
      <c r="W334" s="195" t="s">
        <v>1</v>
      </c>
      <c r="X334" s="195" t="s">
        <v>1</v>
      </c>
      <c r="Y334" s="195" t="s">
        <v>1</v>
      </c>
      <c r="Z334" s="195" t="s">
        <v>1</v>
      </c>
      <c r="AA334" s="195" t="s">
        <v>1</v>
      </c>
      <c r="AB334" s="192" t="s">
        <v>6662</v>
      </c>
      <c r="AC334" s="192" t="s">
        <v>6664</v>
      </c>
      <c r="AD334" s="192" t="s">
        <v>6710</v>
      </c>
      <c r="AF334" s="70"/>
      <c r="AG334" s="65"/>
    </row>
    <row r="335" spans="1:34" s="192" customFormat="1" x14ac:dyDescent="0.15">
      <c r="B335" s="192" t="s">
        <v>277</v>
      </c>
      <c r="C335" s="201" t="s">
        <v>1693</v>
      </c>
      <c r="D335" s="194">
        <v>20</v>
      </c>
      <c r="E335" s="192" t="s">
        <v>4</v>
      </c>
      <c r="F335" s="194">
        <v>0.125</v>
      </c>
      <c r="G335" s="194"/>
      <c r="H335" s="202">
        <v>44265</v>
      </c>
      <c r="I335" s="192" t="s">
        <v>2619</v>
      </c>
      <c r="J335" s="192" t="s">
        <v>2618</v>
      </c>
      <c r="K335" s="192" t="s">
        <v>2050</v>
      </c>
      <c r="L335" s="192" t="s">
        <v>2076</v>
      </c>
      <c r="M335" s="192">
        <v>2020</v>
      </c>
      <c r="O335" s="192" t="s">
        <v>2617</v>
      </c>
      <c r="P335" s="195" t="s">
        <v>278</v>
      </c>
      <c r="Q335" s="195">
        <v>0.2</v>
      </c>
      <c r="R335" s="195" t="s">
        <v>2616</v>
      </c>
      <c r="S335" s="195" t="s">
        <v>1</v>
      </c>
      <c r="T335" s="195" t="s">
        <v>1</v>
      </c>
      <c r="U335" s="195" t="s">
        <v>1</v>
      </c>
      <c r="V335" s="195" t="s">
        <v>1</v>
      </c>
      <c r="W335" s="195" t="s">
        <v>1</v>
      </c>
      <c r="X335" s="195" t="s">
        <v>1</v>
      </c>
      <c r="Y335" s="195" t="s">
        <v>1</v>
      </c>
      <c r="Z335" s="195" t="s">
        <v>1</v>
      </c>
      <c r="AA335" s="195" t="s">
        <v>1</v>
      </c>
      <c r="AB335" s="192" t="s">
        <v>6662</v>
      </c>
      <c r="AC335" s="192" t="s">
        <v>2697</v>
      </c>
      <c r="AD335" s="192" t="s">
        <v>6709</v>
      </c>
      <c r="AE335" s="25" t="s">
        <v>2615</v>
      </c>
      <c r="AF335" s="71"/>
      <c r="AG335" s="66"/>
    </row>
    <row r="336" spans="1:34" x14ac:dyDescent="0.15">
      <c r="B336" s="258" t="s">
        <v>7657</v>
      </c>
      <c r="C336" s="257" t="s">
        <v>1693</v>
      </c>
      <c r="D336" s="80">
        <v>20</v>
      </c>
      <c r="E336" s="258" t="s">
        <v>4</v>
      </c>
      <c r="F336" s="80">
        <v>2.2000000000000002</v>
      </c>
      <c r="G336" s="80">
        <f>F336</f>
        <v>2.2000000000000002</v>
      </c>
      <c r="H336" s="86">
        <v>43544</v>
      </c>
      <c r="I336" s="258" t="s">
        <v>7662</v>
      </c>
      <c r="J336" s="258" t="s">
        <v>7659</v>
      </c>
      <c r="K336" s="258" t="s">
        <v>2050</v>
      </c>
      <c r="L336" s="258" t="s">
        <v>3394</v>
      </c>
      <c r="M336" s="80">
        <v>2014</v>
      </c>
      <c r="O336" s="258" t="s">
        <v>7661</v>
      </c>
      <c r="P336" s="258" t="s">
        <v>1</v>
      </c>
      <c r="Q336" s="258" t="s">
        <v>1</v>
      </c>
      <c r="R336" s="258" t="s">
        <v>1</v>
      </c>
      <c r="S336" s="258" t="s">
        <v>1</v>
      </c>
      <c r="T336" s="258" t="s">
        <v>1</v>
      </c>
      <c r="U336" s="258" t="s">
        <v>1</v>
      </c>
      <c r="V336" s="258" t="s">
        <v>1</v>
      </c>
      <c r="W336" s="258" t="s">
        <v>1</v>
      </c>
      <c r="X336" s="258" t="s">
        <v>1</v>
      </c>
      <c r="Y336" s="258" t="s">
        <v>1</v>
      </c>
      <c r="Z336" s="258" t="s">
        <v>1</v>
      </c>
      <c r="AA336" s="258" t="s">
        <v>1</v>
      </c>
      <c r="AB336" s="181" t="s">
        <v>6662</v>
      </c>
      <c r="AC336" s="181" t="s">
        <v>6665</v>
      </c>
      <c r="AD336" s="258" t="s">
        <v>6682</v>
      </c>
      <c r="AE336" s="25" t="s">
        <v>7658</v>
      </c>
      <c r="AF336" s="80"/>
      <c r="AG336" s="80"/>
    </row>
    <row r="337" spans="1:34" s="192" customFormat="1" x14ac:dyDescent="0.15">
      <c r="B337" s="192" t="s">
        <v>2614</v>
      </c>
      <c r="C337" s="201" t="s">
        <v>1693</v>
      </c>
      <c r="D337" s="194">
        <v>20</v>
      </c>
      <c r="E337" s="194" t="s">
        <v>1</v>
      </c>
      <c r="F337" s="194" t="s">
        <v>1</v>
      </c>
      <c r="G337" s="194"/>
      <c r="H337" s="194" t="s">
        <v>1</v>
      </c>
      <c r="I337" s="192" t="s">
        <v>2613</v>
      </c>
      <c r="J337" s="192" t="s">
        <v>2612</v>
      </c>
      <c r="K337" s="192" t="s">
        <v>2050</v>
      </c>
      <c r="L337" s="192" t="s">
        <v>2356</v>
      </c>
      <c r="M337" s="192">
        <v>2021</v>
      </c>
      <c r="N337" s="192" t="s">
        <v>2611</v>
      </c>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6662</v>
      </c>
      <c r="AC337" s="192" t="s">
        <v>6665</v>
      </c>
      <c r="AD337" s="192" t="s">
        <v>6673</v>
      </c>
      <c r="AE337" s="25" t="s">
        <v>2610</v>
      </c>
      <c r="AF337" s="71"/>
      <c r="AG337" s="66"/>
    </row>
    <row r="338" spans="1:34" s="192" customFormat="1" x14ac:dyDescent="0.15">
      <c r="B338" s="192" t="s">
        <v>2609</v>
      </c>
      <c r="C338" s="201" t="s">
        <v>1693</v>
      </c>
      <c r="D338" s="194">
        <v>20</v>
      </c>
      <c r="E338" s="194" t="s">
        <v>1</v>
      </c>
      <c r="F338" s="194" t="s">
        <v>1</v>
      </c>
      <c r="G338" s="194"/>
      <c r="H338" s="194" t="s">
        <v>1</v>
      </c>
      <c r="I338" s="192" t="s">
        <v>2608</v>
      </c>
      <c r="K338" s="192" t="s">
        <v>2050</v>
      </c>
      <c r="L338" s="192" t="s">
        <v>2607</v>
      </c>
      <c r="M338" s="193" t="s">
        <v>1</v>
      </c>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2079</v>
      </c>
      <c r="AD338" s="192" t="s">
        <v>2086</v>
      </c>
      <c r="AE338" s="25" t="s">
        <v>2606</v>
      </c>
      <c r="AF338" s="71"/>
      <c r="AG338" s="66"/>
    </row>
    <row r="339" spans="1:34" s="192" customFormat="1" x14ac:dyDescent="0.15">
      <c r="B339" s="192" t="s">
        <v>4259</v>
      </c>
      <c r="C339" s="201" t="s">
        <v>1693</v>
      </c>
      <c r="D339" s="194">
        <v>20</v>
      </c>
      <c r="E339" s="206" t="s">
        <v>278</v>
      </c>
      <c r="F339" s="194">
        <v>1</v>
      </c>
      <c r="G339" s="194"/>
      <c r="H339" s="202">
        <v>44752</v>
      </c>
      <c r="I339" s="192" t="s">
        <v>4261</v>
      </c>
      <c r="J339" s="192" t="s">
        <v>4260</v>
      </c>
      <c r="K339" s="192" t="s">
        <v>1</v>
      </c>
      <c r="L339" s="192" t="s">
        <v>1</v>
      </c>
      <c r="M339" s="192">
        <v>2022</v>
      </c>
      <c r="O339" s="192" t="s">
        <v>1</v>
      </c>
      <c r="P339" s="192" t="s">
        <v>1</v>
      </c>
      <c r="Q339" s="192" t="s">
        <v>1</v>
      </c>
      <c r="R339" s="192" t="s">
        <v>1</v>
      </c>
      <c r="S339" s="192" t="s">
        <v>1</v>
      </c>
      <c r="T339" s="192" t="s">
        <v>1</v>
      </c>
      <c r="U339" s="192" t="s">
        <v>1</v>
      </c>
      <c r="V339" s="192" t="s">
        <v>1</v>
      </c>
      <c r="W339" s="192" t="s">
        <v>1</v>
      </c>
      <c r="X339" s="192" t="s">
        <v>1</v>
      </c>
      <c r="Y339" s="192" t="s">
        <v>1</v>
      </c>
      <c r="Z339" s="192" t="s">
        <v>1</v>
      </c>
      <c r="AA339" s="192" t="s">
        <v>1</v>
      </c>
      <c r="AB339" s="192" t="s">
        <v>6662</v>
      </c>
      <c r="AC339" s="192" t="s">
        <v>6670</v>
      </c>
      <c r="AD339" s="192" t="s">
        <v>6670</v>
      </c>
      <c r="AE339" s="25" t="s">
        <v>5066</v>
      </c>
      <c r="AF339" s="71"/>
      <c r="AG339" s="66"/>
    </row>
    <row r="340" spans="1:34" x14ac:dyDescent="0.15">
      <c r="A340" s="192"/>
      <c r="B340" s="192" t="s">
        <v>2605</v>
      </c>
      <c r="C340" s="201" t="s">
        <v>1693</v>
      </c>
      <c r="D340" s="194">
        <v>20</v>
      </c>
      <c r="E340" s="192" t="s">
        <v>278</v>
      </c>
      <c r="F340" s="194">
        <v>1.7</v>
      </c>
      <c r="G340" s="194"/>
      <c r="H340" s="202">
        <v>44852</v>
      </c>
      <c r="I340" s="192" t="s">
        <v>2604</v>
      </c>
      <c r="J340" s="192"/>
      <c r="K340" s="192" t="s">
        <v>2050</v>
      </c>
      <c r="L340" s="192" t="s">
        <v>2576</v>
      </c>
      <c r="M340" s="192">
        <v>2021</v>
      </c>
      <c r="N340" s="192"/>
      <c r="O340" s="192" t="s">
        <v>2603</v>
      </c>
      <c r="P340" s="195" t="s">
        <v>1</v>
      </c>
      <c r="Q340" s="195" t="s">
        <v>1</v>
      </c>
      <c r="R340" s="195" t="s">
        <v>1</v>
      </c>
      <c r="S340" s="195" t="s">
        <v>1</v>
      </c>
      <c r="T340" s="195" t="s">
        <v>1</v>
      </c>
      <c r="U340" s="195" t="s">
        <v>1</v>
      </c>
      <c r="V340" s="195" t="s">
        <v>1</v>
      </c>
      <c r="W340" s="195" t="s">
        <v>1</v>
      </c>
      <c r="X340" s="195" t="s">
        <v>1</v>
      </c>
      <c r="Y340" s="195" t="s">
        <v>1</v>
      </c>
      <c r="Z340" s="195" t="s">
        <v>1</v>
      </c>
      <c r="AA340" s="195" t="s">
        <v>1</v>
      </c>
      <c r="AB340" s="192" t="s">
        <v>2602</v>
      </c>
      <c r="AC340" s="192"/>
      <c r="AD340" s="192"/>
      <c r="AE340" s="192"/>
      <c r="AH340" s="192"/>
    </row>
    <row r="341" spans="1:34" x14ac:dyDescent="0.15">
      <c r="A341" s="192"/>
      <c r="B341" s="192" t="s">
        <v>2031</v>
      </c>
      <c r="C341" s="201" t="s">
        <v>1693</v>
      </c>
      <c r="D341" s="194">
        <v>20</v>
      </c>
      <c r="E341" s="192" t="s">
        <v>1</v>
      </c>
      <c r="F341" s="194" t="s">
        <v>1</v>
      </c>
      <c r="G341" s="194" t="s">
        <v>1</v>
      </c>
      <c r="H341" s="194" t="s">
        <v>1</v>
      </c>
      <c r="I341" s="192" t="s">
        <v>6779</v>
      </c>
      <c r="J341" s="192" t="s">
        <v>6776</v>
      </c>
      <c r="K341" s="192" t="s">
        <v>2050</v>
      </c>
      <c r="L341" s="192" t="s">
        <v>2637</v>
      </c>
      <c r="M341" s="192">
        <v>2016</v>
      </c>
      <c r="N341" s="192"/>
      <c r="O341" s="192" t="s">
        <v>1</v>
      </c>
      <c r="P341" s="192" t="s">
        <v>1</v>
      </c>
      <c r="Q341" s="192" t="s">
        <v>1</v>
      </c>
      <c r="R341" s="192" t="s">
        <v>1</v>
      </c>
      <c r="S341" s="192" t="s">
        <v>1</v>
      </c>
      <c r="T341" s="192" t="s">
        <v>1</v>
      </c>
      <c r="U341" s="192" t="s">
        <v>1</v>
      </c>
      <c r="V341" s="192" t="s">
        <v>1</v>
      </c>
      <c r="W341" s="192" t="s">
        <v>1</v>
      </c>
      <c r="X341" s="192" t="s">
        <v>1</v>
      </c>
      <c r="Y341" s="192" t="s">
        <v>1</v>
      </c>
      <c r="Z341" s="192" t="s">
        <v>1</v>
      </c>
      <c r="AA341" s="192" t="s">
        <v>1</v>
      </c>
      <c r="AB341" s="192" t="s">
        <v>6662</v>
      </c>
      <c r="AC341" s="192" t="s">
        <v>6665</v>
      </c>
      <c r="AD341" s="192" t="s">
        <v>6777</v>
      </c>
      <c r="AE341" s="25" t="s">
        <v>6778</v>
      </c>
      <c r="AH341" s="192"/>
    </row>
    <row r="342" spans="1:34" x14ac:dyDescent="0.15">
      <c r="A342" s="192"/>
      <c r="B342" s="192" t="s">
        <v>2029</v>
      </c>
      <c r="C342" s="201" t="s">
        <v>1693</v>
      </c>
      <c r="D342" s="194">
        <v>20</v>
      </c>
      <c r="E342" s="194" t="s">
        <v>1</v>
      </c>
      <c r="F342" s="194" t="s">
        <v>1</v>
      </c>
      <c r="G342" s="194" t="s">
        <v>1</v>
      </c>
      <c r="H342" s="194" t="s">
        <v>1</v>
      </c>
      <c r="I342" s="192" t="s">
        <v>6781</v>
      </c>
      <c r="J342" s="192" t="s">
        <v>6784</v>
      </c>
      <c r="K342" s="192" t="s">
        <v>2050</v>
      </c>
      <c r="L342" s="192" t="s">
        <v>6782</v>
      </c>
      <c r="M342" s="192">
        <v>2021</v>
      </c>
      <c r="N342" s="192"/>
      <c r="O342" s="192" t="s">
        <v>1</v>
      </c>
      <c r="P342" s="192" t="s">
        <v>1</v>
      </c>
      <c r="Q342" s="192" t="s">
        <v>1</v>
      </c>
      <c r="R342" s="192" t="s">
        <v>1</v>
      </c>
      <c r="S342" s="192" t="s">
        <v>1</v>
      </c>
      <c r="T342" s="192" t="s">
        <v>1</v>
      </c>
      <c r="U342" s="192" t="s">
        <v>1</v>
      </c>
      <c r="V342" s="192" t="s">
        <v>1</v>
      </c>
      <c r="W342" s="192" t="s">
        <v>1</v>
      </c>
      <c r="X342" s="192" t="s">
        <v>1</v>
      </c>
      <c r="Y342" s="192" t="s">
        <v>1</v>
      </c>
      <c r="Z342" s="192" t="s">
        <v>1</v>
      </c>
      <c r="AA342" s="192" t="s">
        <v>1</v>
      </c>
      <c r="AB342" s="192" t="s">
        <v>6662</v>
      </c>
      <c r="AC342" s="192" t="s">
        <v>6665</v>
      </c>
      <c r="AD342" s="192" t="s">
        <v>6672</v>
      </c>
      <c r="AE342" s="25" t="s">
        <v>6783</v>
      </c>
      <c r="AH342" s="192"/>
    </row>
    <row r="343" spans="1:34" x14ac:dyDescent="0.15">
      <c r="B343" s="80" t="s">
        <v>2010</v>
      </c>
      <c r="C343" s="257" t="s">
        <v>1693</v>
      </c>
      <c r="D343" s="258">
        <v>20</v>
      </c>
      <c r="E343" s="258" t="s">
        <v>4</v>
      </c>
      <c r="F343" s="258" t="s">
        <v>1</v>
      </c>
      <c r="G343" s="258" t="s">
        <v>1</v>
      </c>
      <c r="H343" s="86">
        <v>42744</v>
      </c>
      <c r="I343" s="258" t="s">
        <v>7664</v>
      </c>
      <c r="J343" s="258" t="s">
        <v>7666</v>
      </c>
      <c r="K343" s="258" t="s">
        <v>2050</v>
      </c>
      <c r="L343" s="258" t="s">
        <v>2149</v>
      </c>
      <c r="M343" s="80">
        <v>2011</v>
      </c>
      <c r="O343" s="258" t="s">
        <v>1</v>
      </c>
      <c r="P343" s="258" t="s">
        <v>1</v>
      </c>
      <c r="Q343" s="258" t="s">
        <v>1</v>
      </c>
      <c r="R343" s="258" t="s">
        <v>1</v>
      </c>
      <c r="S343" s="258" t="s">
        <v>1</v>
      </c>
      <c r="T343" s="258" t="s">
        <v>1</v>
      </c>
      <c r="U343" s="258" t="s">
        <v>1</v>
      </c>
      <c r="V343" s="258" t="s">
        <v>1</v>
      </c>
      <c r="W343" s="258" t="s">
        <v>1</v>
      </c>
      <c r="X343" s="258" t="s">
        <v>1</v>
      </c>
      <c r="Y343" s="258" t="s">
        <v>1</v>
      </c>
      <c r="Z343" s="258" t="s">
        <v>1</v>
      </c>
      <c r="AA343" s="258" t="s">
        <v>1</v>
      </c>
      <c r="AB343" s="181" t="s">
        <v>6662</v>
      </c>
      <c r="AC343" s="181" t="s">
        <v>6665</v>
      </c>
      <c r="AD343" s="258" t="s">
        <v>6673</v>
      </c>
      <c r="AE343" s="25" t="s">
        <v>7665</v>
      </c>
      <c r="AF343" s="80"/>
      <c r="AG343" s="80"/>
    </row>
    <row r="344" spans="1:34" x14ac:dyDescent="0.15">
      <c r="A344" s="192"/>
      <c r="B344" s="192" t="s">
        <v>122</v>
      </c>
      <c r="C344" s="201" t="s">
        <v>1693</v>
      </c>
      <c r="D344" s="194">
        <v>10</v>
      </c>
      <c r="E344" s="192" t="s">
        <v>4</v>
      </c>
      <c r="F344" s="194">
        <v>2</v>
      </c>
      <c r="G344" s="194"/>
      <c r="H344" s="202">
        <v>44658</v>
      </c>
      <c r="I344" s="192" t="s">
        <v>2601</v>
      </c>
      <c r="J344" s="192" t="s">
        <v>2600</v>
      </c>
      <c r="K344" s="192" t="s">
        <v>2050</v>
      </c>
      <c r="L344" s="192" t="s">
        <v>2531</v>
      </c>
      <c r="M344" s="192">
        <v>2019</v>
      </c>
      <c r="N344" s="192"/>
      <c r="O344" s="192" t="s">
        <v>2599</v>
      </c>
      <c r="P344" s="195" t="s">
        <v>4</v>
      </c>
      <c r="Q344" s="195">
        <v>4.5</v>
      </c>
      <c r="R344" s="195" t="s">
        <v>2598</v>
      </c>
      <c r="S344" s="195" t="s">
        <v>4</v>
      </c>
      <c r="T344" s="195">
        <v>0.35</v>
      </c>
      <c r="U344" s="195" t="s">
        <v>123</v>
      </c>
      <c r="V344" s="195" t="s">
        <v>1</v>
      </c>
      <c r="W344" s="195" t="s">
        <v>1</v>
      </c>
      <c r="X344" s="195" t="s">
        <v>1</v>
      </c>
      <c r="Y344" s="195" t="s">
        <v>1</v>
      </c>
      <c r="Z344" s="195" t="s">
        <v>1</v>
      </c>
      <c r="AA344" s="195" t="s">
        <v>1</v>
      </c>
      <c r="AB344" s="192" t="s">
        <v>6662</v>
      </c>
      <c r="AC344" s="192" t="s">
        <v>6665</v>
      </c>
      <c r="AD344" s="192" t="s">
        <v>6708</v>
      </c>
      <c r="AE344" s="25" t="s">
        <v>4507</v>
      </c>
      <c r="AF344" s="71"/>
      <c r="AG344" s="66"/>
      <c r="AH344" s="192"/>
    </row>
    <row r="345" spans="1:34" x14ac:dyDescent="0.15">
      <c r="A345" s="192"/>
      <c r="B345" s="192" t="s">
        <v>2597</v>
      </c>
      <c r="C345" s="201" t="s">
        <v>1693</v>
      </c>
      <c r="D345" s="194">
        <v>10</v>
      </c>
      <c r="E345" s="192" t="s">
        <v>4</v>
      </c>
      <c r="F345" s="194">
        <v>3</v>
      </c>
      <c r="G345" s="194"/>
      <c r="H345" s="202">
        <v>44348</v>
      </c>
      <c r="I345" s="192" t="s">
        <v>2596</v>
      </c>
      <c r="J345" s="192"/>
      <c r="K345" s="192" t="s">
        <v>2315</v>
      </c>
      <c r="L345" s="192" t="s">
        <v>2067</v>
      </c>
      <c r="M345" s="207">
        <v>44166</v>
      </c>
      <c r="N345" s="192"/>
      <c r="O345" s="192" t="s">
        <v>2595</v>
      </c>
      <c r="P345" s="195" t="s">
        <v>278</v>
      </c>
      <c r="Q345" s="195">
        <v>0.5</v>
      </c>
      <c r="R345" s="195" t="s">
        <v>1</v>
      </c>
      <c r="S345" s="195" t="s">
        <v>1</v>
      </c>
      <c r="T345" s="195" t="s">
        <v>1</v>
      </c>
      <c r="U345" s="195" t="s">
        <v>1</v>
      </c>
      <c r="V345" s="195" t="s">
        <v>1</v>
      </c>
      <c r="W345" s="195" t="s">
        <v>1</v>
      </c>
      <c r="X345" s="195" t="s">
        <v>1</v>
      </c>
      <c r="Y345" s="195" t="s">
        <v>1</v>
      </c>
      <c r="Z345" s="195" t="s">
        <v>1</v>
      </c>
      <c r="AA345" s="195" t="s">
        <v>1</v>
      </c>
      <c r="AB345" s="192" t="s">
        <v>6707</v>
      </c>
      <c r="AC345" s="192"/>
      <c r="AD345" s="192" t="s">
        <v>6706</v>
      </c>
      <c r="AE345" s="192"/>
      <c r="AH345" s="192"/>
    </row>
    <row r="346" spans="1:34" x14ac:dyDescent="0.15">
      <c r="B346" s="80" t="s">
        <v>2016</v>
      </c>
      <c r="C346" s="257" t="s">
        <v>1693</v>
      </c>
      <c r="D346" s="80">
        <v>10</v>
      </c>
      <c r="E346" s="258" t="s">
        <v>4</v>
      </c>
      <c r="F346" s="95">
        <v>0.97</v>
      </c>
      <c r="G346" s="268">
        <f>F346</f>
        <v>0.97</v>
      </c>
      <c r="H346" s="86">
        <v>44068</v>
      </c>
      <c r="I346" s="258" t="s">
        <v>2857</v>
      </c>
      <c r="J346" s="258" t="s">
        <v>7489</v>
      </c>
      <c r="K346" s="258" t="s">
        <v>2050</v>
      </c>
      <c r="L346" s="258" t="s">
        <v>2061</v>
      </c>
      <c r="M346" s="86">
        <v>43219</v>
      </c>
      <c r="N346" s="258"/>
      <c r="O346" s="258" t="s">
        <v>7490</v>
      </c>
      <c r="P346" s="258" t="s">
        <v>4</v>
      </c>
      <c r="Q346" s="258" t="s">
        <v>1</v>
      </c>
      <c r="R346" s="258" t="s">
        <v>775</v>
      </c>
      <c r="S346" s="258" t="s">
        <v>1</v>
      </c>
      <c r="T346" s="258" t="s">
        <v>1</v>
      </c>
      <c r="U346" s="258" t="s">
        <v>1</v>
      </c>
      <c r="V346" s="258" t="s">
        <v>1</v>
      </c>
      <c r="W346" s="258" t="s">
        <v>1</v>
      </c>
      <c r="X346" s="258" t="s">
        <v>1</v>
      </c>
      <c r="Y346" s="258" t="s">
        <v>1</v>
      </c>
      <c r="Z346" s="258" t="s">
        <v>1</v>
      </c>
      <c r="AA346" s="258" t="s">
        <v>1</v>
      </c>
      <c r="AB346" s="181" t="s">
        <v>6662</v>
      </c>
      <c r="AC346" s="181" t="s">
        <v>6665</v>
      </c>
      <c r="AD346" s="258" t="s">
        <v>6672</v>
      </c>
      <c r="AE346" s="258" t="s">
        <v>7491</v>
      </c>
      <c r="AF346" s="80"/>
      <c r="AG346" s="80"/>
    </row>
    <row r="347" spans="1:34" x14ac:dyDescent="0.15">
      <c r="A347" s="192"/>
      <c r="B347" s="192" t="s">
        <v>2594</v>
      </c>
      <c r="C347" s="201" t="s">
        <v>1693</v>
      </c>
      <c r="D347" s="194">
        <v>4</v>
      </c>
      <c r="E347" s="192" t="s">
        <v>4</v>
      </c>
      <c r="F347" s="194">
        <v>0.21</v>
      </c>
      <c r="G347" s="194"/>
      <c r="H347" s="202">
        <v>44682</v>
      </c>
      <c r="I347" s="192" t="s">
        <v>2593</v>
      </c>
      <c r="J347" s="192" t="s">
        <v>2592</v>
      </c>
      <c r="K347" s="192" t="s">
        <v>2315</v>
      </c>
      <c r="L347" s="192" t="s">
        <v>2586</v>
      </c>
      <c r="M347" s="192">
        <v>2021</v>
      </c>
      <c r="N347" s="192"/>
      <c r="O347" s="192" t="s">
        <v>2591</v>
      </c>
      <c r="P347" s="195" t="s">
        <v>1</v>
      </c>
      <c r="Q347" s="195" t="s">
        <v>1</v>
      </c>
      <c r="R347" s="195" t="s">
        <v>1</v>
      </c>
      <c r="S347" s="195" t="s">
        <v>1</v>
      </c>
      <c r="T347" s="195" t="s">
        <v>1</v>
      </c>
      <c r="U347" s="195" t="s">
        <v>1</v>
      </c>
      <c r="V347" s="195" t="s">
        <v>1</v>
      </c>
      <c r="W347" s="195" t="s">
        <v>1</v>
      </c>
      <c r="X347" s="195" t="s">
        <v>1</v>
      </c>
      <c r="Y347" s="195" t="s">
        <v>1</v>
      </c>
      <c r="Z347" s="195" t="s">
        <v>1</v>
      </c>
      <c r="AA347" s="195" t="s">
        <v>1</v>
      </c>
      <c r="AB347" s="192" t="s">
        <v>2602</v>
      </c>
      <c r="AC347" s="192"/>
      <c r="AD347" s="192" t="s">
        <v>6705</v>
      </c>
      <c r="AE347" s="192"/>
      <c r="AH347" s="192"/>
    </row>
    <row r="348" spans="1:34" x14ac:dyDescent="0.15">
      <c r="A348" s="192"/>
      <c r="B348" s="192" t="s">
        <v>2590</v>
      </c>
      <c r="C348" s="201" t="s">
        <v>1693</v>
      </c>
      <c r="D348" s="194">
        <v>0.5</v>
      </c>
      <c r="E348" s="192" t="s">
        <v>278</v>
      </c>
      <c r="F348" s="194">
        <v>0.5</v>
      </c>
      <c r="G348" s="194"/>
      <c r="H348" s="202">
        <v>43173</v>
      </c>
      <c r="I348" s="192" t="s">
        <v>2153</v>
      </c>
      <c r="J348" s="192" t="s">
        <v>1</v>
      </c>
      <c r="K348" s="192" t="s">
        <v>1</v>
      </c>
      <c r="L348" s="192" t="s">
        <v>1</v>
      </c>
      <c r="M348" s="193" t="s">
        <v>1</v>
      </c>
      <c r="N348" s="192"/>
      <c r="O348" s="192" t="s">
        <v>2589</v>
      </c>
      <c r="P348" s="195" t="s">
        <v>1</v>
      </c>
      <c r="Q348" s="195" t="s">
        <v>1</v>
      </c>
      <c r="R348" s="195" t="s">
        <v>1</v>
      </c>
      <c r="S348" s="195" t="s">
        <v>1</v>
      </c>
      <c r="T348" s="195" t="s">
        <v>1</v>
      </c>
      <c r="U348" s="195" t="s">
        <v>1</v>
      </c>
      <c r="V348" s="195" t="s">
        <v>1</v>
      </c>
      <c r="W348" s="195" t="s">
        <v>1</v>
      </c>
      <c r="X348" s="195" t="s">
        <v>1</v>
      </c>
      <c r="Y348" s="195" t="s">
        <v>1</v>
      </c>
      <c r="Z348" s="195" t="s">
        <v>1</v>
      </c>
      <c r="AA348" s="195" t="s">
        <v>1</v>
      </c>
      <c r="AB348" s="192" t="s">
        <v>2588</v>
      </c>
      <c r="AC348" s="192"/>
      <c r="AD348" s="192"/>
      <c r="AE348" s="192"/>
      <c r="AH348" s="192"/>
    </row>
    <row r="349" spans="1:34" x14ac:dyDescent="0.15">
      <c r="B349" s="80" t="s">
        <v>2581</v>
      </c>
      <c r="C349" s="81" t="s">
        <v>1693</v>
      </c>
      <c r="D349" s="82" t="s">
        <v>1</v>
      </c>
      <c r="E349" s="82" t="s">
        <v>1</v>
      </c>
      <c r="F349" s="82" t="s">
        <v>1</v>
      </c>
      <c r="H349" s="82" t="s">
        <v>1</v>
      </c>
      <c r="K349" s="80" t="s">
        <v>2315</v>
      </c>
      <c r="L349" s="80" t="s">
        <v>2568</v>
      </c>
      <c r="M349" s="80">
        <v>2023</v>
      </c>
      <c r="O349" s="80" t="s">
        <v>1</v>
      </c>
      <c r="P349" s="80" t="s">
        <v>1</v>
      </c>
      <c r="Q349" s="80" t="s">
        <v>1</v>
      </c>
      <c r="R349" s="80" t="s">
        <v>1</v>
      </c>
      <c r="S349" s="80" t="s">
        <v>1</v>
      </c>
      <c r="T349" s="80" t="s">
        <v>1</v>
      </c>
      <c r="U349" s="80" t="s">
        <v>1</v>
      </c>
      <c r="V349" s="80" t="s">
        <v>1</v>
      </c>
      <c r="W349" s="80" t="s">
        <v>1</v>
      </c>
      <c r="X349" s="80" t="s">
        <v>1</v>
      </c>
      <c r="Y349" s="80" t="s">
        <v>1</v>
      </c>
      <c r="Z349" s="80" t="s">
        <v>1</v>
      </c>
      <c r="AA349" s="80" t="s">
        <v>1</v>
      </c>
    </row>
    <row r="350" spans="1:34" x14ac:dyDescent="0.15">
      <c r="B350" s="80" t="s">
        <v>2578</v>
      </c>
      <c r="C350" s="81" t="s">
        <v>1693</v>
      </c>
      <c r="D350" s="82" t="s">
        <v>1</v>
      </c>
      <c r="E350" s="82" t="s">
        <v>1</v>
      </c>
      <c r="F350" s="82" t="s">
        <v>1</v>
      </c>
      <c r="H350" s="82" t="s">
        <v>1</v>
      </c>
      <c r="I350" s="80" t="s">
        <v>2577</v>
      </c>
      <c r="K350" s="80" t="s">
        <v>2315</v>
      </c>
      <c r="L350" s="80" t="s">
        <v>2576</v>
      </c>
      <c r="M350" s="80">
        <v>2023</v>
      </c>
      <c r="O350" s="80" t="s">
        <v>1</v>
      </c>
      <c r="P350" s="80" t="s">
        <v>1</v>
      </c>
      <c r="Q350" s="80" t="s">
        <v>1</v>
      </c>
      <c r="R350" s="80" t="s">
        <v>1</v>
      </c>
      <c r="S350" s="80" t="s">
        <v>1</v>
      </c>
      <c r="T350" s="80" t="s">
        <v>1</v>
      </c>
      <c r="U350" s="80" t="s">
        <v>1</v>
      </c>
      <c r="V350" s="80" t="s">
        <v>1</v>
      </c>
      <c r="W350" s="80" t="s">
        <v>1</v>
      </c>
      <c r="X350" s="80" t="s">
        <v>1</v>
      </c>
      <c r="Y350" s="80" t="s">
        <v>1</v>
      </c>
      <c r="Z350" s="80" t="s">
        <v>1</v>
      </c>
      <c r="AA350" s="80" t="s">
        <v>1</v>
      </c>
      <c r="AB350" s="80" t="s">
        <v>1</v>
      </c>
    </row>
    <row r="351" spans="1:34" x14ac:dyDescent="0.15">
      <c r="B351" s="80" t="s">
        <v>2572</v>
      </c>
      <c r="C351" s="81" t="s">
        <v>1693</v>
      </c>
      <c r="D351" s="82" t="s">
        <v>1</v>
      </c>
      <c r="E351" s="82" t="s">
        <v>1</v>
      </c>
      <c r="F351" s="82" t="s">
        <v>1</v>
      </c>
      <c r="H351" s="82" t="s">
        <v>1</v>
      </c>
      <c r="I351" s="80" t="s">
        <v>2571</v>
      </c>
      <c r="K351" s="80" t="s">
        <v>2050</v>
      </c>
      <c r="L351" s="80" t="s">
        <v>2553</v>
      </c>
      <c r="M351" s="83" t="s">
        <v>1</v>
      </c>
      <c r="O351" s="84" t="s">
        <v>1</v>
      </c>
      <c r="P351" s="84" t="s">
        <v>1</v>
      </c>
      <c r="Q351" s="84" t="s">
        <v>1</v>
      </c>
      <c r="R351" s="84" t="s">
        <v>1</v>
      </c>
      <c r="S351" s="84" t="s">
        <v>1</v>
      </c>
      <c r="T351" s="84" t="s">
        <v>1</v>
      </c>
      <c r="U351" s="84" t="s">
        <v>1</v>
      </c>
      <c r="V351" s="84" t="s">
        <v>1</v>
      </c>
      <c r="W351" s="84" t="s">
        <v>1</v>
      </c>
      <c r="X351" s="84" t="s">
        <v>1</v>
      </c>
      <c r="Y351" s="84" t="s">
        <v>1</v>
      </c>
      <c r="Z351" s="84" t="s">
        <v>1</v>
      </c>
      <c r="AA351" s="84" t="s">
        <v>1</v>
      </c>
      <c r="AB351" s="84" t="s">
        <v>1</v>
      </c>
      <c r="AC351" s="84"/>
      <c r="AD351" s="84"/>
    </row>
    <row r="352" spans="1:34" x14ac:dyDescent="0.15">
      <c r="B352" s="80" t="s">
        <v>2567</v>
      </c>
      <c r="C352" s="81" t="s">
        <v>1693</v>
      </c>
      <c r="D352" s="82" t="s">
        <v>1</v>
      </c>
      <c r="E352" s="82" t="s">
        <v>1</v>
      </c>
      <c r="F352" s="82" t="s">
        <v>1</v>
      </c>
      <c r="H352" s="82" t="s">
        <v>1</v>
      </c>
      <c r="K352" s="80" t="s">
        <v>2566</v>
      </c>
      <c r="L352" s="80" t="s">
        <v>2566</v>
      </c>
      <c r="M352" s="82" t="s">
        <v>1</v>
      </c>
      <c r="O352" s="88" t="s">
        <v>1</v>
      </c>
      <c r="P352" s="88" t="s">
        <v>1</v>
      </c>
      <c r="Q352" s="88" t="s">
        <v>1</v>
      </c>
      <c r="R352" s="88" t="s">
        <v>1</v>
      </c>
      <c r="S352" s="88" t="s">
        <v>1</v>
      </c>
      <c r="T352" s="88" t="s">
        <v>1</v>
      </c>
      <c r="U352" s="88" t="s">
        <v>1</v>
      </c>
      <c r="V352" s="88" t="s">
        <v>1</v>
      </c>
      <c r="W352" s="88" t="s">
        <v>1</v>
      </c>
      <c r="X352" s="88" t="s">
        <v>1</v>
      </c>
      <c r="Y352" s="88" t="s">
        <v>1</v>
      </c>
      <c r="Z352" s="88" t="s">
        <v>1</v>
      </c>
      <c r="AA352" s="88" t="s">
        <v>1</v>
      </c>
      <c r="AB352" s="88" t="s">
        <v>1</v>
      </c>
      <c r="AC352" s="88"/>
      <c r="AD352" s="88"/>
      <c r="AE352" s="82"/>
      <c r="AF352" s="74"/>
      <c r="AG352" s="68"/>
    </row>
    <row r="353" spans="2:33" x14ac:dyDescent="0.15">
      <c r="B353" s="80" t="s">
        <v>2565</v>
      </c>
      <c r="C353" s="81" t="s">
        <v>1693</v>
      </c>
      <c r="D353" s="82" t="s">
        <v>1</v>
      </c>
      <c r="E353" s="82" t="s">
        <v>1</v>
      </c>
      <c r="F353" s="82" t="s">
        <v>1</v>
      </c>
      <c r="H353" s="82" t="s">
        <v>1</v>
      </c>
      <c r="I353" s="80" t="s">
        <v>2564</v>
      </c>
      <c r="K353" s="80" t="s">
        <v>2315</v>
      </c>
      <c r="L353" s="80" t="s">
        <v>2563</v>
      </c>
      <c r="M353" s="83" t="s">
        <v>1</v>
      </c>
      <c r="O353" s="88" t="s">
        <v>1</v>
      </c>
      <c r="P353" s="88" t="s">
        <v>1</v>
      </c>
      <c r="Q353" s="88" t="s">
        <v>1</v>
      </c>
      <c r="R353" s="88" t="s">
        <v>1</v>
      </c>
      <c r="S353" s="88" t="s">
        <v>1</v>
      </c>
      <c r="T353" s="88" t="s">
        <v>1</v>
      </c>
      <c r="U353" s="88" t="s">
        <v>1</v>
      </c>
      <c r="V353" s="88" t="s">
        <v>1</v>
      </c>
      <c r="W353" s="88" t="s">
        <v>1</v>
      </c>
      <c r="X353" s="88" t="s">
        <v>1</v>
      </c>
      <c r="Y353" s="88" t="s">
        <v>1</v>
      </c>
      <c r="Z353" s="88" t="s">
        <v>1</v>
      </c>
      <c r="AA353" s="88" t="s">
        <v>1</v>
      </c>
      <c r="AB353" s="88" t="s">
        <v>1</v>
      </c>
      <c r="AC353" s="88"/>
      <c r="AD353" s="88"/>
    </row>
    <row r="354" spans="2:33" x14ac:dyDescent="0.15">
      <c r="B354" s="80" t="s">
        <v>2560</v>
      </c>
      <c r="C354" s="81" t="s">
        <v>1693</v>
      </c>
      <c r="D354" s="82" t="s">
        <v>1</v>
      </c>
      <c r="E354" s="82" t="s">
        <v>1</v>
      </c>
      <c r="F354" s="82" t="s">
        <v>1</v>
      </c>
      <c r="H354" s="82" t="s">
        <v>1</v>
      </c>
      <c r="I354" s="80" t="s">
        <v>2474</v>
      </c>
      <c r="K354" s="80" t="s">
        <v>2315</v>
      </c>
      <c r="L354" s="80" t="s">
        <v>2474</v>
      </c>
      <c r="M354" s="80">
        <v>2021</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181" t="s">
        <v>6662</v>
      </c>
      <c r="AC354" s="181" t="s">
        <v>6665</v>
      </c>
      <c r="AD354" s="181" t="s">
        <v>6672</v>
      </c>
    </row>
    <row r="355" spans="2:33" x14ac:dyDescent="0.15">
      <c r="B355" s="80" t="s">
        <v>2559</v>
      </c>
      <c r="C355" s="81" t="s">
        <v>1693</v>
      </c>
      <c r="D355" s="82" t="s">
        <v>1</v>
      </c>
      <c r="E355" s="82" t="s">
        <v>1</v>
      </c>
      <c r="F355" s="82" t="s">
        <v>1</v>
      </c>
      <c r="H355" s="82" t="s">
        <v>1</v>
      </c>
      <c r="I355" s="80" t="s">
        <v>2558</v>
      </c>
      <c r="K355" s="80" t="s">
        <v>2315</v>
      </c>
      <c r="L355" s="80" t="s">
        <v>2474</v>
      </c>
      <c r="M355" s="80">
        <v>2022</v>
      </c>
      <c r="O355" s="88" t="s">
        <v>1</v>
      </c>
      <c r="P355" s="88" t="s">
        <v>1</v>
      </c>
      <c r="Q355" s="88" t="s">
        <v>1</v>
      </c>
      <c r="R355" s="88" t="s">
        <v>1</v>
      </c>
      <c r="S355" s="88" t="s">
        <v>1</v>
      </c>
      <c r="T355" s="88" t="s">
        <v>1</v>
      </c>
      <c r="U355" s="88" t="s">
        <v>1</v>
      </c>
      <c r="V355" s="88" t="s">
        <v>1</v>
      </c>
      <c r="W355" s="88" t="s">
        <v>1</v>
      </c>
      <c r="X355" s="88" t="s">
        <v>1</v>
      </c>
      <c r="Y355" s="88" t="s">
        <v>1</v>
      </c>
      <c r="Z355" s="88" t="s">
        <v>1</v>
      </c>
      <c r="AA355" s="88" t="s">
        <v>1</v>
      </c>
      <c r="AB355" s="88" t="s">
        <v>1</v>
      </c>
      <c r="AC355" s="88"/>
      <c r="AD355" s="88"/>
    </row>
    <row r="356" spans="2:33" x14ac:dyDescent="0.15">
      <c r="B356" s="80" t="s">
        <v>2557</v>
      </c>
      <c r="C356" s="81" t="s">
        <v>1693</v>
      </c>
      <c r="D356" s="82" t="s">
        <v>1</v>
      </c>
      <c r="E356" s="82" t="s">
        <v>1</v>
      </c>
      <c r="F356" s="82" t="s">
        <v>1</v>
      </c>
      <c r="H356" s="82" t="s">
        <v>1</v>
      </c>
      <c r="I356" s="80" t="s">
        <v>2556</v>
      </c>
      <c r="K356" s="80" t="s">
        <v>2315</v>
      </c>
      <c r="L356" s="80" t="s">
        <v>2474</v>
      </c>
      <c r="M356" s="83"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row>
    <row r="357" spans="2:33" x14ac:dyDescent="0.15">
      <c r="B357" s="80" t="s">
        <v>2555</v>
      </c>
      <c r="C357" s="81" t="s">
        <v>1693</v>
      </c>
      <c r="D357" s="82" t="s">
        <v>1</v>
      </c>
      <c r="E357" s="82" t="s">
        <v>1</v>
      </c>
      <c r="F357" s="82" t="s">
        <v>1</v>
      </c>
      <c r="H357" s="82" t="s">
        <v>1</v>
      </c>
      <c r="I357" s="80" t="s">
        <v>2554</v>
      </c>
      <c r="K357" s="80" t="s">
        <v>2315</v>
      </c>
      <c r="L357" s="80" t="s">
        <v>2553</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row>
    <row r="358" spans="2:33" x14ac:dyDescent="0.15">
      <c r="B358" s="80" t="s">
        <v>2546</v>
      </c>
      <c r="C358" s="81" t="s">
        <v>1693</v>
      </c>
      <c r="D358" s="82" t="s">
        <v>1</v>
      </c>
      <c r="E358" s="82" t="s">
        <v>1</v>
      </c>
      <c r="F358" s="82" t="s">
        <v>1</v>
      </c>
      <c r="H358" s="82" t="s">
        <v>1</v>
      </c>
      <c r="I358" s="80" t="s">
        <v>2545</v>
      </c>
      <c r="J358" s="80" t="s">
        <v>2544</v>
      </c>
      <c r="K358" s="80" t="s">
        <v>2050</v>
      </c>
      <c r="L358" s="80" t="s">
        <v>2543</v>
      </c>
      <c r="M358" s="80">
        <v>2018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181" t="s">
        <v>6662</v>
      </c>
      <c r="AC358" s="181" t="s">
        <v>6665</v>
      </c>
      <c r="AD358" s="181" t="s">
        <v>6701</v>
      </c>
      <c r="AE358" s="25" t="s">
        <v>2542</v>
      </c>
      <c r="AF358" s="71"/>
      <c r="AG358" s="66"/>
    </row>
    <row r="359" spans="2:33" x14ac:dyDescent="0.15">
      <c r="B359" s="80" t="s">
        <v>2541</v>
      </c>
      <c r="C359" s="81" t="s">
        <v>1693</v>
      </c>
      <c r="D359" s="82" t="s">
        <v>1</v>
      </c>
      <c r="E359" s="82" t="s">
        <v>1</v>
      </c>
      <c r="F359" s="82" t="s">
        <v>1</v>
      </c>
      <c r="H359" s="82" t="s">
        <v>1</v>
      </c>
      <c r="I359" s="80" t="s">
        <v>2540</v>
      </c>
      <c r="K359" s="80" t="s">
        <v>2315</v>
      </c>
      <c r="L359" s="80" t="s">
        <v>2396</v>
      </c>
      <c r="M359" s="80">
        <v>2023</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row>
    <row r="360" spans="2:33" x14ac:dyDescent="0.15">
      <c r="B360" s="80" t="s">
        <v>2537</v>
      </c>
      <c r="C360" s="81" t="s">
        <v>1693</v>
      </c>
      <c r="D360" s="82" t="s">
        <v>1</v>
      </c>
      <c r="E360" s="82" t="s">
        <v>1</v>
      </c>
      <c r="F360" s="82" t="s">
        <v>1</v>
      </c>
      <c r="H360" s="82" t="s">
        <v>1</v>
      </c>
      <c r="I360" s="80" t="s">
        <v>2536</v>
      </c>
      <c r="J360" s="80" t="s">
        <v>2535</v>
      </c>
      <c r="K360" s="80" t="s">
        <v>2050</v>
      </c>
      <c r="L360" s="80" t="s">
        <v>2534</v>
      </c>
      <c r="M360" s="80">
        <v>2022</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181" t="s">
        <v>6662</v>
      </c>
      <c r="AC360" s="181" t="s">
        <v>6702</v>
      </c>
      <c r="AD360" s="181" t="s">
        <v>6703</v>
      </c>
    </row>
    <row r="361" spans="2:33" x14ac:dyDescent="0.15">
      <c r="B361" s="80" t="s">
        <v>2533</v>
      </c>
      <c r="C361" s="81" t="s">
        <v>1693</v>
      </c>
      <c r="D361" s="82" t="s">
        <v>1</v>
      </c>
      <c r="E361" s="82" t="s">
        <v>1</v>
      </c>
      <c r="F361" s="82" t="s">
        <v>1</v>
      </c>
      <c r="H361" s="82" t="s">
        <v>1</v>
      </c>
      <c r="I361" s="80" t="s">
        <v>2532</v>
      </c>
      <c r="K361" s="80" t="s">
        <v>2315</v>
      </c>
      <c r="L361" s="80" t="s">
        <v>2531</v>
      </c>
      <c r="M361" s="80">
        <v>2021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6687</v>
      </c>
      <c r="AD361" s="181" t="s">
        <v>6704</v>
      </c>
      <c r="AE361" s="25" t="s">
        <v>2530</v>
      </c>
      <c r="AF361" s="71"/>
      <c r="AG361" s="66"/>
    </row>
    <row r="362" spans="2:33" x14ac:dyDescent="0.15">
      <c r="B362" s="80" t="s">
        <v>2529</v>
      </c>
      <c r="C362" s="81" t="s">
        <v>1693</v>
      </c>
      <c r="D362" s="82" t="s">
        <v>1</v>
      </c>
      <c r="E362" s="82" t="s">
        <v>1</v>
      </c>
      <c r="F362" s="82" t="s">
        <v>1</v>
      </c>
      <c r="H362" s="82" t="s">
        <v>1</v>
      </c>
      <c r="I362" s="80" t="s">
        <v>2528</v>
      </c>
      <c r="J362" s="80" t="s">
        <v>1</v>
      </c>
      <c r="K362" s="80" t="s">
        <v>2050</v>
      </c>
      <c r="L362" s="80" t="s">
        <v>2528</v>
      </c>
      <c r="M362" s="83"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E362" s="25" t="s">
        <v>2527</v>
      </c>
      <c r="AF362" s="71"/>
      <c r="AG362" s="66"/>
    </row>
    <row r="363" spans="2:33" x14ac:dyDescent="0.15">
      <c r="B363" s="80" t="s">
        <v>2526</v>
      </c>
      <c r="C363" s="81" t="s">
        <v>1693</v>
      </c>
      <c r="D363" s="82" t="s">
        <v>1</v>
      </c>
      <c r="E363" s="82" t="s">
        <v>1</v>
      </c>
      <c r="F363" s="82" t="s">
        <v>1</v>
      </c>
      <c r="H363" s="82" t="s">
        <v>1</v>
      </c>
      <c r="I363" s="80" t="s">
        <v>2310</v>
      </c>
      <c r="K363" s="80" t="s">
        <v>2050</v>
      </c>
      <c r="L363" s="80" t="s">
        <v>2310</v>
      </c>
      <c r="M363" s="80">
        <v>2020</v>
      </c>
      <c r="N363" s="80" t="s">
        <v>2525</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2524</v>
      </c>
    </row>
    <row r="364" spans="2:33" x14ac:dyDescent="0.15">
      <c r="B364" s="80" t="s">
        <v>2274</v>
      </c>
      <c r="C364" s="81" t="s">
        <v>1693</v>
      </c>
      <c r="D364" s="82" t="s">
        <v>1</v>
      </c>
      <c r="E364" s="88" t="s">
        <v>4</v>
      </c>
      <c r="F364" s="82" t="s">
        <v>1</v>
      </c>
      <c r="H364" s="85">
        <v>44454</v>
      </c>
      <c r="J364" s="80" t="s">
        <v>2273</v>
      </c>
      <c r="K364" s="80" t="s">
        <v>2050</v>
      </c>
      <c r="L364" s="80" t="s">
        <v>2272</v>
      </c>
      <c r="M364" s="83" t="s">
        <v>1</v>
      </c>
      <c r="O364" s="80" t="s">
        <v>622</v>
      </c>
      <c r="P364" s="84" t="s">
        <v>1</v>
      </c>
      <c r="Q364" s="84" t="s">
        <v>1</v>
      </c>
      <c r="R364" s="84" t="s">
        <v>1</v>
      </c>
      <c r="S364" s="84" t="s">
        <v>1</v>
      </c>
      <c r="T364" s="84" t="s">
        <v>1</v>
      </c>
      <c r="U364" s="84" t="s">
        <v>1</v>
      </c>
      <c r="V364" s="84" t="s">
        <v>1</v>
      </c>
      <c r="W364" s="84" t="s">
        <v>1</v>
      </c>
      <c r="X364" s="84" t="s">
        <v>1</v>
      </c>
      <c r="Y364" s="84" t="s">
        <v>1</v>
      </c>
      <c r="Z364" s="84" t="s">
        <v>1</v>
      </c>
      <c r="AA364" s="84" t="s">
        <v>1</v>
      </c>
      <c r="AB364" s="181" t="s">
        <v>6662</v>
      </c>
      <c r="AC364" s="181" t="s">
        <v>6665</v>
      </c>
      <c r="AD364" s="181" t="s">
        <v>2369</v>
      </c>
    </row>
    <row r="365" spans="2:33" x14ac:dyDescent="0.15">
      <c r="B365" s="80" t="s">
        <v>2108</v>
      </c>
      <c r="C365" s="81" t="s">
        <v>1693</v>
      </c>
      <c r="D365" s="82" t="s">
        <v>1</v>
      </c>
      <c r="E365" s="80" t="s">
        <v>4</v>
      </c>
      <c r="F365" s="82" t="s">
        <v>1</v>
      </c>
      <c r="H365" s="82" t="s">
        <v>1</v>
      </c>
      <c r="I365" s="80" t="s">
        <v>5265</v>
      </c>
      <c r="J365" s="80" t="s">
        <v>5263</v>
      </c>
      <c r="K365" s="80" t="s">
        <v>2050</v>
      </c>
      <c r="L365" s="80" t="s">
        <v>2061</v>
      </c>
      <c r="M365" s="80">
        <v>2021</v>
      </c>
      <c r="O365" s="80" t="s">
        <v>2287</v>
      </c>
      <c r="P365" s="84" t="s">
        <v>1</v>
      </c>
      <c r="Q365" s="84" t="s">
        <v>1</v>
      </c>
      <c r="R365" s="84" t="s">
        <v>1</v>
      </c>
      <c r="S365" s="84" t="s">
        <v>1</v>
      </c>
      <c r="T365" s="84" t="s">
        <v>1</v>
      </c>
      <c r="U365" s="84" t="s">
        <v>1</v>
      </c>
      <c r="V365" s="84" t="s">
        <v>1</v>
      </c>
      <c r="W365" s="84" t="s">
        <v>1</v>
      </c>
      <c r="X365" s="84" t="s">
        <v>1</v>
      </c>
      <c r="Y365" s="84" t="s">
        <v>1</v>
      </c>
      <c r="Z365" s="84" t="s">
        <v>1</v>
      </c>
      <c r="AA365" s="84" t="s">
        <v>1</v>
      </c>
      <c r="AB365" s="181" t="s">
        <v>6662</v>
      </c>
      <c r="AC365" s="181" t="s">
        <v>6665</v>
      </c>
      <c r="AD365" s="181" t="s">
        <v>2369</v>
      </c>
      <c r="AE365" s="25" t="s">
        <v>2107</v>
      </c>
      <c r="AF365" s="71"/>
      <c r="AG365" s="66"/>
    </row>
    <row r="366" spans="2:33" x14ac:dyDescent="0.15">
      <c r="B366" s="80" t="s">
        <v>2247</v>
      </c>
      <c r="C366" s="81" t="s">
        <v>1693</v>
      </c>
      <c r="D366" s="82" t="s">
        <v>1</v>
      </c>
      <c r="E366" s="88" t="s">
        <v>1</v>
      </c>
      <c r="F366" s="82" t="s">
        <v>1</v>
      </c>
      <c r="H366" s="82" t="s">
        <v>1</v>
      </c>
      <c r="I366" s="80" t="s">
        <v>2246</v>
      </c>
      <c r="J366" s="80" t="s">
        <v>2245</v>
      </c>
      <c r="K366" s="80" t="s">
        <v>2050</v>
      </c>
      <c r="L366" s="80" t="s">
        <v>2244</v>
      </c>
      <c r="M366" s="80">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181" t="s">
        <v>6662</v>
      </c>
      <c r="AC366" s="181" t="s">
        <v>6670</v>
      </c>
      <c r="AD366" s="181" t="s">
        <v>6670</v>
      </c>
    </row>
    <row r="367" spans="2:33" x14ac:dyDescent="0.15">
      <c r="B367" s="80" t="s">
        <v>2126</v>
      </c>
      <c r="C367" s="81" t="s">
        <v>1693</v>
      </c>
      <c r="D367" s="82" t="s">
        <v>1</v>
      </c>
      <c r="E367" s="82" t="s">
        <v>1</v>
      </c>
      <c r="F367" s="82" t="s">
        <v>1</v>
      </c>
      <c r="H367" s="82" t="s">
        <v>1</v>
      </c>
      <c r="I367" s="80" t="s">
        <v>4879</v>
      </c>
      <c r="J367" s="80" t="s">
        <v>1</v>
      </c>
      <c r="K367" s="80" t="s">
        <v>2050</v>
      </c>
      <c r="L367" s="80" t="s">
        <v>2061</v>
      </c>
      <c r="M367" s="80">
        <v>2020</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181" t="s">
        <v>6662</v>
      </c>
      <c r="AC367" s="181" t="s">
        <v>6666</v>
      </c>
      <c r="AD367" s="181" t="s">
        <v>3983</v>
      </c>
      <c r="AE367" s="25" t="s">
        <v>2125</v>
      </c>
      <c r="AF367" s="71"/>
      <c r="AG367" s="66"/>
    </row>
    <row r="368" spans="2:33" x14ac:dyDescent="0.15">
      <c r="E368" s="88"/>
      <c r="H368" s="82"/>
      <c r="P368" s="80"/>
      <c r="Q368" s="80"/>
      <c r="R368" s="80"/>
      <c r="S368" s="80"/>
      <c r="T368" s="80"/>
      <c r="U368" s="80"/>
      <c r="V368" s="80"/>
      <c r="W368" s="80"/>
      <c r="X368" s="80"/>
      <c r="Y368" s="80"/>
      <c r="Z368" s="80"/>
      <c r="AA368" s="80"/>
    </row>
    <row r="369" spans="2:33" x14ac:dyDescent="0.15">
      <c r="B369" s="26" t="s">
        <v>2523</v>
      </c>
      <c r="E369" s="88"/>
      <c r="H369" s="82"/>
      <c r="P369" s="80"/>
      <c r="Q369" s="80"/>
      <c r="R369" s="80"/>
      <c r="S369" s="80"/>
      <c r="T369" s="80"/>
      <c r="U369" s="80"/>
      <c r="V369" s="80"/>
      <c r="W369" s="80"/>
      <c r="X369" s="80"/>
      <c r="Y369" s="80"/>
      <c r="Z369" s="80"/>
      <c r="AA369" s="80"/>
    </row>
    <row r="370" spans="2:33" x14ac:dyDescent="0.15">
      <c r="B370" s="80" t="s">
        <v>1092</v>
      </c>
      <c r="C370" s="104" t="s">
        <v>5467</v>
      </c>
      <c r="D370" s="82">
        <v>54750</v>
      </c>
      <c r="E370" s="111" t="s">
        <v>3812</v>
      </c>
      <c r="H370" s="82"/>
      <c r="P370" s="80"/>
      <c r="Q370" s="80"/>
      <c r="R370" s="80"/>
      <c r="S370" s="80"/>
      <c r="T370" s="80"/>
      <c r="U370" s="80"/>
      <c r="V370" s="80"/>
      <c r="W370" s="80"/>
      <c r="X370" s="80"/>
      <c r="Y370" s="80"/>
      <c r="Z370" s="80"/>
      <c r="AA370" s="80"/>
    </row>
    <row r="371" spans="2:33" x14ac:dyDescent="0.15">
      <c r="B371" s="80" t="s">
        <v>2522</v>
      </c>
      <c r="C371" s="104" t="s">
        <v>1693</v>
      </c>
      <c r="D371" s="82">
        <v>10000</v>
      </c>
    </row>
    <row r="372" spans="2:33" x14ac:dyDescent="0.15">
      <c r="B372" s="80" t="s">
        <v>2521</v>
      </c>
      <c r="C372" s="81" t="s">
        <v>1693</v>
      </c>
      <c r="E372" s="80" t="s">
        <v>18</v>
      </c>
      <c r="K372" s="80" t="s">
        <v>2067</v>
      </c>
      <c r="N372" s="80" t="s">
        <v>2065</v>
      </c>
      <c r="AB372" s="80" t="s">
        <v>2520</v>
      </c>
      <c r="AE372" s="25" t="s">
        <v>2519</v>
      </c>
      <c r="AF372" s="71"/>
      <c r="AG372" s="66"/>
    </row>
    <row r="373" spans="2:33" x14ac:dyDescent="0.15">
      <c r="B373" s="80" t="s">
        <v>2518</v>
      </c>
      <c r="C373" s="81" t="s">
        <v>1693</v>
      </c>
      <c r="K373" s="80" t="s">
        <v>2315</v>
      </c>
      <c r="L373" s="80" t="s">
        <v>2517</v>
      </c>
      <c r="N373" s="80" t="s">
        <v>2065</v>
      </c>
    </row>
    <row r="374" spans="2:33" x14ac:dyDescent="0.15">
      <c r="B374" s="80" t="s">
        <v>2516</v>
      </c>
      <c r="C374" s="81" t="s">
        <v>2145</v>
      </c>
      <c r="N374" s="80" t="s">
        <v>2515</v>
      </c>
    </row>
    <row r="375" spans="2:33" x14ac:dyDescent="0.15">
      <c r="B375" s="80" t="s">
        <v>2514</v>
      </c>
      <c r="C375" s="81" t="s">
        <v>2145</v>
      </c>
      <c r="N375" s="80" t="s">
        <v>2513</v>
      </c>
    </row>
    <row r="376" spans="2:33" x14ac:dyDescent="0.15">
      <c r="B376" s="80" t="s">
        <v>2512</v>
      </c>
      <c r="C376" s="81" t="s">
        <v>2145</v>
      </c>
      <c r="N376" s="80" t="s">
        <v>2511</v>
      </c>
    </row>
    <row r="377" spans="2:33" x14ac:dyDescent="0.15">
      <c r="B377" s="80" t="s">
        <v>2510</v>
      </c>
      <c r="C377" s="81" t="s">
        <v>2145</v>
      </c>
      <c r="N377" s="80" t="s">
        <v>1092</v>
      </c>
    </row>
    <row r="378" spans="2:33" x14ac:dyDescent="0.15">
      <c r="B378" s="80" t="s">
        <v>2509</v>
      </c>
      <c r="C378" s="81" t="s">
        <v>1693</v>
      </c>
      <c r="D378" s="82">
        <v>7900</v>
      </c>
      <c r="E378" s="80" t="s">
        <v>505</v>
      </c>
      <c r="F378" s="82">
        <v>200</v>
      </c>
      <c r="H378" s="85">
        <v>44175</v>
      </c>
      <c r="I378" s="80" t="s">
        <v>2508</v>
      </c>
      <c r="J378" s="80" t="s">
        <v>2507</v>
      </c>
      <c r="K378" s="80" t="s">
        <v>2506</v>
      </c>
      <c r="L378" s="80" t="s">
        <v>2067</v>
      </c>
      <c r="M378" s="80">
        <v>2015</v>
      </c>
      <c r="N378" s="80" t="s">
        <v>2276</v>
      </c>
      <c r="O378" s="80" t="s">
        <v>2505</v>
      </c>
      <c r="P378" s="84" t="s">
        <v>53</v>
      </c>
      <c r="Q378" s="84">
        <v>200</v>
      </c>
      <c r="R378" s="84" t="s">
        <v>2504</v>
      </c>
      <c r="S378" s="84" t="s">
        <v>9</v>
      </c>
      <c r="T378" s="84">
        <v>110</v>
      </c>
      <c r="U378" s="84" t="s">
        <v>2503</v>
      </c>
      <c r="V378" s="84" t="s">
        <v>8</v>
      </c>
      <c r="W378" s="84">
        <v>80</v>
      </c>
      <c r="X378" s="84" t="s">
        <v>2502</v>
      </c>
      <c r="Y378" s="84" t="s">
        <v>18</v>
      </c>
      <c r="Z378" s="84">
        <v>70</v>
      </c>
      <c r="AA378" s="84" t="s">
        <v>2501</v>
      </c>
      <c r="AB378" s="80" t="s">
        <v>2500</v>
      </c>
    </row>
    <row r="379" spans="2:33" x14ac:dyDescent="0.15">
      <c r="B379" s="80" t="s">
        <v>2499</v>
      </c>
      <c r="C379" s="81" t="s">
        <v>1693</v>
      </c>
      <c r="D379" s="82">
        <v>5200</v>
      </c>
      <c r="E379" s="80" t="s">
        <v>53</v>
      </c>
      <c r="F379" s="82">
        <v>400</v>
      </c>
      <c r="H379" s="85">
        <v>28327</v>
      </c>
      <c r="I379" s="80" t="s">
        <v>2498</v>
      </c>
      <c r="J379" s="80" t="s">
        <v>2497</v>
      </c>
      <c r="K379" s="80" t="s">
        <v>2050</v>
      </c>
      <c r="L379" s="80" t="s">
        <v>2076</v>
      </c>
      <c r="M379" s="80">
        <v>2012</v>
      </c>
      <c r="O379" s="80" t="s">
        <v>2496</v>
      </c>
      <c r="P379" s="84" t="s">
        <v>1</v>
      </c>
      <c r="Q379" s="84" t="s">
        <v>1</v>
      </c>
      <c r="R379" s="84" t="s">
        <v>1</v>
      </c>
      <c r="S379" s="84" t="s">
        <v>1</v>
      </c>
      <c r="T379" s="84" t="s">
        <v>1</v>
      </c>
      <c r="U379" s="84" t="s">
        <v>1</v>
      </c>
      <c r="V379" s="84" t="s">
        <v>1</v>
      </c>
      <c r="W379" s="84" t="s">
        <v>1</v>
      </c>
      <c r="X379" s="84" t="s">
        <v>1</v>
      </c>
      <c r="Y379" s="84" t="s">
        <v>1</v>
      </c>
      <c r="Z379" s="84" t="s">
        <v>1</v>
      </c>
      <c r="AA379" s="84" t="s">
        <v>1</v>
      </c>
      <c r="AB379" s="80" t="s">
        <v>2495</v>
      </c>
    </row>
    <row r="380" spans="2:33" x14ac:dyDescent="0.15">
      <c r="B380" s="80" t="s">
        <v>2130</v>
      </c>
      <c r="C380" s="81" t="s">
        <v>1693</v>
      </c>
      <c r="D380" s="82">
        <v>4200</v>
      </c>
      <c r="E380" s="80" t="s">
        <v>505</v>
      </c>
      <c r="F380" s="82">
        <v>200</v>
      </c>
      <c r="H380" s="85">
        <v>44349</v>
      </c>
      <c r="I380" s="80" t="s">
        <v>4500</v>
      </c>
      <c r="J380" s="80" t="s">
        <v>4499</v>
      </c>
      <c r="K380" s="80" t="s">
        <v>2050</v>
      </c>
      <c r="L380" s="80" t="s">
        <v>2129</v>
      </c>
      <c r="M380" s="80">
        <v>2014</v>
      </c>
      <c r="AB380" s="80" t="s">
        <v>2128</v>
      </c>
      <c r="AE380" s="25" t="s">
        <v>2127</v>
      </c>
      <c r="AF380" s="71"/>
      <c r="AG380" s="66"/>
    </row>
    <row r="381" spans="2:33" x14ac:dyDescent="0.15">
      <c r="B381" s="80" t="s">
        <v>2494</v>
      </c>
      <c r="C381" s="81" t="s">
        <v>1693</v>
      </c>
      <c r="D381" s="82">
        <v>4000</v>
      </c>
      <c r="E381" s="80" t="s">
        <v>2493</v>
      </c>
      <c r="F381" s="82">
        <v>400</v>
      </c>
      <c r="H381" s="85">
        <v>44378</v>
      </c>
      <c r="I381" s="80" t="s">
        <v>2492</v>
      </c>
      <c r="J381" s="80" t="s">
        <v>2491</v>
      </c>
      <c r="K381" s="80" t="s">
        <v>2050</v>
      </c>
      <c r="L381" s="80" t="s">
        <v>2067</v>
      </c>
      <c r="M381" s="80">
        <v>2012</v>
      </c>
      <c r="O381" s="80" t="s">
        <v>2490</v>
      </c>
      <c r="P381" s="84" t="s">
        <v>505</v>
      </c>
      <c r="Q381" s="84" t="s">
        <v>2489</v>
      </c>
      <c r="R381" s="84" t="s">
        <v>2488</v>
      </c>
      <c r="S381" s="84" t="s">
        <v>53</v>
      </c>
      <c r="T381" s="84">
        <v>106</v>
      </c>
      <c r="U381" s="84" t="s">
        <v>2487</v>
      </c>
      <c r="V381" s="84" t="s">
        <v>9</v>
      </c>
      <c r="W381" s="84">
        <v>52</v>
      </c>
      <c r="X381" s="84" t="s">
        <v>2486</v>
      </c>
      <c r="Y381" s="84" t="s">
        <v>8</v>
      </c>
      <c r="Z381" s="84">
        <v>32.799999999999997</v>
      </c>
      <c r="AA381" s="84" t="s">
        <v>2485</v>
      </c>
      <c r="AB381" s="80" t="s">
        <v>2103</v>
      </c>
    </row>
    <row r="382" spans="2:33" x14ac:dyDescent="0.15">
      <c r="B382" s="80" t="s">
        <v>2484</v>
      </c>
      <c r="C382" s="81" t="s">
        <v>1693</v>
      </c>
      <c r="D382" s="82">
        <v>3100</v>
      </c>
      <c r="E382" s="80" t="s">
        <v>9</v>
      </c>
      <c r="F382" s="82">
        <v>150</v>
      </c>
      <c r="H382" s="85">
        <v>44545</v>
      </c>
      <c r="I382" s="80" t="s">
        <v>2483</v>
      </c>
      <c r="J382" s="80" t="s">
        <v>1</v>
      </c>
      <c r="K382" s="80" t="s">
        <v>2050</v>
      </c>
      <c r="L382" s="80" t="s">
        <v>2067</v>
      </c>
      <c r="M382" s="80">
        <v>2014</v>
      </c>
      <c r="O382" s="80" t="s">
        <v>2482</v>
      </c>
      <c r="P382" s="84" t="s">
        <v>1</v>
      </c>
      <c r="Q382" s="84" t="s">
        <v>1</v>
      </c>
      <c r="R382" s="84" t="s">
        <v>1</v>
      </c>
      <c r="S382" s="84" t="s">
        <v>1</v>
      </c>
      <c r="T382" s="84" t="s">
        <v>1</v>
      </c>
      <c r="U382" s="84" t="s">
        <v>1</v>
      </c>
      <c r="V382" s="84" t="s">
        <v>1</v>
      </c>
      <c r="W382" s="84" t="s">
        <v>1</v>
      </c>
      <c r="X382" s="84" t="s">
        <v>1</v>
      </c>
      <c r="Y382" s="84" t="s">
        <v>1</v>
      </c>
      <c r="Z382" s="84" t="s">
        <v>1</v>
      </c>
      <c r="AA382" s="84" t="s">
        <v>1</v>
      </c>
      <c r="AB382" s="80" t="s">
        <v>2369</v>
      </c>
    </row>
    <row r="383" spans="2:33" x14ac:dyDescent="0.15">
      <c r="B383" s="80" t="s">
        <v>2481</v>
      </c>
      <c r="C383" s="81" t="s">
        <v>1693</v>
      </c>
      <c r="D383" s="82">
        <v>2800</v>
      </c>
      <c r="E383" s="80" t="s">
        <v>18</v>
      </c>
      <c r="I383" s="80" t="s">
        <v>2480</v>
      </c>
      <c r="K383" s="80" t="s">
        <v>2050</v>
      </c>
      <c r="L383" s="80" t="s">
        <v>2458</v>
      </c>
      <c r="M383" s="80">
        <v>2006</v>
      </c>
      <c r="N383" s="80" t="s">
        <v>2479</v>
      </c>
      <c r="AB383" s="80" t="s">
        <v>2312</v>
      </c>
      <c r="AE383" s="25" t="s">
        <v>2478</v>
      </c>
      <c r="AF383" s="71"/>
      <c r="AG383" s="66"/>
    </row>
    <row r="384" spans="2:33" x14ac:dyDescent="0.15">
      <c r="B384" s="80" t="s">
        <v>2477</v>
      </c>
      <c r="C384" s="81" t="s">
        <v>1693</v>
      </c>
      <c r="D384" s="82">
        <v>2500</v>
      </c>
      <c r="E384" s="80" t="s">
        <v>1</v>
      </c>
      <c r="F384" s="80" t="s">
        <v>1</v>
      </c>
      <c r="G384" s="80"/>
      <c r="H384" s="80" t="s">
        <v>1</v>
      </c>
      <c r="I384" s="80" t="s">
        <v>2476</v>
      </c>
      <c r="J384" s="80" t="s">
        <v>2475</v>
      </c>
      <c r="K384" s="80" t="s">
        <v>2050</v>
      </c>
      <c r="L384" s="80" t="s">
        <v>2474</v>
      </c>
      <c r="M384" s="80" t="s">
        <v>2473</v>
      </c>
      <c r="O384" s="80" t="s">
        <v>1</v>
      </c>
      <c r="P384" s="80" t="s">
        <v>1</v>
      </c>
      <c r="Q384" s="80" t="s">
        <v>1</v>
      </c>
      <c r="R384" s="80" t="s">
        <v>1</v>
      </c>
      <c r="S384" s="80" t="s">
        <v>1</v>
      </c>
      <c r="T384" s="80" t="s">
        <v>1</v>
      </c>
      <c r="U384" s="80" t="s">
        <v>1</v>
      </c>
      <c r="V384" s="80" t="s">
        <v>1</v>
      </c>
      <c r="W384" s="80" t="s">
        <v>1</v>
      </c>
      <c r="X384" s="80" t="s">
        <v>1</v>
      </c>
      <c r="Y384" s="80" t="s">
        <v>1</v>
      </c>
      <c r="Z384" s="80" t="s">
        <v>1</v>
      </c>
      <c r="AA384" s="80" t="s">
        <v>1</v>
      </c>
      <c r="AB384" s="80" t="s">
        <v>2472</v>
      </c>
    </row>
    <row r="385" spans="2:33" x14ac:dyDescent="0.15">
      <c r="B385" s="80" t="s">
        <v>2471</v>
      </c>
      <c r="C385" s="81" t="s">
        <v>1693</v>
      </c>
      <c r="D385" s="82">
        <v>1900</v>
      </c>
      <c r="E385" s="80" t="s">
        <v>18</v>
      </c>
      <c r="F385" s="82">
        <v>150</v>
      </c>
      <c r="H385" s="85">
        <v>44649</v>
      </c>
      <c r="I385" s="80" t="s">
        <v>2470</v>
      </c>
      <c r="J385" s="80" t="s">
        <v>1</v>
      </c>
      <c r="K385" s="80" t="s">
        <v>2050</v>
      </c>
      <c r="L385" s="80" t="s">
        <v>2067</v>
      </c>
      <c r="M385" s="80">
        <v>2018</v>
      </c>
      <c r="N385" s="80" t="s">
        <v>2469</v>
      </c>
      <c r="O385" s="80" t="s">
        <v>2468</v>
      </c>
      <c r="P385" s="84" t="s">
        <v>7</v>
      </c>
      <c r="Q385" s="84" t="s">
        <v>2467</v>
      </c>
      <c r="R385" s="84" t="s">
        <v>1</v>
      </c>
      <c r="S385" s="84" t="s">
        <v>1</v>
      </c>
      <c r="T385" s="84" t="s">
        <v>1</v>
      </c>
      <c r="U385" s="84" t="s">
        <v>1</v>
      </c>
      <c r="V385" s="84" t="s">
        <v>1</v>
      </c>
      <c r="W385" s="84" t="s">
        <v>1</v>
      </c>
      <c r="X385" s="84" t="s">
        <v>1</v>
      </c>
      <c r="Y385" s="84" t="s">
        <v>1</v>
      </c>
      <c r="Z385" s="84" t="s">
        <v>1</v>
      </c>
      <c r="AA385" s="84" t="s">
        <v>1</v>
      </c>
      <c r="AB385" s="80" t="s">
        <v>2466</v>
      </c>
    </row>
    <row r="386" spans="2:33" x14ac:dyDescent="0.15">
      <c r="B386" s="80" t="s">
        <v>2465</v>
      </c>
      <c r="C386" s="81" t="s">
        <v>1693</v>
      </c>
      <c r="D386" s="82">
        <v>1900</v>
      </c>
      <c r="E386" s="80" t="s">
        <v>9</v>
      </c>
      <c r="F386" s="82">
        <v>150</v>
      </c>
      <c r="H386" s="85">
        <v>44523</v>
      </c>
      <c r="I386" s="80" t="s">
        <v>2464</v>
      </c>
      <c r="J386" s="80" t="s">
        <v>1</v>
      </c>
      <c r="K386" s="80" t="s">
        <v>2050</v>
      </c>
      <c r="L386" s="80" t="s">
        <v>2463</v>
      </c>
      <c r="M386" s="80">
        <v>2017</v>
      </c>
      <c r="O386" s="80" t="s">
        <v>2462</v>
      </c>
      <c r="P386" s="84" t="s">
        <v>1</v>
      </c>
      <c r="Q386" s="84" t="s">
        <v>1</v>
      </c>
      <c r="R386" s="84" t="s">
        <v>1</v>
      </c>
      <c r="S386" s="84" t="s">
        <v>1</v>
      </c>
      <c r="T386" s="84" t="s">
        <v>1</v>
      </c>
      <c r="U386" s="84" t="s">
        <v>1</v>
      </c>
      <c r="V386" s="84" t="s">
        <v>1</v>
      </c>
      <c r="W386" s="84" t="s">
        <v>1</v>
      </c>
      <c r="X386" s="84" t="s">
        <v>1</v>
      </c>
      <c r="Y386" s="84" t="s">
        <v>1</v>
      </c>
      <c r="Z386" s="84" t="s">
        <v>1</v>
      </c>
      <c r="AA386" s="84" t="s">
        <v>1</v>
      </c>
      <c r="AB386" s="80" t="s">
        <v>2060</v>
      </c>
    </row>
    <row r="387" spans="2:33" x14ac:dyDescent="0.15">
      <c r="B387" s="80" t="s">
        <v>2461</v>
      </c>
      <c r="C387" s="81" t="s">
        <v>1693</v>
      </c>
      <c r="D387" s="82">
        <v>1700</v>
      </c>
      <c r="E387" s="80" t="s">
        <v>8</v>
      </c>
      <c r="F387" s="82">
        <v>100</v>
      </c>
      <c r="H387" s="85">
        <v>45027</v>
      </c>
      <c r="I387" s="80" t="s">
        <v>2460</v>
      </c>
      <c r="J387" s="80" t="s">
        <v>2459</v>
      </c>
      <c r="K387" s="80" t="s">
        <v>2050</v>
      </c>
      <c r="L387" s="80" t="s">
        <v>2458</v>
      </c>
      <c r="M387" s="80">
        <v>2008</v>
      </c>
      <c r="N387" s="80" t="s">
        <v>2457</v>
      </c>
      <c r="O387" s="80" t="s">
        <v>2456</v>
      </c>
      <c r="P387" s="84" t="s">
        <v>1</v>
      </c>
      <c r="Q387" s="84" t="s">
        <v>1</v>
      </c>
      <c r="R387" s="84" t="s">
        <v>1</v>
      </c>
      <c r="S387" s="84" t="s">
        <v>1</v>
      </c>
      <c r="T387" s="84" t="s">
        <v>1</v>
      </c>
      <c r="U387" s="84" t="s">
        <v>1</v>
      </c>
      <c r="V387" s="84" t="s">
        <v>1</v>
      </c>
      <c r="W387" s="84" t="s">
        <v>1</v>
      </c>
      <c r="X387" s="84" t="s">
        <v>1</v>
      </c>
      <c r="Y387" s="84" t="s">
        <v>1</v>
      </c>
      <c r="Z387" s="84" t="s">
        <v>1</v>
      </c>
      <c r="AA387" s="84" t="s">
        <v>1</v>
      </c>
      <c r="AB387" s="80" t="s">
        <v>2060</v>
      </c>
      <c r="AE387" s="25" t="s">
        <v>2455</v>
      </c>
      <c r="AF387" s="71"/>
      <c r="AG387" s="66"/>
    </row>
    <row r="388" spans="2:33" x14ac:dyDescent="0.15">
      <c r="B388" s="80" t="s">
        <v>2454</v>
      </c>
      <c r="C388" s="81" t="s">
        <v>1693</v>
      </c>
      <c r="D388" s="82">
        <v>1700</v>
      </c>
      <c r="E388" s="80" t="s">
        <v>8</v>
      </c>
      <c r="F388" s="82">
        <v>85</v>
      </c>
      <c r="H388" s="85">
        <v>42846</v>
      </c>
      <c r="J388" s="80" t="s">
        <v>2453</v>
      </c>
      <c r="K388" s="80" t="s">
        <v>2315</v>
      </c>
      <c r="L388" s="80" t="s">
        <v>2452</v>
      </c>
      <c r="M388" s="80">
        <v>2009</v>
      </c>
      <c r="O388" s="80" t="s">
        <v>1</v>
      </c>
      <c r="P388" s="80" t="s">
        <v>1</v>
      </c>
      <c r="Q388" s="80" t="s">
        <v>1</v>
      </c>
      <c r="R388" s="80" t="s">
        <v>1</v>
      </c>
      <c r="S388" s="80" t="s">
        <v>1</v>
      </c>
      <c r="T388" s="80" t="s">
        <v>1</v>
      </c>
      <c r="U388" s="80" t="s">
        <v>1</v>
      </c>
      <c r="V388" s="80" t="s">
        <v>1</v>
      </c>
      <c r="W388" s="80" t="s">
        <v>1</v>
      </c>
      <c r="X388" s="80" t="s">
        <v>1</v>
      </c>
      <c r="Y388" s="80" t="s">
        <v>1</v>
      </c>
      <c r="Z388" s="80" t="s">
        <v>1</v>
      </c>
      <c r="AA388" s="80" t="s">
        <v>1</v>
      </c>
      <c r="AB388" s="80" t="s">
        <v>2048</v>
      </c>
    </row>
    <row r="389" spans="2:33" x14ac:dyDescent="0.15">
      <c r="B389" s="80" t="s">
        <v>148</v>
      </c>
      <c r="C389" s="81" t="s">
        <v>1693</v>
      </c>
      <c r="D389" s="82">
        <v>1500</v>
      </c>
      <c r="E389" s="80" t="s">
        <v>9</v>
      </c>
      <c r="F389" s="82">
        <v>300</v>
      </c>
      <c r="H389" s="85">
        <v>44271</v>
      </c>
      <c r="J389" s="80" t="s">
        <v>2451</v>
      </c>
      <c r="K389" s="80" t="s">
        <v>2050</v>
      </c>
      <c r="L389" s="80" t="s">
        <v>2450</v>
      </c>
      <c r="M389" s="80">
        <v>2007</v>
      </c>
      <c r="N389" s="80" t="s">
        <v>2449</v>
      </c>
      <c r="O389" s="80" t="s">
        <v>2448</v>
      </c>
      <c r="P389" s="84" t="s">
        <v>8</v>
      </c>
      <c r="Q389" s="84">
        <v>38</v>
      </c>
      <c r="R389" s="84" t="s">
        <v>2447</v>
      </c>
      <c r="S389" s="84" t="s">
        <v>18</v>
      </c>
      <c r="T389" s="84" t="s">
        <v>1</v>
      </c>
      <c r="U389" s="84" t="s">
        <v>2446</v>
      </c>
      <c r="V389" s="84" t="s">
        <v>7</v>
      </c>
      <c r="W389" s="84">
        <v>10</v>
      </c>
      <c r="X389" s="84" t="s">
        <v>2445</v>
      </c>
      <c r="Y389" s="84" t="s">
        <v>5</v>
      </c>
      <c r="Z389" s="84" t="s">
        <v>2444</v>
      </c>
      <c r="AA389" s="84" t="s">
        <v>2443</v>
      </c>
      <c r="AB389" s="80" t="s">
        <v>2442</v>
      </c>
      <c r="AE389" s="25" t="s">
        <v>2441</v>
      </c>
      <c r="AF389" s="71"/>
      <c r="AG389" s="66"/>
    </row>
    <row r="390" spans="2:33" x14ac:dyDescent="0.15">
      <c r="B390" s="80" t="s">
        <v>2440</v>
      </c>
      <c r="C390" s="81" t="s">
        <v>1693</v>
      </c>
      <c r="D390" s="82">
        <v>1400</v>
      </c>
      <c r="E390" s="80" t="s">
        <v>8</v>
      </c>
      <c r="F390" s="82">
        <v>70</v>
      </c>
      <c r="H390" s="85">
        <v>44907</v>
      </c>
      <c r="I390" s="80" t="s">
        <v>2439</v>
      </c>
      <c r="J390" s="80" t="s">
        <v>2438</v>
      </c>
      <c r="K390" s="80" t="s">
        <v>2050</v>
      </c>
      <c r="L390" s="80" t="s">
        <v>2437</v>
      </c>
      <c r="M390" s="80">
        <v>2015</v>
      </c>
      <c r="N390" s="80" t="s">
        <v>2436</v>
      </c>
      <c r="O390" s="80" t="s">
        <v>1</v>
      </c>
      <c r="P390" s="80" t="s">
        <v>1</v>
      </c>
      <c r="Q390" s="80" t="s">
        <v>1</v>
      </c>
      <c r="R390" s="80" t="s">
        <v>1</v>
      </c>
      <c r="S390" s="80" t="s">
        <v>1</v>
      </c>
      <c r="T390" s="80" t="s">
        <v>1</v>
      </c>
      <c r="U390" s="80" t="s">
        <v>1</v>
      </c>
      <c r="V390" s="80" t="s">
        <v>1</v>
      </c>
      <c r="W390" s="80" t="s">
        <v>1</v>
      </c>
      <c r="X390" s="80" t="s">
        <v>1</v>
      </c>
      <c r="Y390" s="80" t="s">
        <v>1</v>
      </c>
      <c r="Z390" s="80" t="s">
        <v>1</v>
      </c>
      <c r="AA390" s="80" t="s">
        <v>1</v>
      </c>
      <c r="AB390" s="80" t="s">
        <v>2435</v>
      </c>
      <c r="AE390" s="25" t="s">
        <v>2434</v>
      </c>
      <c r="AF390" s="71"/>
      <c r="AG390" s="66"/>
    </row>
    <row r="391" spans="2:33" x14ac:dyDescent="0.15">
      <c r="B391" s="80" t="s">
        <v>2433</v>
      </c>
      <c r="C391" s="81" t="s">
        <v>1693</v>
      </c>
      <c r="D391" s="82">
        <v>1300</v>
      </c>
      <c r="E391" s="80" t="s">
        <v>8</v>
      </c>
      <c r="F391" s="82">
        <v>150</v>
      </c>
      <c r="H391" s="85">
        <v>44656</v>
      </c>
      <c r="J391" s="80" t="s">
        <v>2432</v>
      </c>
      <c r="K391" s="80" t="s">
        <v>2050</v>
      </c>
      <c r="L391" s="80" t="s">
        <v>2067</v>
      </c>
      <c r="M391" s="86">
        <v>42323</v>
      </c>
      <c r="O391" s="80" t="s">
        <v>2431</v>
      </c>
      <c r="P391" s="84" t="s">
        <v>1</v>
      </c>
      <c r="Q391" s="84" t="s">
        <v>1</v>
      </c>
      <c r="R391" s="84" t="s">
        <v>1</v>
      </c>
      <c r="S391" s="84" t="s">
        <v>1</v>
      </c>
      <c r="T391" s="84" t="s">
        <v>1</v>
      </c>
      <c r="U391" s="84" t="s">
        <v>1</v>
      </c>
      <c r="V391" s="84" t="s">
        <v>1</v>
      </c>
      <c r="W391" s="84" t="s">
        <v>1</v>
      </c>
      <c r="X391" s="84" t="s">
        <v>1</v>
      </c>
      <c r="Y391" s="84" t="s">
        <v>1</v>
      </c>
      <c r="Z391" s="84" t="s">
        <v>1</v>
      </c>
      <c r="AA391" s="84" t="s">
        <v>1</v>
      </c>
      <c r="AB391" s="80" t="s">
        <v>2369</v>
      </c>
    </row>
    <row r="392" spans="2:33" x14ac:dyDescent="0.15">
      <c r="B392" s="80" t="s">
        <v>2430</v>
      </c>
      <c r="C392" s="81" t="s">
        <v>1693</v>
      </c>
      <c r="D392" s="82">
        <v>1300</v>
      </c>
      <c r="E392" s="80" t="s">
        <v>8</v>
      </c>
      <c r="F392" s="82">
        <v>140</v>
      </c>
      <c r="H392" s="85">
        <v>44602</v>
      </c>
      <c r="K392" s="80" t="s">
        <v>2050</v>
      </c>
      <c r="L392" s="80" t="s">
        <v>2087</v>
      </c>
      <c r="M392" s="80">
        <v>2018</v>
      </c>
      <c r="N392" s="80" t="s">
        <v>2429</v>
      </c>
      <c r="AB392" s="80" t="s">
        <v>2159</v>
      </c>
      <c r="AE392" s="25" t="s">
        <v>2428</v>
      </c>
      <c r="AF392" s="71"/>
      <c r="AG392" s="66"/>
    </row>
    <row r="393" spans="2:33" x14ac:dyDescent="0.15">
      <c r="B393" s="80" t="s">
        <v>908</v>
      </c>
      <c r="C393" s="81" t="s">
        <v>1693</v>
      </c>
      <c r="D393" s="82">
        <v>1100</v>
      </c>
      <c r="E393" s="80" t="s">
        <v>7</v>
      </c>
      <c r="F393" s="82">
        <v>97.4</v>
      </c>
      <c r="H393" s="85">
        <v>45041</v>
      </c>
      <c r="I393" s="80" t="s">
        <v>2427</v>
      </c>
      <c r="J393" s="80" t="s">
        <v>2426</v>
      </c>
      <c r="K393" s="80" t="s">
        <v>2050</v>
      </c>
      <c r="L393" s="80" t="s">
        <v>2244</v>
      </c>
      <c r="M393" s="80">
        <v>2016</v>
      </c>
      <c r="O393" s="80" t="s">
        <v>2425</v>
      </c>
      <c r="P393" s="84" t="s">
        <v>2424</v>
      </c>
      <c r="Q393" s="84">
        <v>80</v>
      </c>
      <c r="R393" s="84" t="s">
        <v>2423</v>
      </c>
      <c r="S393" s="84" t="s">
        <v>5</v>
      </c>
      <c r="T393" s="84">
        <v>20</v>
      </c>
      <c r="U393" s="84" t="s">
        <v>2422</v>
      </c>
      <c r="V393" s="84" t="s">
        <v>4</v>
      </c>
      <c r="W393" s="84">
        <v>4.5</v>
      </c>
      <c r="X393" s="84" t="s">
        <v>2421</v>
      </c>
      <c r="Y393" s="84" t="s">
        <v>278</v>
      </c>
      <c r="Z393" s="84">
        <v>0.12</v>
      </c>
      <c r="AA393" s="84" t="s">
        <v>2420</v>
      </c>
      <c r="AB393" s="80" t="s">
        <v>2369</v>
      </c>
    </row>
    <row r="394" spans="2:33" x14ac:dyDescent="0.15">
      <c r="B394" s="80" t="s">
        <v>2419</v>
      </c>
      <c r="C394" s="81" t="s">
        <v>1693</v>
      </c>
      <c r="D394" s="82">
        <v>1000</v>
      </c>
      <c r="E394" s="80" t="s">
        <v>7</v>
      </c>
      <c r="F394" s="82">
        <v>500</v>
      </c>
      <c r="H394" s="85">
        <v>44971</v>
      </c>
      <c r="I394" s="80" t="s">
        <v>2418</v>
      </c>
      <c r="J394" s="80" t="s">
        <v>1</v>
      </c>
      <c r="K394" s="80" t="s">
        <v>2050</v>
      </c>
      <c r="L394" s="80" t="s">
        <v>2087</v>
      </c>
      <c r="M394" s="80">
        <v>2016</v>
      </c>
      <c r="N394" s="80" t="s">
        <v>2417</v>
      </c>
      <c r="O394" s="80" t="s">
        <v>2416</v>
      </c>
      <c r="AB394" s="80" t="s">
        <v>2159</v>
      </c>
    </row>
    <row r="395" spans="2:33" x14ac:dyDescent="0.15">
      <c r="B395" s="80" t="s">
        <v>2415</v>
      </c>
      <c r="C395" s="81" t="s">
        <v>1693</v>
      </c>
      <c r="D395" s="82">
        <v>1000</v>
      </c>
      <c r="E395" s="80" t="s">
        <v>9</v>
      </c>
      <c r="F395" s="82">
        <v>300</v>
      </c>
      <c r="H395" s="85">
        <v>43917</v>
      </c>
      <c r="I395" s="80" t="s">
        <v>2414</v>
      </c>
      <c r="J395" s="80" t="s">
        <v>2413</v>
      </c>
      <c r="K395" s="80" t="s">
        <v>2050</v>
      </c>
      <c r="L395" s="80" t="s">
        <v>2129</v>
      </c>
      <c r="M395" s="80">
        <v>2014</v>
      </c>
      <c r="N395" s="80" t="s">
        <v>2412</v>
      </c>
      <c r="AB395" s="80" t="s">
        <v>2377</v>
      </c>
      <c r="AE395" s="25" t="s">
        <v>2411</v>
      </c>
      <c r="AF395" s="71"/>
      <c r="AG395" s="66"/>
    </row>
    <row r="396" spans="2:33" x14ac:dyDescent="0.15">
      <c r="B396" s="80" t="s">
        <v>2410</v>
      </c>
      <c r="C396" s="81" t="s">
        <v>1693</v>
      </c>
      <c r="D396" s="82">
        <v>1000</v>
      </c>
      <c r="E396" s="80" t="s">
        <v>7</v>
      </c>
      <c r="F396" s="82">
        <v>283</v>
      </c>
      <c r="H396" s="85">
        <v>43689</v>
      </c>
      <c r="I396" s="80" t="s">
        <v>2409</v>
      </c>
      <c r="J396" s="80" t="s">
        <v>2408</v>
      </c>
      <c r="K396" s="80" t="s">
        <v>2050</v>
      </c>
      <c r="L396" s="80" t="s">
        <v>2407</v>
      </c>
      <c r="M396" s="80">
        <v>2015</v>
      </c>
      <c r="N396" s="80" t="s">
        <v>2406</v>
      </c>
      <c r="O396" s="80" t="s">
        <v>2405</v>
      </c>
      <c r="P396" s="84" t="s">
        <v>1</v>
      </c>
      <c r="Q396" s="84" t="s">
        <v>1</v>
      </c>
      <c r="R396" s="84" t="s">
        <v>1</v>
      </c>
      <c r="S396" s="84" t="s">
        <v>1</v>
      </c>
      <c r="T396" s="84" t="s">
        <v>1</v>
      </c>
      <c r="U396" s="84" t="s">
        <v>1</v>
      </c>
      <c r="V396" s="84" t="s">
        <v>1</v>
      </c>
      <c r="W396" s="84" t="s">
        <v>1</v>
      </c>
      <c r="X396" s="84" t="s">
        <v>1</v>
      </c>
      <c r="Y396" s="84" t="s">
        <v>1</v>
      </c>
      <c r="Z396" s="84" t="s">
        <v>1</v>
      </c>
      <c r="AA396" s="84" t="s">
        <v>1</v>
      </c>
      <c r="AB396" s="80" t="s">
        <v>2377</v>
      </c>
      <c r="AE396" s="25" t="s">
        <v>2404</v>
      </c>
      <c r="AF396" s="71"/>
      <c r="AG396" s="66"/>
    </row>
    <row r="397" spans="2:33" x14ac:dyDescent="0.15">
      <c r="B397" s="80" t="s">
        <v>2403</v>
      </c>
      <c r="C397" s="81" t="s">
        <v>1693</v>
      </c>
      <c r="D397" s="82">
        <v>1000</v>
      </c>
      <c r="E397" s="80" t="s">
        <v>7</v>
      </c>
      <c r="F397" s="82">
        <v>140</v>
      </c>
      <c r="H397" s="27">
        <v>43322</v>
      </c>
      <c r="I397" s="80" t="s">
        <v>2402</v>
      </c>
      <c r="J397" s="80" t="s">
        <v>2401</v>
      </c>
      <c r="K397" s="80" t="s">
        <v>2050</v>
      </c>
      <c r="L397" s="80" t="s">
        <v>2400</v>
      </c>
      <c r="M397" s="80">
        <v>2014</v>
      </c>
      <c r="N397" s="80" t="s">
        <v>2399</v>
      </c>
      <c r="O397" s="80" t="s">
        <v>2398</v>
      </c>
      <c r="P397" s="84" t="s">
        <v>1</v>
      </c>
      <c r="Q397" s="84" t="s">
        <v>1</v>
      </c>
      <c r="R397" s="84" t="s">
        <v>1</v>
      </c>
      <c r="S397" s="84" t="s">
        <v>1</v>
      </c>
      <c r="T397" s="84" t="s">
        <v>1</v>
      </c>
      <c r="U397" s="84" t="s">
        <v>1</v>
      </c>
      <c r="V397" s="84" t="s">
        <v>1</v>
      </c>
      <c r="W397" s="84" t="s">
        <v>1</v>
      </c>
      <c r="X397" s="84" t="s">
        <v>1</v>
      </c>
      <c r="Y397" s="84" t="s">
        <v>1</v>
      </c>
      <c r="Z397" s="84" t="s">
        <v>1</v>
      </c>
      <c r="AA397" s="84" t="s">
        <v>1</v>
      </c>
      <c r="AB397" s="80" t="s">
        <v>2377</v>
      </c>
    </row>
    <row r="398" spans="2:33" x14ac:dyDescent="0.15">
      <c r="B398" s="80" t="s">
        <v>29</v>
      </c>
      <c r="C398" s="81" t="s">
        <v>2145</v>
      </c>
      <c r="D398" s="82">
        <v>1000</v>
      </c>
      <c r="E398" s="80" t="s">
        <v>5</v>
      </c>
      <c r="F398" s="82">
        <v>228.57142857142858</v>
      </c>
      <c r="H398" s="85">
        <v>45078</v>
      </c>
      <c r="I398" s="80" t="s">
        <v>2397</v>
      </c>
      <c r="J398" s="80" t="s">
        <v>2393</v>
      </c>
      <c r="K398" s="80" t="s">
        <v>2050</v>
      </c>
      <c r="L398" s="80" t="s">
        <v>2396</v>
      </c>
      <c r="M398" s="80">
        <v>2023</v>
      </c>
      <c r="N398" s="80" t="s">
        <v>2395</v>
      </c>
      <c r="O398" s="80" t="s">
        <v>2394</v>
      </c>
      <c r="P398" s="84" t="s">
        <v>5</v>
      </c>
      <c r="Q398" s="84">
        <v>50</v>
      </c>
      <c r="R398" s="84" t="s">
        <v>2393</v>
      </c>
      <c r="S398" s="84" t="s">
        <v>1</v>
      </c>
      <c r="T398" s="84" t="s">
        <v>1</v>
      </c>
      <c r="U398" s="84" t="s">
        <v>1</v>
      </c>
      <c r="V398" s="84" t="s">
        <v>1</v>
      </c>
      <c r="W398" s="84" t="s">
        <v>1</v>
      </c>
      <c r="X398" s="84" t="s">
        <v>1</v>
      </c>
      <c r="Y398" s="84" t="s">
        <v>1</v>
      </c>
      <c r="Z398" s="84" t="s">
        <v>1</v>
      </c>
      <c r="AA398" s="84" t="s">
        <v>1</v>
      </c>
      <c r="AB398" s="80" t="s">
        <v>2377</v>
      </c>
    </row>
    <row r="399" spans="2:33" x14ac:dyDescent="0.15">
      <c r="B399" s="80" t="s">
        <v>2392</v>
      </c>
      <c r="C399" s="81" t="s">
        <v>2145</v>
      </c>
      <c r="D399" s="82">
        <v>1000</v>
      </c>
      <c r="N399" s="80" t="s">
        <v>2391</v>
      </c>
      <c r="AB399" s="80" t="s">
        <v>2053</v>
      </c>
      <c r="AE399" s="25" t="s">
        <v>2390</v>
      </c>
      <c r="AF399" s="71"/>
      <c r="AG399" s="66"/>
    </row>
    <row r="400" spans="2:33" x14ac:dyDescent="0.15">
      <c r="B400" s="80" t="s">
        <v>2389</v>
      </c>
      <c r="C400" s="81" t="s">
        <v>1693</v>
      </c>
      <c r="D400" s="82">
        <v>785</v>
      </c>
      <c r="E400" s="80" t="s">
        <v>7</v>
      </c>
      <c r="F400" s="82">
        <v>215</v>
      </c>
      <c r="H400" s="85">
        <v>44496</v>
      </c>
      <c r="I400" s="80" t="s">
        <v>2388</v>
      </c>
      <c r="J400" s="80" t="s">
        <v>2387</v>
      </c>
      <c r="K400" s="80" t="s">
        <v>2067</v>
      </c>
      <c r="L400" s="80" t="s">
        <v>2386</v>
      </c>
      <c r="M400" s="80">
        <v>2018</v>
      </c>
      <c r="N400" s="80" t="s">
        <v>2385</v>
      </c>
      <c r="O400" s="80" t="s">
        <v>2384</v>
      </c>
      <c r="AB400" s="80" t="s">
        <v>2060</v>
      </c>
      <c r="AE400" s="25" t="s">
        <v>2383</v>
      </c>
      <c r="AF400" s="71"/>
      <c r="AG400" s="66"/>
    </row>
    <row r="401" spans="2:33" x14ac:dyDescent="0.15">
      <c r="B401" s="80" t="s">
        <v>2382</v>
      </c>
      <c r="C401" s="81" t="s">
        <v>1693</v>
      </c>
      <c r="D401" s="82">
        <v>700</v>
      </c>
      <c r="E401" s="80" t="s">
        <v>18</v>
      </c>
      <c r="K401" s="80" t="s">
        <v>2050</v>
      </c>
      <c r="L401" s="80" t="s">
        <v>2356</v>
      </c>
      <c r="N401" s="80" t="s">
        <v>2381</v>
      </c>
      <c r="AE401" s="25"/>
      <c r="AF401" s="71"/>
      <c r="AG401" s="66"/>
    </row>
    <row r="402" spans="2:33" x14ac:dyDescent="0.15">
      <c r="B402" s="80" t="s">
        <v>2380</v>
      </c>
      <c r="C402" s="81" t="s">
        <v>1693</v>
      </c>
      <c r="D402" s="82">
        <v>700</v>
      </c>
      <c r="E402" s="80" t="s">
        <v>7</v>
      </c>
      <c r="F402" s="82">
        <f>1500/7</f>
        <v>214.28571428571428</v>
      </c>
      <c r="H402" s="85">
        <v>44922</v>
      </c>
      <c r="I402" s="80" t="s">
        <v>2379</v>
      </c>
      <c r="J402" s="80" t="s">
        <v>2378</v>
      </c>
      <c r="K402" s="80" t="s">
        <v>2050</v>
      </c>
      <c r="L402" s="80" t="s">
        <v>2084</v>
      </c>
      <c r="M402" s="80">
        <v>2020</v>
      </c>
      <c r="O402" s="80" t="s">
        <v>1</v>
      </c>
      <c r="P402" s="80" t="s">
        <v>1</v>
      </c>
      <c r="Q402" s="80" t="s">
        <v>1</v>
      </c>
      <c r="R402" s="80" t="s">
        <v>1</v>
      </c>
      <c r="S402" s="80" t="s">
        <v>1</v>
      </c>
      <c r="T402" s="80" t="s">
        <v>1</v>
      </c>
      <c r="U402" s="80" t="s">
        <v>1</v>
      </c>
      <c r="V402" s="80" t="s">
        <v>1</v>
      </c>
      <c r="W402" s="80" t="s">
        <v>1</v>
      </c>
      <c r="X402" s="80" t="s">
        <v>1</v>
      </c>
      <c r="Y402" s="80" t="s">
        <v>1</v>
      </c>
      <c r="Z402" s="80" t="s">
        <v>1</v>
      </c>
      <c r="AA402" s="80" t="s">
        <v>1</v>
      </c>
      <c r="AB402" s="80" t="s">
        <v>2377</v>
      </c>
      <c r="AE402" s="25" t="s">
        <v>2376</v>
      </c>
      <c r="AF402" s="71"/>
      <c r="AG402" s="66"/>
    </row>
    <row r="403" spans="2:33" x14ac:dyDescent="0.15">
      <c r="B403" s="80" t="s">
        <v>2375</v>
      </c>
      <c r="C403" s="81" t="s">
        <v>1693</v>
      </c>
      <c r="D403" s="82">
        <v>400</v>
      </c>
      <c r="E403" s="80" t="s">
        <v>7</v>
      </c>
      <c r="F403" s="82">
        <v>44</v>
      </c>
      <c r="H403" s="85">
        <v>45006</v>
      </c>
      <c r="I403" s="80" t="s">
        <v>2374</v>
      </c>
      <c r="J403" s="80" t="s">
        <v>2373</v>
      </c>
      <c r="K403" s="80" t="s">
        <v>2050</v>
      </c>
      <c r="L403" s="80" t="s">
        <v>2105</v>
      </c>
      <c r="M403" s="80">
        <v>2012</v>
      </c>
      <c r="O403" s="80" t="s">
        <v>2372</v>
      </c>
      <c r="P403" s="84" t="s">
        <v>1</v>
      </c>
      <c r="Q403" s="84">
        <v>39.700000000000003</v>
      </c>
      <c r="R403" s="84" t="s">
        <v>1</v>
      </c>
      <c r="S403" s="84" t="s">
        <v>5</v>
      </c>
      <c r="T403" s="84">
        <v>15</v>
      </c>
      <c r="U403" s="84" t="s">
        <v>2371</v>
      </c>
      <c r="V403" s="84" t="s">
        <v>4</v>
      </c>
      <c r="W403" s="84">
        <v>4</v>
      </c>
      <c r="X403" s="84" t="s">
        <v>2370</v>
      </c>
      <c r="Y403" s="84" t="s">
        <v>278</v>
      </c>
      <c r="Z403" s="84" t="s">
        <v>1</v>
      </c>
      <c r="AA403" s="84" t="s">
        <v>1</v>
      </c>
      <c r="AB403" s="80" t="s">
        <v>2369</v>
      </c>
    </row>
    <row r="404" spans="2:33" x14ac:dyDescent="0.15">
      <c r="B404" s="80" t="s">
        <v>2368</v>
      </c>
      <c r="C404" s="81" t="s">
        <v>1693</v>
      </c>
      <c r="D404" s="82">
        <v>500</v>
      </c>
      <c r="E404" s="80" t="s">
        <v>7</v>
      </c>
      <c r="F404" s="82">
        <v>159</v>
      </c>
      <c r="H404" s="85">
        <v>45092</v>
      </c>
      <c r="I404" s="80" t="s">
        <v>2367</v>
      </c>
      <c r="J404" s="80" t="s">
        <v>1</v>
      </c>
      <c r="K404" s="80" t="s">
        <v>2210</v>
      </c>
      <c r="L404" s="80" t="s">
        <v>2210</v>
      </c>
      <c r="M404" s="80">
        <v>2015</v>
      </c>
      <c r="O404" s="80" t="s">
        <v>2366</v>
      </c>
      <c r="P404" s="84" t="s">
        <v>7</v>
      </c>
      <c r="Q404" s="84">
        <v>159</v>
      </c>
      <c r="R404" s="84" t="s">
        <v>2365</v>
      </c>
      <c r="S404" s="84" t="s">
        <v>5</v>
      </c>
      <c r="T404" s="84">
        <v>12</v>
      </c>
      <c r="U404" s="84" t="s">
        <v>2364</v>
      </c>
      <c r="V404" s="84" t="s">
        <v>1</v>
      </c>
      <c r="W404" s="84" t="s">
        <v>1</v>
      </c>
      <c r="X404" s="84" t="s">
        <v>1</v>
      </c>
      <c r="Y404" s="84" t="s">
        <v>1</v>
      </c>
      <c r="Z404" s="84" t="s">
        <v>1</v>
      </c>
      <c r="AA404" s="84" t="s">
        <v>1</v>
      </c>
      <c r="AB404" s="80" t="s">
        <v>2159</v>
      </c>
    </row>
    <row r="405" spans="2:33" x14ac:dyDescent="0.15">
      <c r="B405" s="80" t="s">
        <v>623</v>
      </c>
      <c r="C405" s="81" t="s">
        <v>1693</v>
      </c>
      <c r="D405" s="82">
        <v>500</v>
      </c>
      <c r="E405" s="80" t="s">
        <v>18</v>
      </c>
      <c r="F405" s="82">
        <v>169</v>
      </c>
      <c r="H405" s="85">
        <v>44727</v>
      </c>
      <c r="I405" s="80" t="s">
        <v>2362</v>
      </c>
      <c r="J405" s="80" t="s">
        <v>2363</v>
      </c>
      <c r="K405" s="80" t="s">
        <v>2362</v>
      </c>
      <c r="L405" s="80" t="s">
        <v>2362</v>
      </c>
      <c r="M405" s="80">
        <v>2010</v>
      </c>
      <c r="O405" s="80" t="s">
        <v>624</v>
      </c>
      <c r="P405" s="84" t="s">
        <v>7</v>
      </c>
      <c r="Q405" s="84">
        <v>14</v>
      </c>
      <c r="R405" s="84" t="s">
        <v>2361</v>
      </c>
      <c r="S405" s="84" t="s">
        <v>5</v>
      </c>
      <c r="T405" s="84">
        <v>6</v>
      </c>
      <c r="U405" s="84" t="s">
        <v>2360</v>
      </c>
      <c r="V405" s="84" t="s">
        <v>1</v>
      </c>
      <c r="W405" s="84" t="s">
        <v>1</v>
      </c>
      <c r="X405" s="84" t="s">
        <v>1</v>
      </c>
      <c r="Y405" s="84" t="s">
        <v>1</v>
      </c>
      <c r="Z405" s="84" t="s">
        <v>1</v>
      </c>
      <c r="AA405" s="84" t="s">
        <v>1</v>
      </c>
      <c r="AB405" s="80" t="s">
        <v>2359</v>
      </c>
    </row>
    <row r="406" spans="2:33" x14ac:dyDescent="0.15">
      <c r="B406" s="80" t="s">
        <v>902</v>
      </c>
      <c r="C406" s="81" t="s">
        <v>1693</v>
      </c>
      <c r="D406" s="82">
        <v>400</v>
      </c>
      <c r="E406" s="80" t="s">
        <v>5</v>
      </c>
      <c r="F406" s="82">
        <v>70</v>
      </c>
      <c r="H406" s="85">
        <v>45035</v>
      </c>
      <c r="I406" s="80" t="s">
        <v>2358</v>
      </c>
      <c r="J406" s="80" t="s">
        <v>2357</v>
      </c>
      <c r="K406" s="80" t="s">
        <v>2050</v>
      </c>
      <c r="L406" s="80" t="s">
        <v>2356</v>
      </c>
      <c r="M406" s="80">
        <v>2022</v>
      </c>
      <c r="O406" s="80" t="s">
        <v>2355</v>
      </c>
      <c r="P406" s="84" t="s">
        <v>1</v>
      </c>
      <c r="Q406" s="84" t="s">
        <v>1</v>
      </c>
      <c r="R406" s="84" t="s">
        <v>1</v>
      </c>
      <c r="S406" s="84" t="s">
        <v>1</v>
      </c>
      <c r="T406" s="84" t="s">
        <v>1</v>
      </c>
      <c r="U406" s="84" t="s">
        <v>1</v>
      </c>
      <c r="V406" s="84" t="s">
        <v>1</v>
      </c>
      <c r="W406" s="84" t="s">
        <v>1</v>
      </c>
      <c r="X406" s="84" t="s">
        <v>1</v>
      </c>
      <c r="Y406" s="84" t="s">
        <v>1</v>
      </c>
      <c r="Z406" s="84" t="s">
        <v>1</v>
      </c>
      <c r="AA406" s="84" t="s">
        <v>1</v>
      </c>
      <c r="AB406" s="80" t="s">
        <v>2198</v>
      </c>
    </row>
    <row r="407" spans="2:33" x14ac:dyDescent="0.15">
      <c r="B407" s="80" t="s">
        <v>2354</v>
      </c>
      <c r="C407" s="81" t="s">
        <v>1693</v>
      </c>
      <c r="D407" s="82">
        <v>300</v>
      </c>
      <c r="E407" s="80" t="s">
        <v>18</v>
      </c>
      <c r="F407" s="82">
        <v>40</v>
      </c>
      <c r="H407" s="85">
        <v>44909</v>
      </c>
      <c r="I407" s="80" t="s">
        <v>2353</v>
      </c>
      <c r="J407" s="80" t="s">
        <v>2352</v>
      </c>
      <c r="K407" s="80" t="s">
        <v>2050</v>
      </c>
      <c r="L407" s="80" t="s">
        <v>2351</v>
      </c>
      <c r="M407" s="80">
        <v>2013</v>
      </c>
      <c r="N407" s="80" t="s">
        <v>2350</v>
      </c>
      <c r="O407" s="80" t="s">
        <v>2349</v>
      </c>
      <c r="P407" s="84" t="s">
        <v>18</v>
      </c>
      <c r="Q407" s="84">
        <v>40</v>
      </c>
      <c r="R407" s="84" t="s">
        <v>2348</v>
      </c>
      <c r="S407" s="84" t="s">
        <v>7</v>
      </c>
      <c r="T407" s="84" t="s">
        <v>1</v>
      </c>
      <c r="U407" s="84" t="s">
        <v>2347</v>
      </c>
      <c r="V407" s="84" t="s">
        <v>5</v>
      </c>
      <c r="W407" s="84">
        <v>15</v>
      </c>
      <c r="X407" s="84" t="s">
        <v>2346</v>
      </c>
      <c r="Y407" s="84" t="s">
        <v>1</v>
      </c>
      <c r="Z407" s="84" t="s">
        <v>1</v>
      </c>
      <c r="AA407" s="84" t="s">
        <v>1</v>
      </c>
      <c r="AB407" s="80" t="s">
        <v>2048</v>
      </c>
    </row>
    <row r="408" spans="2:33" x14ac:dyDescent="0.15">
      <c r="B408" s="80" t="s">
        <v>2345</v>
      </c>
      <c r="C408" s="81" t="s">
        <v>1693</v>
      </c>
      <c r="D408" s="82" t="s">
        <v>1</v>
      </c>
      <c r="E408" s="80" t="s">
        <v>4</v>
      </c>
      <c r="F408" s="82" t="s">
        <v>1</v>
      </c>
      <c r="H408" s="85">
        <v>44750</v>
      </c>
      <c r="I408" s="80" t="s">
        <v>2344</v>
      </c>
      <c r="J408" s="80" t="s">
        <v>2343</v>
      </c>
      <c r="K408" s="80" t="s">
        <v>969</v>
      </c>
      <c r="L408" s="80" t="s">
        <v>2342</v>
      </c>
      <c r="M408" s="80">
        <v>2020</v>
      </c>
      <c r="O408" s="80" t="s">
        <v>125</v>
      </c>
      <c r="P408" s="84" t="s">
        <v>278</v>
      </c>
      <c r="Q408" s="84">
        <v>2</v>
      </c>
      <c r="R408" s="84" t="s">
        <v>2341</v>
      </c>
      <c r="S408" s="84" t="s">
        <v>1</v>
      </c>
      <c r="T408" s="84" t="s">
        <v>1</v>
      </c>
      <c r="U408" s="84" t="s">
        <v>1</v>
      </c>
      <c r="V408" s="84" t="s">
        <v>1</v>
      </c>
      <c r="W408" s="84" t="s">
        <v>1</v>
      </c>
      <c r="X408" s="84" t="s">
        <v>1</v>
      </c>
      <c r="Y408" s="84" t="s">
        <v>1</v>
      </c>
      <c r="Z408" s="84" t="s">
        <v>1</v>
      </c>
      <c r="AA408" s="84" t="s">
        <v>1</v>
      </c>
      <c r="AB408" s="80" t="s">
        <v>2170</v>
      </c>
    </row>
    <row r="409" spans="2:33" x14ac:dyDescent="0.15">
      <c r="B409" s="80" t="s">
        <v>2340</v>
      </c>
      <c r="C409" s="81" t="s">
        <v>2145</v>
      </c>
      <c r="D409" s="82">
        <v>230</v>
      </c>
      <c r="E409" s="80" t="s">
        <v>5</v>
      </c>
      <c r="F409" s="82">
        <v>150</v>
      </c>
      <c r="H409" s="85">
        <v>44165</v>
      </c>
      <c r="J409" s="80" t="s">
        <v>1</v>
      </c>
      <c r="K409" s="80" t="s">
        <v>2050</v>
      </c>
      <c r="L409" s="80" t="s">
        <v>2339</v>
      </c>
      <c r="M409" s="80">
        <v>2016</v>
      </c>
      <c r="O409" s="80" t="s">
        <v>2338</v>
      </c>
      <c r="P409" s="84" t="s">
        <v>1</v>
      </c>
      <c r="Q409" s="84" t="s">
        <v>1</v>
      </c>
      <c r="R409" s="84" t="s">
        <v>1</v>
      </c>
      <c r="S409" s="84" t="s">
        <v>1</v>
      </c>
      <c r="T409" s="84" t="s">
        <v>1</v>
      </c>
      <c r="U409" s="84" t="s">
        <v>1</v>
      </c>
      <c r="V409" s="84" t="s">
        <v>1</v>
      </c>
      <c r="W409" s="84" t="s">
        <v>1</v>
      </c>
      <c r="X409" s="84" t="s">
        <v>1</v>
      </c>
      <c r="Y409" s="84" t="s">
        <v>1</v>
      </c>
      <c r="Z409" s="84" t="s">
        <v>1</v>
      </c>
      <c r="AA409" s="84" t="s">
        <v>1</v>
      </c>
      <c r="AB409" s="80" t="s">
        <v>2337</v>
      </c>
    </row>
    <row r="410" spans="2:33" x14ac:dyDescent="0.15">
      <c r="B410" s="80" t="s">
        <v>2068</v>
      </c>
      <c r="C410" s="81" t="s">
        <v>1693</v>
      </c>
      <c r="D410" s="82">
        <v>200</v>
      </c>
      <c r="E410" s="80" t="s">
        <v>7</v>
      </c>
      <c r="F410" s="82">
        <v>56</v>
      </c>
      <c r="H410" s="85">
        <v>43754</v>
      </c>
      <c r="I410" s="143" t="s">
        <v>2066</v>
      </c>
      <c r="K410" s="80" t="s">
        <v>2067</v>
      </c>
      <c r="L410" s="80" t="s">
        <v>2066</v>
      </c>
      <c r="M410" s="80">
        <v>2014</v>
      </c>
      <c r="N410" s="143" t="s">
        <v>6257</v>
      </c>
      <c r="O410" s="143" t="s">
        <v>6259</v>
      </c>
      <c r="P410" s="148" t="s">
        <v>1</v>
      </c>
      <c r="Q410" s="148" t="s">
        <v>1</v>
      </c>
      <c r="R410" s="148" t="s">
        <v>1</v>
      </c>
      <c r="S410" s="148" t="s">
        <v>1</v>
      </c>
      <c r="T410" s="148" t="s">
        <v>1</v>
      </c>
      <c r="U410" s="148" t="s">
        <v>1</v>
      </c>
      <c r="V410" s="148" t="s">
        <v>1</v>
      </c>
      <c r="W410" s="148" t="s">
        <v>1</v>
      </c>
      <c r="X410" s="148" t="s">
        <v>1</v>
      </c>
      <c r="Y410" s="148" t="s">
        <v>1</v>
      </c>
      <c r="Z410" s="148" t="s">
        <v>1</v>
      </c>
      <c r="AA410" s="148" t="s">
        <v>1</v>
      </c>
      <c r="AB410" s="80" t="s">
        <v>2064</v>
      </c>
      <c r="AE410" s="25" t="s">
        <v>2063</v>
      </c>
      <c r="AF410" s="71"/>
      <c r="AG410" s="66"/>
    </row>
    <row r="411" spans="2:33" x14ac:dyDescent="0.15">
      <c r="B411" s="258" t="s">
        <v>7601</v>
      </c>
      <c r="C411" s="257" t="s">
        <v>1693</v>
      </c>
      <c r="D411" s="80">
        <v>200</v>
      </c>
      <c r="E411" s="258" t="s">
        <v>5</v>
      </c>
      <c r="F411" s="80">
        <v>45</v>
      </c>
      <c r="G411" s="80">
        <f>F411+Q411</f>
        <v>53</v>
      </c>
      <c r="H411" s="86">
        <v>45000</v>
      </c>
      <c r="I411" s="258" t="s">
        <v>7608</v>
      </c>
      <c r="J411" s="258" t="s">
        <v>7603</v>
      </c>
      <c r="K411" s="258" t="s">
        <v>2050</v>
      </c>
      <c r="L411" s="258" t="s">
        <v>2067</v>
      </c>
      <c r="M411" s="80">
        <v>2020</v>
      </c>
      <c r="O411" s="258" t="s">
        <v>7606</v>
      </c>
      <c r="P411" s="258" t="s">
        <v>5</v>
      </c>
      <c r="Q411" s="80">
        <v>8</v>
      </c>
      <c r="R411" s="258" t="s">
        <v>7607</v>
      </c>
      <c r="S411" s="258" t="s">
        <v>1</v>
      </c>
      <c r="T411" s="258" t="s">
        <v>1</v>
      </c>
      <c r="U411" s="258" t="s">
        <v>1</v>
      </c>
      <c r="V411" s="258" t="s">
        <v>1</v>
      </c>
      <c r="W411" s="258" t="s">
        <v>1</v>
      </c>
      <c r="X411" s="258" t="s">
        <v>1</v>
      </c>
      <c r="Y411" s="258" t="s">
        <v>1</v>
      </c>
      <c r="Z411" s="258" t="s">
        <v>1</v>
      </c>
      <c r="AA411" s="258" t="s">
        <v>1</v>
      </c>
      <c r="AB411" s="258" t="s">
        <v>6662</v>
      </c>
      <c r="AC411" s="258" t="s">
        <v>7604</v>
      </c>
      <c r="AD411" s="258" t="s">
        <v>7605</v>
      </c>
      <c r="AE411" s="25" t="s">
        <v>7602</v>
      </c>
      <c r="AF411" s="80"/>
      <c r="AG411" s="80"/>
    </row>
    <row r="412" spans="2:33" x14ac:dyDescent="0.15">
      <c r="B412" s="80" t="s">
        <v>2336</v>
      </c>
      <c r="C412" s="81" t="s">
        <v>2145</v>
      </c>
      <c r="D412" s="82">
        <v>200</v>
      </c>
      <c r="E412" s="80" t="s">
        <v>8</v>
      </c>
      <c r="F412" s="82">
        <v>30</v>
      </c>
      <c r="H412" s="85">
        <v>43178</v>
      </c>
      <c r="I412" s="80" t="s">
        <v>2335</v>
      </c>
      <c r="J412" s="80" t="s">
        <v>2334</v>
      </c>
      <c r="K412" s="80" t="s">
        <v>2050</v>
      </c>
      <c r="L412" s="80" t="s">
        <v>2087</v>
      </c>
      <c r="M412" s="80">
        <v>2000</v>
      </c>
      <c r="N412" s="80" t="s">
        <v>2333</v>
      </c>
      <c r="O412" s="80" t="s">
        <v>2332</v>
      </c>
      <c r="P412" s="84" t="s">
        <v>8</v>
      </c>
      <c r="Q412" s="84">
        <v>40</v>
      </c>
      <c r="R412" s="84" t="s">
        <v>2331</v>
      </c>
      <c r="S412" s="84" t="s">
        <v>1</v>
      </c>
      <c r="T412" s="84" t="s">
        <v>1</v>
      </c>
      <c r="U412" s="84" t="s">
        <v>1</v>
      </c>
      <c r="V412" s="84" t="s">
        <v>1</v>
      </c>
      <c r="W412" s="84" t="s">
        <v>1</v>
      </c>
      <c r="X412" s="84" t="s">
        <v>1</v>
      </c>
      <c r="Y412" s="84" t="s">
        <v>1</v>
      </c>
      <c r="Z412" s="84" t="s">
        <v>1</v>
      </c>
      <c r="AA412" s="84" t="s">
        <v>1</v>
      </c>
      <c r="AB412" s="80" t="s">
        <v>2330</v>
      </c>
    </row>
    <row r="413" spans="2:33" x14ac:dyDescent="0.15">
      <c r="B413" s="80" t="s">
        <v>2329</v>
      </c>
      <c r="C413" s="81" t="s">
        <v>1693</v>
      </c>
      <c r="D413" s="82">
        <v>150</v>
      </c>
      <c r="E413" s="80" t="s">
        <v>18</v>
      </c>
      <c r="F413" s="82">
        <v>30</v>
      </c>
      <c r="H413" s="85">
        <v>44251</v>
      </c>
      <c r="I413" s="80" t="s">
        <v>2328</v>
      </c>
      <c r="J413" s="80" t="s">
        <v>2327</v>
      </c>
      <c r="K413" s="80" t="s">
        <v>2050</v>
      </c>
      <c r="L413" s="80" t="s">
        <v>2326</v>
      </c>
      <c r="M413" s="80">
        <v>2014</v>
      </c>
      <c r="O413" s="80" t="s">
        <v>2325</v>
      </c>
      <c r="P413" s="84" t="s">
        <v>1</v>
      </c>
      <c r="Q413" s="84" t="s">
        <v>1</v>
      </c>
      <c r="R413" s="84" t="s">
        <v>1</v>
      </c>
      <c r="S413" s="84" t="s">
        <v>1</v>
      </c>
      <c r="T413" s="84" t="s">
        <v>1</v>
      </c>
      <c r="U413" s="84" t="s">
        <v>1</v>
      </c>
      <c r="V413" s="84" t="s">
        <v>1</v>
      </c>
      <c r="W413" s="84" t="s">
        <v>1</v>
      </c>
      <c r="X413" s="84" t="s">
        <v>1</v>
      </c>
      <c r="Y413" s="84" t="s">
        <v>1</v>
      </c>
      <c r="Z413" s="84" t="s">
        <v>1</v>
      </c>
      <c r="AA413" s="84" t="s">
        <v>1</v>
      </c>
      <c r="AB413" s="80" t="s">
        <v>2053</v>
      </c>
    </row>
    <row r="414" spans="2:33" x14ac:dyDescent="0.15">
      <c r="B414" s="80" t="s">
        <v>2112</v>
      </c>
      <c r="C414" s="81" t="s">
        <v>1693</v>
      </c>
      <c r="D414" s="82">
        <v>100</v>
      </c>
      <c r="E414" s="80" t="s">
        <v>4</v>
      </c>
      <c r="F414" s="82">
        <v>2</v>
      </c>
      <c r="H414" s="85">
        <v>45015</v>
      </c>
      <c r="I414" s="80" t="s">
        <v>2374</v>
      </c>
      <c r="J414" s="80" t="s">
        <v>1</v>
      </c>
      <c r="K414" s="80" t="s">
        <v>2050</v>
      </c>
      <c r="L414" s="80" t="s">
        <v>2084</v>
      </c>
      <c r="M414" s="80">
        <v>2022</v>
      </c>
      <c r="N414" s="80" t="s">
        <v>2111</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2110</v>
      </c>
      <c r="AE414" s="25" t="s">
        <v>2109</v>
      </c>
      <c r="AF414" s="71"/>
      <c r="AG414" s="66"/>
    </row>
    <row r="415" spans="2:33" s="192" customFormat="1" x14ac:dyDescent="0.15">
      <c r="B415" s="192" t="s">
        <v>2027</v>
      </c>
      <c r="C415" s="201" t="s">
        <v>1693</v>
      </c>
      <c r="D415" s="194">
        <v>100</v>
      </c>
      <c r="E415" s="192" t="s">
        <v>5</v>
      </c>
      <c r="F415" s="194">
        <v>15</v>
      </c>
      <c r="G415" s="194">
        <f>F415+Q415</f>
        <v>19</v>
      </c>
      <c r="H415" s="202">
        <v>44872</v>
      </c>
      <c r="I415" s="192" t="s">
        <v>6794</v>
      </c>
      <c r="J415" s="192" t="s">
        <v>6793</v>
      </c>
      <c r="K415" s="192" t="s">
        <v>2050</v>
      </c>
      <c r="L415" s="192" t="s">
        <v>6792</v>
      </c>
      <c r="M415" s="192">
        <v>2019</v>
      </c>
      <c r="N415" s="192" t="s">
        <v>6442</v>
      </c>
      <c r="O415" s="192" t="s">
        <v>6796</v>
      </c>
      <c r="P415" s="195" t="s">
        <v>4</v>
      </c>
      <c r="Q415" s="195">
        <v>4</v>
      </c>
      <c r="R415" s="209">
        <v>44673</v>
      </c>
      <c r="S415" s="195" t="s">
        <v>4</v>
      </c>
      <c r="T415" s="195" t="s">
        <v>1</v>
      </c>
      <c r="U415" s="195" t="s">
        <v>6797</v>
      </c>
      <c r="V415" s="195" t="s">
        <v>1</v>
      </c>
      <c r="W415" s="195" t="s">
        <v>1</v>
      </c>
      <c r="X415" s="195" t="s">
        <v>1</v>
      </c>
      <c r="Y415" s="195" t="s">
        <v>1</v>
      </c>
      <c r="Z415" s="195" t="s">
        <v>1</v>
      </c>
      <c r="AA415" s="195" t="s">
        <v>1</v>
      </c>
      <c r="AB415" s="192" t="s">
        <v>6662</v>
      </c>
      <c r="AC415" s="192" t="s">
        <v>6665</v>
      </c>
      <c r="AD415" s="192" t="s">
        <v>2369</v>
      </c>
      <c r="AE415" s="25" t="s">
        <v>6795</v>
      </c>
      <c r="AF415" s="70"/>
      <c r="AG415" s="65"/>
    </row>
    <row r="416" spans="2:33" x14ac:dyDescent="0.15">
      <c r="B416" s="80" t="s">
        <v>2324</v>
      </c>
      <c r="C416" s="81" t="s">
        <v>1693</v>
      </c>
      <c r="D416" s="82" t="s">
        <v>1</v>
      </c>
      <c r="E416" s="80" t="s">
        <v>278</v>
      </c>
      <c r="F416" s="82" t="s">
        <v>1</v>
      </c>
      <c r="H416" s="82" t="s">
        <v>1</v>
      </c>
      <c r="J416" s="80" t="s">
        <v>2323</v>
      </c>
      <c r="K416" s="80" t="s">
        <v>2322</v>
      </c>
      <c r="L416" s="80" t="s">
        <v>2067</v>
      </c>
      <c r="M416" s="80">
        <v>2022</v>
      </c>
      <c r="O416" s="88" t="s">
        <v>1</v>
      </c>
      <c r="P416" s="88" t="s">
        <v>1</v>
      </c>
      <c r="Q416" s="88" t="s">
        <v>1</v>
      </c>
      <c r="R416" s="88" t="s">
        <v>1</v>
      </c>
      <c r="S416" s="88" t="s">
        <v>1</v>
      </c>
      <c r="T416" s="88" t="s">
        <v>1</v>
      </c>
      <c r="U416" s="88" t="s">
        <v>1</v>
      </c>
      <c r="V416" s="88" t="s">
        <v>1</v>
      </c>
      <c r="W416" s="88" t="s">
        <v>1</v>
      </c>
      <c r="X416" s="88" t="s">
        <v>1</v>
      </c>
      <c r="Y416" s="88" t="s">
        <v>1</v>
      </c>
      <c r="Z416" s="88" t="s">
        <v>1</v>
      </c>
      <c r="AA416" s="88" t="s">
        <v>1</v>
      </c>
      <c r="AB416" s="80" t="s">
        <v>2321</v>
      </c>
    </row>
    <row r="417" spans="2:33" x14ac:dyDescent="0.15">
      <c r="B417" s="80" t="s">
        <v>2320</v>
      </c>
      <c r="C417" s="81" t="s">
        <v>2145</v>
      </c>
      <c r="D417" s="82" t="s">
        <v>1</v>
      </c>
      <c r="E417" s="88" t="s">
        <v>1</v>
      </c>
      <c r="F417" s="82">
        <v>150</v>
      </c>
      <c r="H417" s="83">
        <v>2016</v>
      </c>
      <c r="I417" s="80" t="s">
        <v>2319</v>
      </c>
      <c r="J417" s="80" t="s">
        <v>1</v>
      </c>
      <c r="K417" s="80" t="s">
        <v>2050</v>
      </c>
      <c r="L417" s="80" t="s">
        <v>2318</v>
      </c>
      <c r="M417" s="80">
        <v>2016</v>
      </c>
      <c r="O417" s="80" t="s">
        <v>1</v>
      </c>
      <c r="P417" s="84" t="s">
        <v>1</v>
      </c>
      <c r="Q417" s="84" t="s">
        <v>1</v>
      </c>
      <c r="R417" s="84" t="s">
        <v>1</v>
      </c>
      <c r="S417" s="84" t="s">
        <v>1</v>
      </c>
      <c r="T417" s="84" t="s">
        <v>1</v>
      </c>
      <c r="U417" s="84" t="s">
        <v>1</v>
      </c>
      <c r="V417" s="84" t="s">
        <v>1</v>
      </c>
      <c r="W417" s="84" t="s">
        <v>1</v>
      </c>
      <c r="X417" s="84" t="s">
        <v>1</v>
      </c>
      <c r="Y417" s="84" t="s">
        <v>1</v>
      </c>
      <c r="Z417" s="84" t="s">
        <v>1</v>
      </c>
      <c r="AA417" s="84" t="s">
        <v>1</v>
      </c>
      <c r="AB417" s="80" t="s">
        <v>2159</v>
      </c>
      <c r="AF417" s="80"/>
      <c r="AG417" s="80"/>
    </row>
    <row r="418" spans="2:33" x14ac:dyDescent="0.15">
      <c r="B418" s="80" t="s">
        <v>2317</v>
      </c>
      <c r="C418" s="81" t="s">
        <v>1693</v>
      </c>
      <c r="D418" s="82" t="s">
        <v>1</v>
      </c>
      <c r="E418" s="80" t="s">
        <v>278</v>
      </c>
      <c r="F418" s="82" t="s">
        <v>1</v>
      </c>
      <c r="H418" s="83" t="s">
        <v>1</v>
      </c>
      <c r="I418" s="80" t="s">
        <v>2316</v>
      </c>
      <c r="J418" s="80" t="s">
        <v>1</v>
      </c>
      <c r="K418" s="80" t="s">
        <v>2315</v>
      </c>
      <c r="L418" s="80" t="s">
        <v>2314</v>
      </c>
      <c r="M418" s="80">
        <v>2022</v>
      </c>
      <c r="O418" s="80" t="s">
        <v>2313</v>
      </c>
      <c r="P418" s="80" t="s">
        <v>1</v>
      </c>
      <c r="Q418" s="80" t="s">
        <v>1</v>
      </c>
      <c r="R418" s="80" t="s">
        <v>1</v>
      </c>
      <c r="S418" s="80" t="s">
        <v>1</v>
      </c>
      <c r="T418" s="80" t="s">
        <v>1</v>
      </c>
      <c r="U418" s="80" t="s">
        <v>1</v>
      </c>
      <c r="V418" s="80" t="s">
        <v>1</v>
      </c>
      <c r="W418" s="80" t="s">
        <v>1</v>
      </c>
      <c r="X418" s="80" t="s">
        <v>1</v>
      </c>
      <c r="Y418" s="80" t="s">
        <v>1</v>
      </c>
      <c r="Z418" s="80" t="s">
        <v>1</v>
      </c>
      <c r="AA418" s="80" t="s">
        <v>1</v>
      </c>
      <c r="AB418" s="80" t="s">
        <v>2312</v>
      </c>
      <c r="AF418" s="80"/>
      <c r="AG418" s="80"/>
    </row>
    <row r="419" spans="2:33" x14ac:dyDescent="0.15">
      <c r="B419" s="80" t="s">
        <v>2311</v>
      </c>
      <c r="C419" s="81" t="s">
        <v>1693</v>
      </c>
      <c r="D419" s="82" t="s">
        <v>1693</v>
      </c>
      <c r="E419" s="82" t="s">
        <v>1693</v>
      </c>
      <c r="F419" s="82" t="s">
        <v>1693</v>
      </c>
      <c r="H419" s="82" t="s">
        <v>1693</v>
      </c>
      <c r="I419" s="80" t="s">
        <v>2310</v>
      </c>
      <c r="J419" s="80" t="s">
        <v>1</v>
      </c>
      <c r="K419" s="80" t="s">
        <v>2050</v>
      </c>
      <c r="L419" s="80" t="s">
        <v>2309</v>
      </c>
      <c r="M419" s="80">
        <v>2014</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80" t="s">
        <v>2053</v>
      </c>
      <c r="AF419" s="80"/>
      <c r="AG419" s="80"/>
    </row>
    <row r="420" spans="2:33" x14ac:dyDescent="0.15">
      <c r="B420" s="80" t="s">
        <v>2308</v>
      </c>
      <c r="C420" s="81" t="s">
        <v>1693</v>
      </c>
      <c r="D420" s="82" t="s">
        <v>1</v>
      </c>
      <c r="E420" s="82" t="s">
        <v>1</v>
      </c>
      <c r="F420" s="82" t="s">
        <v>1</v>
      </c>
      <c r="H420" s="82" t="s">
        <v>1</v>
      </c>
      <c r="I420" s="80" t="s">
        <v>2307</v>
      </c>
      <c r="J420" s="80" t="s">
        <v>2306</v>
      </c>
      <c r="K420" s="80" t="s">
        <v>2050</v>
      </c>
      <c r="L420" s="80" t="s">
        <v>2305</v>
      </c>
      <c r="M420" s="80">
        <v>2022</v>
      </c>
      <c r="N420" s="25" t="s">
        <v>2304</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80" t="s">
        <v>2060</v>
      </c>
      <c r="AF420" s="80"/>
      <c r="AG420" s="80"/>
    </row>
    <row r="421" spans="2:33" x14ac:dyDescent="0.15">
      <c r="B421" s="80" t="s">
        <v>2303</v>
      </c>
      <c r="C421" s="81" t="s">
        <v>1693</v>
      </c>
      <c r="D421" s="82" t="s">
        <v>1</v>
      </c>
      <c r="E421" s="82" t="s">
        <v>1</v>
      </c>
      <c r="F421" s="82" t="s">
        <v>1</v>
      </c>
      <c r="H421" s="82" t="s">
        <v>1</v>
      </c>
      <c r="I421" s="80" t="s">
        <v>2302</v>
      </c>
      <c r="J421" s="80" t="s">
        <v>2301</v>
      </c>
      <c r="K421" s="80" t="s">
        <v>2050</v>
      </c>
      <c r="L421" s="80" t="s">
        <v>2067</v>
      </c>
      <c r="M421" s="80">
        <v>2019</v>
      </c>
      <c r="O421" s="80" t="s">
        <v>1</v>
      </c>
      <c r="P421" s="80" t="s">
        <v>1</v>
      </c>
      <c r="Q421" s="80" t="s">
        <v>1</v>
      </c>
      <c r="R421" s="80" t="s">
        <v>1</v>
      </c>
      <c r="S421" s="80" t="s">
        <v>1</v>
      </c>
      <c r="T421" s="80" t="s">
        <v>1</v>
      </c>
      <c r="U421" s="80" t="s">
        <v>1</v>
      </c>
      <c r="V421" s="80" t="s">
        <v>1</v>
      </c>
      <c r="W421" s="80" t="s">
        <v>1</v>
      </c>
      <c r="X421" s="80" t="s">
        <v>1</v>
      </c>
      <c r="Y421" s="80" t="s">
        <v>1</v>
      </c>
      <c r="Z421" s="80" t="s">
        <v>1</v>
      </c>
      <c r="AA421" s="80" t="s">
        <v>1</v>
      </c>
      <c r="AB421" s="80" t="s">
        <v>2083</v>
      </c>
      <c r="AF421" s="80"/>
      <c r="AG421" s="80"/>
    </row>
    <row r="422" spans="2:33" x14ac:dyDescent="0.15">
      <c r="B422" s="80" t="s">
        <v>2300</v>
      </c>
      <c r="C422" s="81" t="s">
        <v>1693</v>
      </c>
      <c r="D422" s="82">
        <v>20</v>
      </c>
      <c r="E422" s="80" t="s">
        <v>5</v>
      </c>
      <c r="F422" s="82">
        <v>4</v>
      </c>
      <c r="H422" s="85">
        <v>44531</v>
      </c>
      <c r="I422" s="80" t="s">
        <v>2299</v>
      </c>
      <c r="J422" s="80" t="s">
        <v>2298</v>
      </c>
      <c r="K422" s="80" t="s">
        <v>2050</v>
      </c>
      <c r="L422" s="80" t="s">
        <v>2297</v>
      </c>
      <c r="M422" s="80">
        <v>2018</v>
      </c>
      <c r="O422" s="80" t="s">
        <v>1</v>
      </c>
      <c r="P422" s="80" t="s">
        <v>4</v>
      </c>
      <c r="Q422" s="84">
        <v>1.5</v>
      </c>
      <c r="R422" s="80" t="s">
        <v>1</v>
      </c>
      <c r="S422" s="80" t="s">
        <v>278</v>
      </c>
      <c r="T422" s="84">
        <v>0.3</v>
      </c>
      <c r="U422" s="80" t="s">
        <v>1</v>
      </c>
      <c r="V422" s="80" t="s">
        <v>1</v>
      </c>
      <c r="W422" s="80" t="s">
        <v>1</v>
      </c>
      <c r="X422" s="80" t="s">
        <v>1</v>
      </c>
      <c r="Y422" s="80" t="s">
        <v>1</v>
      </c>
      <c r="Z422" s="80" t="s">
        <v>1</v>
      </c>
      <c r="AA422" s="80" t="s">
        <v>1</v>
      </c>
      <c r="AB422" s="80" t="s">
        <v>2296</v>
      </c>
      <c r="AF422" s="80"/>
      <c r="AG422" s="80"/>
    </row>
    <row r="423" spans="2:33" x14ac:dyDescent="0.15">
      <c r="B423" s="80" t="s">
        <v>2295</v>
      </c>
      <c r="C423" s="81" t="s">
        <v>1693</v>
      </c>
      <c r="D423" s="82" t="s">
        <v>1</v>
      </c>
      <c r="E423" s="82" t="s">
        <v>1</v>
      </c>
      <c r="F423" s="82" t="s">
        <v>1</v>
      </c>
      <c r="H423" s="82" t="s">
        <v>1</v>
      </c>
      <c r="I423" s="80" t="s">
        <v>2294</v>
      </c>
      <c r="K423" s="80" t="s">
        <v>1</v>
      </c>
      <c r="L423" s="80" t="s">
        <v>1</v>
      </c>
      <c r="M423" s="80">
        <v>2018</v>
      </c>
      <c r="O423" s="80" t="s">
        <v>2293</v>
      </c>
      <c r="P423" s="84" t="s">
        <v>1</v>
      </c>
      <c r="Q423" s="84" t="s">
        <v>1</v>
      </c>
      <c r="R423" s="84" t="s">
        <v>1</v>
      </c>
      <c r="S423" s="84" t="s">
        <v>1</v>
      </c>
      <c r="T423" s="84" t="s">
        <v>1</v>
      </c>
      <c r="U423" s="84" t="s">
        <v>1</v>
      </c>
      <c r="V423" s="84" t="s">
        <v>1</v>
      </c>
      <c r="W423" s="84" t="s">
        <v>1</v>
      </c>
      <c r="X423" s="84" t="s">
        <v>1</v>
      </c>
      <c r="Y423" s="84" t="s">
        <v>1</v>
      </c>
      <c r="Z423" s="84" t="s">
        <v>1</v>
      </c>
      <c r="AA423" s="84" t="s">
        <v>1</v>
      </c>
      <c r="AB423" s="80" t="s">
        <v>2292</v>
      </c>
      <c r="AF423" s="80"/>
      <c r="AG423" s="80"/>
    </row>
    <row r="424" spans="2:33" x14ac:dyDescent="0.15">
      <c r="B424" s="80" t="s">
        <v>2291</v>
      </c>
      <c r="C424" s="81" t="s">
        <v>1693</v>
      </c>
      <c r="D424" s="82">
        <v>50</v>
      </c>
      <c r="E424" s="80" t="s">
        <v>5</v>
      </c>
      <c r="F424" s="82">
        <v>22</v>
      </c>
      <c r="H424" s="85">
        <v>45072</v>
      </c>
      <c r="I424" s="80" t="s">
        <v>2290</v>
      </c>
      <c r="J424" s="80" t="s">
        <v>2289</v>
      </c>
      <c r="K424" s="80" t="s">
        <v>2105</v>
      </c>
      <c r="L424" s="80" t="s">
        <v>2288</v>
      </c>
      <c r="M424" s="80">
        <v>2018</v>
      </c>
      <c r="O424" s="80" t="s">
        <v>2287</v>
      </c>
      <c r="P424" s="84" t="s">
        <v>4</v>
      </c>
      <c r="Q424" s="84">
        <v>23.6</v>
      </c>
      <c r="R424" s="84" t="s">
        <v>2286</v>
      </c>
      <c r="S424" s="84" t="s">
        <v>4</v>
      </c>
      <c r="T424" s="84">
        <v>4.5</v>
      </c>
      <c r="U424" s="84" t="s">
        <v>2285</v>
      </c>
      <c r="V424" s="84" t="s">
        <v>1</v>
      </c>
      <c r="W424" s="84" t="s">
        <v>1</v>
      </c>
      <c r="X424" s="84" t="s">
        <v>1</v>
      </c>
      <c r="Y424" s="84" t="s">
        <v>1</v>
      </c>
      <c r="Z424" s="84" t="s">
        <v>1</v>
      </c>
      <c r="AA424" s="84" t="s">
        <v>1</v>
      </c>
      <c r="AB424" s="80" t="s">
        <v>2284</v>
      </c>
      <c r="AF424" s="80"/>
      <c r="AG424" s="80"/>
    </row>
    <row r="425" spans="2:33" x14ac:dyDescent="0.15">
      <c r="B425" s="80" t="s">
        <v>2283</v>
      </c>
      <c r="C425" s="81" t="s">
        <v>1693</v>
      </c>
      <c r="D425" s="82">
        <v>50</v>
      </c>
      <c r="E425" s="80" t="s">
        <v>5</v>
      </c>
      <c r="F425" s="82">
        <v>20</v>
      </c>
      <c r="H425" s="85">
        <v>44396</v>
      </c>
      <c r="I425" s="80" t="s">
        <v>2282</v>
      </c>
      <c r="J425" s="80" t="s">
        <v>2281</v>
      </c>
      <c r="K425" s="80" t="s">
        <v>2050</v>
      </c>
      <c r="L425" s="80" t="s">
        <v>2067</v>
      </c>
      <c r="M425" s="80">
        <v>2013</v>
      </c>
      <c r="O425" s="80" t="s">
        <v>2280</v>
      </c>
      <c r="P425" s="84" t="s">
        <v>4</v>
      </c>
      <c r="Q425" s="84" t="s">
        <v>1</v>
      </c>
      <c r="R425" s="84" t="s">
        <v>2279</v>
      </c>
      <c r="S425" s="84" t="s">
        <v>1</v>
      </c>
      <c r="T425" s="84" t="s">
        <v>1</v>
      </c>
      <c r="U425" s="84" t="s">
        <v>1</v>
      </c>
      <c r="V425" s="84" t="s">
        <v>1</v>
      </c>
      <c r="W425" s="84" t="s">
        <v>1</v>
      </c>
      <c r="X425" s="84" t="s">
        <v>1</v>
      </c>
      <c r="Y425" s="84" t="s">
        <v>1</v>
      </c>
      <c r="Z425" s="84" t="s">
        <v>1</v>
      </c>
      <c r="AA425" s="84" t="s">
        <v>1</v>
      </c>
      <c r="AB425" s="80" t="s">
        <v>2083</v>
      </c>
      <c r="AF425" s="80"/>
      <c r="AG425" s="80"/>
    </row>
    <row r="426" spans="2:33" x14ac:dyDescent="0.15">
      <c r="B426" s="80" t="s">
        <v>2278</v>
      </c>
      <c r="C426" s="81" t="s">
        <v>1693</v>
      </c>
      <c r="D426" s="82">
        <v>50</v>
      </c>
      <c r="E426" s="80" t="s">
        <v>7</v>
      </c>
      <c r="F426" s="82">
        <v>20</v>
      </c>
      <c r="H426" s="85">
        <v>44792</v>
      </c>
      <c r="I426" s="80" t="s">
        <v>2277</v>
      </c>
      <c r="J426" s="80" t="s">
        <v>1</v>
      </c>
      <c r="K426" s="80" t="s">
        <v>2050</v>
      </c>
      <c r="L426" s="80" t="s">
        <v>2067</v>
      </c>
      <c r="M426" s="80">
        <v>2018</v>
      </c>
      <c r="N426" s="80" t="s">
        <v>2276</v>
      </c>
      <c r="AB426" s="80" t="s">
        <v>2275</v>
      </c>
      <c r="AF426" s="80"/>
      <c r="AG426" s="80"/>
    </row>
    <row r="427" spans="2:33" x14ac:dyDescent="0.15">
      <c r="B427" s="80" t="s">
        <v>2271</v>
      </c>
      <c r="C427" s="81" t="s">
        <v>1693</v>
      </c>
      <c r="D427" s="82">
        <v>20</v>
      </c>
      <c r="E427" s="80" t="s">
        <v>4</v>
      </c>
      <c r="F427" s="82">
        <v>1.5</v>
      </c>
      <c r="H427" s="85">
        <v>45028</v>
      </c>
      <c r="I427" s="80" t="s">
        <v>2270</v>
      </c>
      <c r="J427" s="80" t="s">
        <v>2269</v>
      </c>
      <c r="K427" s="80" t="s">
        <v>2105</v>
      </c>
      <c r="L427" s="80" t="s">
        <v>2268</v>
      </c>
      <c r="M427" s="80">
        <v>2014</v>
      </c>
      <c r="O427" s="80" t="s">
        <v>2267</v>
      </c>
      <c r="P427" s="84" t="s">
        <v>1</v>
      </c>
      <c r="Q427" s="84" t="s">
        <v>1</v>
      </c>
      <c r="R427" s="84" t="s">
        <v>1</v>
      </c>
      <c r="S427" s="84" t="s">
        <v>1</v>
      </c>
      <c r="T427" s="84" t="s">
        <v>1</v>
      </c>
      <c r="U427" s="84" t="s">
        <v>1</v>
      </c>
      <c r="V427" s="84" t="s">
        <v>1</v>
      </c>
      <c r="W427" s="84" t="s">
        <v>1</v>
      </c>
      <c r="X427" s="84" t="s">
        <v>1</v>
      </c>
      <c r="Y427" s="84" t="s">
        <v>1</v>
      </c>
      <c r="Z427" s="84" t="s">
        <v>1</v>
      </c>
      <c r="AA427" s="84" t="s">
        <v>1</v>
      </c>
      <c r="AB427" s="80" t="s">
        <v>2266</v>
      </c>
      <c r="AF427" s="80"/>
      <c r="AG427" s="80"/>
    </row>
    <row r="428" spans="2:33" x14ac:dyDescent="0.15">
      <c r="B428" s="80" t="s">
        <v>2265</v>
      </c>
      <c r="C428" s="81" t="s">
        <v>1693</v>
      </c>
      <c r="D428" s="82">
        <v>60</v>
      </c>
      <c r="E428" s="80" t="s">
        <v>5</v>
      </c>
      <c r="F428" s="82">
        <v>12</v>
      </c>
      <c r="H428" s="85">
        <v>43207</v>
      </c>
      <c r="I428" s="80" t="s">
        <v>2264</v>
      </c>
      <c r="J428" s="80" t="s">
        <v>2263</v>
      </c>
      <c r="K428" s="80" t="s">
        <v>2050</v>
      </c>
      <c r="L428" s="80" t="s">
        <v>2262</v>
      </c>
      <c r="M428" s="80">
        <v>2014</v>
      </c>
      <c r="N428" s="80" t="s">
        <v>2261</v>
      </c>
      <c r="O428" s="80" t="s">
        <v>2260</v>
      </c>
      <c r="AB428" s="80" t="s">
        <v>2056</v>
      </c>
      <c r="AF428" s="80"/>
      <c r="AG428" s="80"/>
    </row>
    <row r="429" spans="2:33" x14ac:dyDescent="0.15">
      <c r="B429" s="80" t="s">
        <v>2259</v>
      </c>
      <c r="C429" s="81" t="s">
        <v>1693</v>
      </c>
      <c r="D429" s="82">
        <v>50</v>
      </c>
      <c r="E429" s="80" t="s">
        <v>5</v>
      </c>
      <c r="F429" s="82">
        <v>15</v>
      </c>
      <c r="H429" s="85">
        <v>43879</v>
      </c>
      <c r="I429" s="80" t="s">
        <v>2257</v>
      </c>
      <c r="J429" s="80" t="s">
        <v>2258</v>
      </c>
      <c r="K429" s="80" t="s">
        <v>2050</v>
      </c>
      <c r="L429" s="80" t="s">
        <v>2257</v>
      </c>
      <c r="M429" s="80">
        <v>2016</v>
      </c>
      <c r="N429" s="80" t="s">
        <v>2256</v>
      </c>
      <c r="O429" s="80" t="s">
        <v>2255</v>
      </c>
      <c r="P429" s="84" t="s">
        <v>2254</v>
      </c>
      <c r="Q429" s="84" t="s">
        <v>2253</v>
      </c>
      <c r="R429" s="84" t="s">
        <v>1</v>
      </c>
      <c r="S429" s="84" t="s">
        <v>1</v>
      </c>
      <c r="T429" s="84" t="s">
        <v>1</v>
      </c>
      <c r="U429" s="84" t="s">
        <v>1</v>
      </c>
      <c r="V429" s="84" t="s">
        <v>1</v>
      </c>
      <c r="W429" s="84" t="s">
        <v>1</v>
      </c>
      <c r="X429" s="84" t="s">
        <v>1</v>
      </c>
      <c r="Y429" s="84" t="s">
        <v>1</v>
      </c>
      <c r="Z429" s="84" t="s">
        <v>1</v>
      </c>
      <c r="AA429" s="84" t="s">
        <v>1</v>
      </c>
      <c r="AB429" s="80" t="s">
        <v>2252</v>
      </c>
      <c r="AF429" s="80"/>
      <c r="AG429" s="80"/>
    </row>
    <row r="430" spans="2:33" x14ac:dyDescent="0.15">
      <c r="B430" s="80" t="s">
        <v>2251</v>
      </c>
      <c r="C430" s="81" t="s">
        <v>1693</v>
      </c>
      <c r="D430" s="82" t="s">
        <v>1</v>
      </c>
      <c r="E430" s="88" t="s">
        <v>1</v>
      </c>
      <c r="F430" s="82" t="s">
        <v>1</v>
      </c>
      <c r="H430" s="82" t="s">
        <v>1</v>
      </c>
      <c r="I430" s="80" t="s">
        <v>2250</v>
      </c>
      <c r="J430" s="80" t="s">
        <v>1</v>
      </c>
      <c r="K430" s="80" t="s">
        <v>2050</v>
      </c>
      <c r="L430" s="80" t="s">
        <v>2249</v>
      </c>
      <c r="M430" s="80">
        <v>2022</v>
      </c>
      <c r="O430" s="88" t="s">
        <v>1</v>
      </c>
      <c r="P430" s="88" t="s">
        <v>1</v>
      </c>
      <c r="Q430" s="88" t="s">
        <v>1</v>
      </c>
      <c r="R430" s="88" t="s">
        <v>1</v>
      </c>
      <c r="S430" s="88" t="s">
        <v>1</v>
      </c>
      <c r="T430" s="88" t="s">
        <v>1</v>
      </c>
      <c r="U430" s="88" t="s">
        <v>1</v>
      </c>
      <c r="V430" s="88" t="s">
        <v>1</v>
      </c>
      <c r="W430" s="88" t="s">
        <v>1</v>
      </c>
      <c r="X430" s="88" t="s">
        <v>1</v>
      </c>
      <c r="Y430" s="88" t="s">
        <v>1</v>
      </c>
      <c r="Z430" s="88" t="s">
        <v>1</v>
      </c>
      <c r="AA430" s="88" t="s">
        <v>1</v>
      </c>
      <c r="AB430" s="80" t="s">
        <v>2248</v>
      </c>
      <c r="AF430" s="80"/>
      <c r="AG430" s="80"/>
    </row>
    <row r="431" spans="2:33" x14ac:dyDescent="0.15">
      <c r="B431" s="80" t="s">
        <v>2243</v>
      </c>
      <c r="C431" s="81" t="s">
        <v>1693</v>
      </c>
      <c r="D431" s="82">
        <v>20</v>
      </c>
      <c r="E431" s="84" t="s">
        <v>4</v>
      </c>
      <c r="F431" s="82">
        <v>2.2999999999999998</v>
      </c>
      <c r="H431" s="27">
        <v>42782</v>
      </c>
      <c r="I431" s="80" t="s">
        <v>2242</v>
      </c>
      <c r="J431" s="80" t="s">
        <v>2241</v>
      </c>
      <c r="K431" s="80" t="s">
        <v>2050</v>
      </c>
      <c r="L431" s="80" t="s">
        <v>2233</v>
      </c>
      <c r="M431" s="80">
        <v>2012</v>
      </c>
      <c r="N431" s="80" t="s">
        <v>2240</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80" t="s">
        <v>2205</v>
      </c>
      <c r="AF431" s="80"/>
      <c r="AG431" s="80"/>
    </row>
    <row r="432" spans="2:33" x14ac:dyDescent="0.15">
      <c r="B432" s="80" t="s">
        <v>2239</v>
      </c>
      <c r="C432" s="81" t="s">
        <v>1693</v>
      </c>
      <c r="D432" s="82">
        <v>10</v>
      </c>
      <c r="E432" s="84" t="s">
        <v>278</v>
      </c>
      <c r="F432" s="82">
        <v>0.5</v>
      </c>
      <c r="H432" s="85">
        <v>44470</v>
      </c>
      <c r="I432" s="80" t="s">
        <v>2238</v>
      </c>
      <c r="J432" s="80" t="s">
        <v>1</v>
      </c>
      <c r="K432" s="80" t="s">
        <v>2050</v>
      </c>
      <c r="L432" s="80" t="s">
        <v>2237</v>
      </c>
      <c r="M432" s="80">
        <v>2013</v>
      </c>
      <c r="O432" s="80" t="s">
        <v>2236</v>
      </c>
      <c r="P432" s="84" t="s">
        <v>1</v>
      </c>
      <c r="Q432" s="84" t="s">
        <v>1</v>
      </c>
      <c r="R432" s="84" t="s">
        <v>1</v>
      </c>
      <c r="S432" s="84" t="s">
        <v>1</v>
      </c>
      <c r="T432" s="84" t="s">
        <v>1</v>
      </c>
      <c r="U432" s="84" t="s">
        <v>1</v>
      </c>
      <c r="V432" s="84" t="s">
        <v>1</v>
      </c>
      <c r="W432" s="84" t="s">
        <v>1</v>
      </c>
      <c r="X432" s="84" t="s">
        <v>1</v>
      </c>
      <c r="Y432" s="84" t="s">
        <v>1</v>
      </c>
      <c r="Z432" s="84" t="s">
        <v>1</v>
      </c>
      <c r="AA432" s="84" t="s">
        <v>1</v>
      </c>
      <c r="AB432" s="80" t="s">
        <v>2090</v>
      </c>
      <c r="AF432" s="80"/>
      <c r="AG432" s="80"/>
    </row>
    <row r="433" spans="2:33" x14ac:dyDescent="0.15">
      <c r="B433" s="80" t="s">
        <v>638</v>
      </c>
      <c r="C433" s="81" t="s">
        <v>1693</v>
      </c>
      <c r="D433" s="82">
        <v>10</v>
      </c>
      <c r="E433" s="84" t="s">
        <v>278</v>
      </c>
      <c r="F433" s="82">
        <v>0.12</v>
      </c>
      <c r="H433" s="85">
        <v>44082</v>
      </c>
      <c r="I433" s="80" t="s">
        <v>2235</v>
      </c>
      <c r="J433" s="80" t="s">
        <v>2234</v>
      </c>
      <c r="K433" s="80" t="s">
        <v>2050</v>
      </c>
      <c r="L433" s="80" t="s">
        <v>2233</v>
      </c>
      <c r="M433" s="80">
        <v>2019</v>
      </c>
      <c r="O433" s="80" t="s">
        <v>640</v>
      </c>
      <c r="P433" s="84" t="s">
        <v>2232</v>
      </c>
      <c r="Q433" s="84">
        <v>1</v>
      </c>
      <c r="R433" s="84" t="s">
        <v>2231</v>
      </c>
      <c r="S433" s="84" t="s">
        <v>1</v>
      </c>
      <c r="T433" s="84" t="s">
        <v>1</v>
      </c>
      <c r="U433" s="84" t="s">
        <v>1</v>
      </c>
      <c r="V433" s="84" t="s">
        <v>1</v>
      </c>
      <c r="W433" s="84" t="s">
        <v>1</v>
      </c>
      <c r="X433" s="84" t="s">
        <v>1</v>
      </c>
      <c r="Y433" s="84" t="s">
        <v>1</v>
      </c>
      <c r="Z433" s="84" t="s">
        <v>1</v>
      </c>
      <c r="AA433" s="84" t="s">
        <v>1</v>
      </c>
      <c r="AB433" s="80" t="s">
        <v>2205</v>
      </c>
    </row>
    <row r="434" spans="2:33" s="192" customFormat="1" x14ac:dyDescent="0.15">
      <c r="B434" s="192" t="s">
        <v>2026</v>
      </c>
      <c r="C434" s="201" t="s">
        <v>1693</v>
      </c>
      <c r="D434" s="194">
        <v>50</v>
      </c>
      <c r="E434" s="192" t="s">
        <v>5</v>
      </c>
      <c r="F434" s="194">
        <v>15</v>
      </c>
      <c r="G434" s="194">
        <f>F434</f>
        <v>15</v>
      </c>
      <c r="H434" s="211">
        <v>44789</v>
      </c>
      <c r="I434" s="192" t="s">
        <v>6812</v>
      </c>
      <c r="K434" s="192" t="s">
        <v>2050</v>
      </c>
      <c r="L434" s="192" t="s">
        <v>6604</v>
      </c>
      <c r="M434" s="192">
        <v>2019</v>
      </c>
      <c r="N434" s="192" t="s">
        <v>6813</v>
      </c>
      <c r="O434" s="192" t="s">
        <v>6814</v>
      </c>
      <c r="P434" s="195" t="s">
        <v>1</v>
      </c>
      <c r="Q434" s="195" t="s">
        <v>1</v>
      </c>
      <c r="R434" s="195" t="s">
        <v>1</v>
      </c>
      <c r="S434" s="195" t="s">
        <v>1</v>
      </c>
      <c r="T434" s="195" t="s">
        <v>1</v>
      </c>
      <c r="U434" s="195" t="s">
        <v>1</v>
      </c>
      <c r="V434" s="195" t="s">
        <v>1</v>
      </c>
      <c r="W434" s="195" t="s">
        <v>1</v>
      </c>
      <c r="X434" s="195" t="s">
        <v>1</v>
      </c>
      <c r="Y434" s="195" t="s">
        <v>1</v>
      </c>
      <c r="Z434" s="195" t="s">
        <v>1</v>
      </c>
      <c r="AA434" s="195" t="s">
        <v>1</v>
      </c>
      <c r="AB434" s="192" t="s">
        <v>6662</v>
      </c>
      <c r="AC434" s="192" t="s">
        <v>6665</v>
      </c>
      <c r="AD434" s="192" t="s">
        <v>2369</v>
      </c>
      <c r="AE434" s="25" t="s">
        <v>6811</v>
      </c>
      <c r="AF434" s="70"/>
      <c r="AG434" s="65"/>
    </row>
    <row r="435" spans="2:33" x14ac:dyDescent="0.15">
      <c r="B435" s="80" t="s">
        <v>2230</v>
      </c>
      <c r="C435" s="81" t="s">
        <v>1693</v>
      </c>
      <c r="D435" s="82">
        <v>100</v>
      </c>
      <c r="E435" s="84" t="s">
        <v>7</v>
      </c>
      <c r="F435" s="82">
        <v>55</v>
      </c>
      <c r="I435" s="80" t="s">
        <v>2229</v>
      </c>
      <c r="J435" s="80" t="s">
        <v>2228</v>
      </c>
      <c r="K435" s="80" t="s">
        <v>2227</v>
      </c>
      <c r="L435" s="80" t="s">
        <v>2227</v>
      </c>
      <c r="M435" s="80">
        <v>2018</v>
      </c>
      <c r="N435" s="80" t="s">
        <v>2226</v>
      </c>
      <c r="O435" s="80" t="s">
        <v>2225</v>
      </c>
      <c r="AB435" s="80" t="s">
        <v>2053</v>
      </c>
    </row>
    <row r="436" spans="2:33" x14ac:dyDescent="0.15">
      <c r="B436" s="80" t="s">
        <v>2224</v>
      </c>
      <c r="C436" s="81" t="s">
        <v>2145</v>
      </c>
      <c r="D436" s="82">
        <v>100</v>
      </c>
      <c r="E436" s="80" t="s">
        <v>18</v>
      </c>
      <c r="F436" s="82">
        <v>20</v>
      </c>
      <c r="H436" s="85">
        <v>44734</v>
      </c>
      <c r="I436" s="80" t="s">
        <v>2223</v>
      </c>
      <c r="J436" s="80" t="s">
        <v>2222</v>
      </c>
      <c r="K436" s="80" t="s">
        <v>2050</v>
      </c>
      <c r="L436" s="80" t="s">
        <v>2210</v>
      </c>
      <c r="M436" s="83" t="s">
        <v>2221</v>
      </c>
      <c r="O436" s="80" t="s">
        <v>1</v>
      </c>
      <c r="P436" s="84" t="s">
        <v>18</v>
      </c>
      <c r="Q436" s="84">
        <v>38</v>
      </c>
      <c r="R436" s="84" t="s">
        <v>2220</v>
      </c>
      <c r="S436" s="84" t="s">
        <v>7</v>
      </c>
      <c r="T436" s="84">
        <v>6.9</v>
      </c>
      <c r="U436" s="84" t="s">
        <v>2218</v>
      </c>
      <c r="V436" s="84" t="s">
        <v>5</v>
      </c>
      <c r="W436" s="84" t="s">
        <v>2219</v>
      </c>
      <c r="X436" s="84" t="s">
        <v>2218</v>
      </c>
      <c r="Y436" s="84" t="s">
        <v>1</v>
      </c>
      <c r="Z436" s="84" t="s">
        <v>1</v>
      </c>
      <c r="AA436" s="84" t="s">
        <v>1</v>
      </c>
      <c r="AB436" s="80" t="s">
        <v>2217</v>
      </c>
    </row>
    <row r="437" spans="2:33" x14ac:dyDescent="0.15">
      <c r="B437" s="80" t="s">
        <v>2216</v>
      </c>
      <c r="C437" s="81" t="s">
        <v>2145</v>
      </c>
      <c r="D437" s="82">
        <v>20</v>
      </c>
      <c r="E437" s="84" t="s">
        <v>7</v>
      </c>
      <c r="F437" s="82">
        <v>1.6</v>
      </c>
      <c r="H437" s="85">
        <v>43661</v>
      </c>
      <c r="I437" s="80" t="s">
        <v>2215</v>
      </c>
      <c r="J437" s="80" t="s">
        <v>1</v>
      </c>
      <c r="K437" s="80" t="s">
        <v>1</v>
      </c>
      <c r="L437" s="80" t="s">
        <v>1</v>
      </c>
      <c r="M437" s="80">
        <v>2016</v>
      </c>
      <c r="N437" s="80" t="s">
        <v>1</v>
      </c>
      <c r="O437" s="80" t="s">
        <v>2214</v>
      </c>
      <c r="P437" s="84" t="s">
        <v>1</v>
      </c>
      <c r="Q437" s="84" t="s">
        <v>1</v>
      </c>
      <c r="R437" s="84" t="s">
        <v>1</v>
      </c>
      <c r="S437" s="84" t="s">
        <v>1</v>
      </c>
      <c r="T437" s="84" t="s">
        <v>1</v>
      </c>
      <c r="U437" s="84" t="s">
        <v>1</v>
      </c>
      <c r="V437" s="84" t="s">
        <v>1</v>
      </c>
      <c r="W437" s="84" t="s">
        <v>1</v>
      </c>
      <c r="X437" s="84" t="s">
        <v>1</v>
      </c>
      <c r="Y437" s="84" t="s">
        <v>1</v>
      </c>
      <c r="Z437" s="84" t="s">
        <v>1</v>
      </c>
      <c r="AA437" s="84" t="s">
        <v>1</v>
      </c>
      <c r="AB437" s="80" t="s">
        <v>2213</v>
      </c>
    </row>
    <row r="438" spans="2:33" x14ac:dyDescent="0.15">
      <c r="B438" s="80" t="s">
        <v>2212</v>
      </c>
      <c r="C438" s="81" t="s">
        <v>2145</v>
      </c>
      <c r="E438" s="84"/>
      <c r="I438" s="80" t="s">
        <v>2211</v>
      </c>
      <c r="J438" s="80" t="s">
        <v>1</v>
      </c>
      <c r="K438" s="80" t="s">
        <v>2050</v>
      </c>
      <c r="L438" s="80" t="s">
        <v>2210</v>
      </c>
      <c r="M438" s="80">
        <v>2014</v>
      </c>
      <c r="N438" s="80" t="s">
        <v>2209</v>
      </c>
    </row>
    <row r="439" spans="2:33" x14ac:dyDescent="0.15">
      <c r="B439" s="80" t="s">
        <v>2208</v>
      </c>
      <c r="C439" s="81" t="s">
        <v>1693</v>
      </c>
      <c r="I439" s="80" t="s">
        <v>2207</v>
      </c>
      <c r="N439" s="80" t="s">
        <v>2206</v>
      </c>
      <c r="AB439" s="80" t="s">
        <v>2205</v>
      </c>
      <c r="AE439" s="25" t="s">
        <v>2204</v>
      </c>
      <c r="AF439" s="71"/>
      <c r="AG439" s="66"/>
    </row>
    <row r="440" spans="2:33" x14ac:dyDescent="0.15">
      <c r="B440" s="80" t="s">
        <v>2203</v>
      </c>
      <c r="C440" s="81" t="s">
        <v>2145</v>
      </c>
      <c r="E440" s="84" t="s">
        <v>7</v>
      </c>
      <c r="F440" s="82">
        <v>30</v>
      </c>
      <c r="H440" s="85">
        <v>44252</v>
      </c>
      <c r="I440" s="80" t="s">
        <v>2087</v>
      </c>
      <c r="J440" s="80" t="s">
        <v>2202</v>
      </c>
      <c r="K440" s="80" t="s">
        <v>2050</v>
      </c>
      <c r="L440" s="80" t="s">
        <v>2087</v>
      </c>
      <c r="M440" s="80">
        <v>2017</v>
      </c>
      <c r="N440" s="80" t="s">
        <v>2201</v>
      </c>
      <c r="O440" s="80" t="s">
        <v>2200</v>
      </c>
      <c r="P440" s="84" t="s">
        <v>5</v>
      </c>
      <c r="Q440" s="84">
        <v>16.5</v>
      </c>
      <c r="R440" s="84" t="s">
        <v>2199</v>
      </c>
      <c r="S440" s="84" t="s">
        <v>1</v>
      </c>
      <c r="T440" s="84" t="s">
        <v>1</v>
      </c>
      <c r="U440" s="84" t="s">
        <v>1</v>
      </c>
      <c r="V440" s="84" t="s">
        <v>1</v>
      </c>
      <c r="W440" s="84" t="s">
        <v>1</v>
      </c>
      <c r="X440" s="84" t="s">
        <v>1</v>
      </c>
      <c r="Y440" s="84" t="s">
        <v>1</v>
      </c>
      <c r="Z440" s="84" t="s">
        <v>1</v>
      </c>
      <c r="AA440" s="84" t="s">
        <v>1</v>
      </c>
      <c r="AB440" s="258" t="s">
        <v>6662</v>
      </c>
      <c r="AC440" s="258" t="s">
        <v>6665</v>
      </c>
      <c r="AD440" s="258" t="s">
        <v>6671</v>
      </c>
    </row>
    <row r="441" spans="2:33" x14ac:dyDescent="0.15">
      <c r="B441" s="80" t="s">
        <v>347</v>
      </c>
      <c r="C441" s="81" t="s">
        <v>2157</v>
      </c>
      <c r="D441" s="82">
        <v>30</v>
      </c>
      <c r="E441" s="84" t="s">
        <v>4</v>
      </c>
      <c r="F441" s="82">
        <v>3.5</v>
      </c>
      <c r="H441" s="85">
        <v>43046</v>
      </c>
      <c r="J441" s="80" t="s">
        <v>2197</v>
      </c>
      <c r="K441" s="80" t="s">
        <v>2050</v>
      </c>
      <c r="L441" s="80" t="s">
        <v>2133</v>
      </c>
      <c r="M441" s="83" t="s">
        <v>2196</v>
      </c>
      <c r="O441" s="80" t="s">
        <v>2195</v>
      </c>
      <c r="AB441" s="258" t="s">
        <v>6662</v>
      </c>
      <c r="AC441" s="258" t="s">
        <v>6665</v>
      </c>
      <c r="AD441" s="258" t="s">
        <v>2369</v>
      </c>
      <c r="AE441" s="258"/>
    </row>
    <row r="442" spans="2:33" x14ac:dyDescent="0.15">
      <c r="B442" s="80" t="s">
        <v>2194</v>
      </c>
      <c r="C442" s="81" t="s">
        <v>1693</v>
      </c>
      <c r="D442" s="82">
        <v>25</v>
      </c>
      <c r="E442" s="80" t="s">
        <v>4</v>
      </c>
      <c r="F442" s="82">
        <v>4</v>
      </c>
      <c r="H442" s="85">
        <v>44518</v>
      </c>
      <c r="I442" s="80" t="s">
        <v>2193</v>
      </c>
      <c r="J442" s="80" t="s">
        <v>2192</v>
      </c>
      <c r="K442" s="80" t="s">
        <v>2050</v>
      </c>
      <c r="L442" s="80" t="s">
        <v>2191</v>
      </c>
      <c r="M442" s="80">
        <v>2018</v>
      </c>
      <c r="O442" s="80" t="s">
        <v>2190</v>
      </c>
      <c r="P442" s="84" t="s">
        <v>278</v>
      </c>
      <c r="Q442" s="84">
        <v>0.12</v>
      </c>
      <c r="R442" s="84" t="s">
        <v>640</v>
      </c>
      <c r="S442" s="84" t="s">
        <v>1</v>
      </c>
      <c r="T442" s="84" t="s">
        <v>1</v>
      </c>
      <c r="U442" s="84" t="s">
        <v>1</v>
      </c>
      <c r="V442" s="84" t="s">
        <v>1</v>
      </c>
      <c r="W442" s="84" t="s">
        <v>1</v>
      </c>
      <c r="X442" s="84" t="s">
        <v>1</v>
      </c>
      <c r="Y442" s="84" t="s">
        <v>1</v>
      </c>
      <c r="Z442" s="84" t="s">
        <v>1</v>
      </c>
      <c r="AA442" s="84" t="s">
        <v>1</v>
      </c>
      <c r="AB442" s="84" t="s">
        <v>1</v>
      </c>
      <c r="AC442" s="84"/>
      <c r="AD442" s="84"/>
      <c r="AE442" s="258"/>
    </row>
    <row r="443" spans="2:33" x14ac:dyDescent="0.15">
      <c r="B443" s="80" t="s">
        <v>2189</v>
      </c>
      <c r="C443" s="81" t="s">
        <v>2145</v>
      </c>
      <c r="D443" s="82">
        <v>20</v>
      </c>
      <c r="E443" s="80" t="s">
        <v>4</v>
      </c>
      <c r="F443" s="82">
        <v>1.6</v>
      </c>
      <c r="H443" s="85">
        <v>43060</v>
      </c>
      <c r="I443" s="80" t="s">
        <v>2188</v>
      </c>
      <c r="J443" s="80" t="s">
        <v>2187</v>
      </c>
      <c r="K443" s="80" t="s">
        <v>2050</v>
      </c>
      <c r="L443" s="80" t="s">
        <v>2061</v>
      </c>
      <c r="M443" s="80">
        <v>2015</v>
      </c>
      <c r="O443" s="80" t="s">
        <v>2186</v>
      </c>
      <c r="P443" s="84" t="s">
        <v>4</v>
      </c>
      <c r="Q443" s="84">
        <v>0.7</v>
      </c>
      <c r="R443" s="84" t="s">
        <v>630</v>
      </c>
      <c r="S443" s="84" t="s">
        <v>1</v>
      </c>
      <c r="T443" s="84" t="s">
        <v>1</v>
      </c>
      <c r="U443" s="84" t="s">
        <v>1</v>
      </c>
      <c r="V443" s="84" t="s">
        <v>1</v>
      </c>
      <c r="W443" s="84" t="s">
        <v>1</v>
      </c>
      <c r="X443" s="84" t="s">
        <v>1</v>
      </c>
      <c r="Y443" s="84" t="s">
        <v>1</v>
      </c>
      <c r="Z443" s="84" t="s">
        <v>1</v>
      </c>
      <c r="AA443" s="84" t="s">
        <v>1</v>
      </c>
      <c r="AB443" s="80" t="s">
        <v>2185</v>
      </c>
      <c r="AE443" s="25" t="s">
        <v>2184</v>
      </c>
      <c r="AF443" s="71"/>
      <c r="AG443" s="66"/>
    </row>
    <row r="444" spans="2:33" x14ac:dyDescent="0.15">
      <c r="B444" s="80" t="s">
        <v>2183</v>
      </c>
      <c r="C444" s="81" t="s">
        <v>2157</v>
      </c>
      <c r="D444" s="82" t="s">
        <v>1</v>
      </c>
      <c r="E444" s="80" t="s">
        <v>4</v>
      </c>
      <c r="F444" s="82" t="s">
        <v>1</v>
      </c>
      <c r="H444" s="85">
        <v>44169</v>
      </c>
      <c r="J444" s="80" t="s">
        <v>2182</v>
      </c>
      <c r="K444" s="80" t="s">
        <v>2050</v>
      </c>
      <c r="L444" s="80" t="s">
        <v>2181</v>
      </c>
      <c r="M444" s="80">
        <v>2017</v>
      </c>
      <c r="N444" s="80" t="s">
        <v>2153</v>
      </c>
      <c r="O444" s="80" t="s">
        <v>2180</v>
      </c>
      <c r="P444" s="84" t="s">
        <v>1</v>
      </c>
      <c r="Q444" s="84" t="s">
        <v>1</v>
      </c>
      <c r="R444" s="84" t="s">
        <v>1</v>
      </c>
      <c r="S444" s="84" t="s">
        <v>1</v>
      </c>
      <c r="T444" s="84" t="s">
        <v>1</v>
      </c>
      <c r="U444" s="84" t="s">
        <v>1</v>
      </c>
      <c r="V444" s="84" t="s">
        <v>1</v>
      </c>
      <c r="W444" s="84" t="s">
        <v>1</v>
      </c>
      <c r="X444" s="84" t="s">
        <v>1</v>
      </c>
      <c r="Y444" s="84" t="s">
        <v>1</v>
      </c>
      <c r="Z444" s="84" t="s">
        <v>1</v>
      </c>
      <c r="AA444" s="84" t="s">
        <v>1</v>
      </c>
      <c r="AB444" s="258" t="s">
        <v>6662</v>
      </c>
      <c r="AC444" s="258" t="s">
        <v>6669</v>
      </c>
      <c r="AD444" s="258" t="s">
        <v>2359</v>
      </c>
      <c r="AE444" s="258"/>
    </row>
    <row r="445" spans="2:33" x14ac:dyDescent="0.15">
      <c r="B445" s="80" t="s">
        <v>2179</v>
      </c>
      <c r="C445" s="81" t="s">
        <v>1693</v>
      </c>
      <c r="D445" s="82" t="s">
        <v>1</v>
      </c>
      <c r="E445" s="82" t="s">
        <v>1</v>
      </c>
      <c r="F445" s="82" t="s">
        <v>1</v>
      </c>
      <c r="H445" s="82" t="s">
        <v>1</v>
      </c>
      <c r="I445" s="80" t="s">
        <v>2178</v>
      </c>
      <c r="J445" s="80" t="s">
        <v>2177</v>
      </c>
      <c r="K445" s="80" t="s">
        <v>2050</v>
      </c>
      <c r="L445" s="80" t="s">
        <v>2176</v>
      </c>
      <c r="M445" s="80">
        <v>2019</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80" t="s">
        <v>2175</v>
      </c>
      <c r="AE445" s="258"/>
    </row>
    <row r="446" spans="2:33" x14ac:dyDescent="0.15">
      <c r="B446" s="80" t="s">
        <v>2174</v>
      </c>
      <c r="C446" s="81" t="s">
        <v>1693</v>
      </c>
      <c r="D446" s="82" t="s">
        <v>1</v>
      </c>
      <c r="E446" s="88" t="s">
        <v>1</v>
      </c>
      <c r="F446" s="82" t="s">
        <v>1</v>
      </c>
      <c r="H446" s="82" t="s">
        <v>1</v>
      </c>
      <c r="I446" s="80" t="s">
        <v>2173</v>
      </c>
      <c r="J446" s="80" t="s">
        <v>1</v>
      </c>
      <c r="K446" s="80" t="s">
        <v>2050</v>
      </c>
      <c r="L446" s="80" t="s">
        <v>2172</v>
      </c>
      <c r="M446" s="80">
        <v>2016</v>
      </c>
      <c r="N446" s="80" t="s">
        <v>2171</v>
      </c>
      <c r="O446" s="80" t="s">
        <v>1</v>
      </c>
      <c r="P446" s="80" t="s">
        <v>1</v>
      </c>
      <c r="Q446" s="80" t="s">
        <v>1</v>
      </c>
      <c r="R446" s="80" t="s">
        <v>1</v>
      </c>
      <c r="S446" s="80" t="s">
        <v>1</v>
      </c>
      <c r="T446" s="80" t="s">
        <v>1</v>
      </c>
      <c r="U446" s="80" t="s">
        <v>1</v>
      </c>
      <c r="V446" s="80" t="s">
        <v>1</v>
      </c>
      <c r="W446" s="80" t="s">
        <v>1</v>
      </c>
      <c r="X446" s="80" t="s">
        <v>1</v>
      </c>
      <c r="Y446" s="80" t="s">
        <v>1</v>
      </c>
      <c r="Z446" s="80" t="s">
        <v>1</v>
      </c>
      <c r="AA446" s="80" t="s">
        <v>1</v>
      </c>
      <c r="AB446" s="258" t="s">
        <v>6687</v>
      </c>
      <c r="AD446" s="258" t="s">
        <v>2099</v>
      </c>
      <c r="AE446" s="258"/>
    </row>
    <row r="447" spans="2:33" x14ac:dyDescent="0.15">
      <c r="B447" s="80" t="s">
        <v>329</v>
      </c>
      <c r="C447" s="81" t="s">
        <v>2157</v>
      </c>
      <c r="D447" s="82">
        <v>25</v>
      </c>
      <c r="E447" s="80" t="s">
        <v>4</v>
      </c>
      <c r="F447" s="82">
        <v>5</v>
      </c>
      <c r="H447" s="85">
        <v>43224</v>
      </c>
      <c r="I447" s="80" t="s">
        <v>2169</v>
      </c>
      <c r="J447" s="80" t="s">
        <v>2168</v>
      </c>
      <c r="K447" s="80" t="s">
        <v>2050</v>
      </c>
      <c r="L447" s="80" t="s">
        <v>2167</v>
      </c>
      <c r="M447" s="80">
        <v>2017</v>
      </c>
      <c r="N447" s="80" t="s">
        <v>2153</v>
      </c>
      <c r="O447" s="80" t="s">
        <v>2166</v>
      </c>
      <c r="P447" s="84" t="s">
        <v>1</v>
      </c>
      <c r="Q447" s="84" t="s">
        <v>1</v>
      </c>
      <c r="R447" s="84" t="s">
        <v>1</v>
      </c>
      <c r="S447" s="84" t="s">
        <v>1</v>
      </c>
      <c r="T447" s="84" t="s">
        <v>1</v>
      </c>
      <c r="U447" s="84" t="s">
        <v>1</v>
      </c>
      <c r="V447" s="84" t="s">
        <v>1</v>
      </c>
      <c r="W447" s="84" t="s">
        <v>1</v>
      </c>
      <c r="X447" s="84" t="s">
        <v>1</v>
      </c>
      <c r="Y447" s="84" t="s">
        <v>1</v>
      </c>
      <c r="Z447" s="84" t="s">
        <v>1</v>
      </c>
      <c r="AA447" s="84" t="s">
        <v>1</v>
      </c>
      <c r="AB447" s="258" t="s">
        <v>6662</v>
      </c>
      <c r="AC447" s="258" t="s">
        <v>6669</v>
      </c>
      <c r="AD447" s="258" t="s">
        <v>2359</v>
      </c>
      <c r="AE447" s="258"/>
    </row>
    <row r="448" spans="2:33" x14ac:dyDescent="0.15">
      <c r="B448" s="80" t="s">
        <v>2165</v>
      </c>
      <c r="C448" s="81" t="s">
        <v>2157</v>
      </c>
      <c r="D448" s="82" t="s">
        <v>1</v>
      </c>
      <c r="E448" s="82" t="s">
        <v>1</v>
      </c>
      <c r="F448" s="82" t="s">
        <v>1</v>
      </c>
      <c r="H448" s="82" t="s">
        <v>1</v>
      </c>
      <c r="I448" s="88" t="s">
        <v>1</v>
      </c>
      <c r="J448" s="80" t="s">
        <v>2164</v>
      </c>
      <c r="M448" s="80">
        <v>2017</v>
      </c>
      <c r="O448" s="88" t="s">
        <v>1</v>
      </c>
      <c r="P448" s="88" t="s">
        <v>1</v>
      </c>
      <c r="Q448" s="88" t="s">
        <v>1</v>
      </c>
      <c r="R448" s="88" t="s">
        <v>1</v>
      </c>
      <c r="S448" s="88" t="s">
        <v>1</v>
      </c>
      <c r="T448" s="88" t="s">
        <v>1</v>
      </c>
      <c r="U448" s="88" t="s">
        <v>1</v>
      </c>
      <c r="V448" s="88" t="s">
        <v>1</v>
      </c>
      <c r="W448" s="88" t="s">
        <v>1</v>
      </c>
      <c r="X448" s="88" t="s">
        <v>1</v>
      </c>
      <c r="Y448" s="88" t="s">
        <v>1</v>
      </c>
      <c r="Z448" s="88" t="s">
        <v>1</v>
      </c>
      <c r="AA448" s="88" t="s">
        <v>1</v>
      </c>
      <c r="AB448" s="258" t="s">
        <v>6662</v>
      </c>
      <c r="AC448" s="258" t="s">
        <v>6666</v>
      </c>
      <c r="AD448" s="258" t="s">
        <v>3179</v>
      </c>
      <c r="AE448" s="258"/>
    </row>
    <row r="449" spans="2:33" x14ac:dyDescent="0.15">
      <c r="B449" s="80" t="s">
        <v>2163</v>
      </c>
      <c r="C449" s="81" t="s">
        <v>2145</v>
      </c>
      <c r="D449" s="82" t="s">
        <v>1</v>
      </c>
      <c r="E449" s="82" t="s">
        <v>1</v>
      </c>
      <c r="F449" s="82" t="s">
        <v>1</v>
      </c>
      <c r="H449" s="82" t="s">
        <v>1</v>
      </c>
      <c r="I449" s="80" t="s">
        <v>2162</v>
      </c>
      <c r="J449" s="80" t="s">
        <v>2161</v>
      </c>
      <c r="K449" s="80" t="s">
        <v>2050</v>
      </c>
      <c r="L449" s="80" t="s">
        <v>2067</v>
      </c>
      <c r="M449" s="83" t="s">
        <v>2160</v>
      </c>
      <c r="O449" s="88" t="s">
        <v>1</v>
      </c>
      <c r="P449" s="88" t="s">
        <v>1</v>
      </c>
      <c r="Q449" s="88" t="s">
        <v>1</v>
      </c>
      <c r="R449" s="88" t="s">
        <v>1</v>
      </c>
      <c r="S449" s="88" t="s">
        <v>1</v>
      </c>
      <c r="T449" s="88" t="s">
        <v>1</v>
      </c>
      <c r="U449" s="88" t="s">
        <v>1</v>
      </c>
      <c r="V449" s="88" t="s">
        <v>1</v>
      </c>
      <c r="W449" s="88" t="s">
        <v>1</v>
      </c>
      <c r="X449" s="88" t="s">
        <v>1</v>
      </c>
      <c r="Y449" s="88" t="s">
        <v>1</v>
      </c>
      <c r="Z449" s="88" t="s">
        <v>1</v>
      </c>
      <c r="AA449" s="88" t="s">
        <v>1</v>
      </c>
      <c r="AB449" s="258" t="s">
        <v>6662</v>
      </c>
      <c r="AC449" s="258" t="s">
        <v>6665</v>
      </c>
      <c r="AD449" s="258" t="s">
        <v>6672</v>
      </c>
      <c r="AE449" s="258"/>
    </row>
    <row r="450" spans="2:33" x14ac:dyDescent="0.15">
      <c r="B450" s="80" t="s">
        <v>2158</v>
      </c>
      <c r="C450" s="81" t="s">
        <v>2157</v>
      </c>
      <c r="D450" s="82" t="s">
        <v>1</v>
      </c>
      <c r="E450" s="88" t="s">
        <v>1</v>
      </c>
      <c r="F450" s="82" t="s">
        <v>1</v>
      </c>
      <c r="H450" s="82" t="s">
        <v>1</v>
      </c>
      <c r="I450" s="80" t="s">
        <v>2156</v>
      </c>
      <c r="J450" s="80" t="s">
        <v>2155</v>
      </c>
      <c r="K450" s="80" t="s">
        <v>2050</v>
      </c>
      <c r="L450" s="80" t="s">
        <v>2129</v>
      </c>
      <c r="M450" s="83" t="s">
        <v>2154</v>
      </c>
      <c r="N450" s="80" t="s">
        <v>2153</v>
      </c>
      <c r="O450" s="95" t="s">
        <v>1</v>
      </c>
      <c r="P450" s="95" t="s">
        <v>1</v>
      </c>
      <c r="Q450" s="95" t="s">
        <v>1</v>
      </c>
      <c r="R450" s="95" t="s">
        <v>1</v>
      </c>
      <c r="S450" s="95" t="s">
        <v>1</v>
      </c>
      <c r="T450" s="95" t="s">
        <v>1</v>
      </c>
      <c r="U450" s="95" t="s">
        <v>1</v>
      </c>
      <c r="V450" s="95" t="s">
        <v>1</v>
      </c>
      <c r="W450" s="95" t="s">
        <v>1</v>
      </c>
      <c r="X450" s="95" t="s">
        <v>1</v>
      </c>
      <c r="Y450" s="95" t="s">
        <v>1</v>
      </c>
      <c r="Z450" s="95" t="s">
        <v>1</v>
      </c>
      <c r="AA450" s="95" t="s">
        <v>1</v>
      </c>
      <c r="AB450" s="258" t="s">
        <v>6686</v>
      </c>
      <c r="AD450" s="258" t="s">
        <v>2152</v>
      </c>
      <c r="AE450" s="258"/>
    </row>
    <row r="451" spans="2:33" ht="15" customHeight="1" x14ac:dyDescent="0.15">
      <c r="B451" s="80" t="s">
        <v>2024</v>
      </c>
      <c r="C451" s="201" t="s">
        <v>2145</v>
      </c>
      <c r="D451" s="82">
        <v>30</v>
      </c>
      <c r="E451" s="192" t="s">
        <v>4</v>
      </c>
      <c r="F451" s="82">
        <v>5</v>
      </c>
      <c r="G451" s="82">
        <f>F451+Companies!Q451</f>
        <v>6.5</v>
      </c>
      <c r="H451" s="85">
        <v>44266</v>
      </c>
      <c r="I451" s="192" t="s">
        <v>7103</v>
      </c>
      <c r="J451" s="192" t="s">
        <v>7104</v>
      </c>
      <c r="K451" s="192" t="s">
        <v>2050</v>
      </c>
      <c r="L451" s="192" t="s">
        <v>2262</v>
      </c>
      <c r="M451" s="80">
        <v>2017</v>
      </c>
      <c r="O451" s="192" t="s">
        <v>7101</v>
      </c>
      <c r="P451" s="195" t="s">
        <v>4</v>
      </c>
      <c r="Q451" s="84">
        <v>1.5</v>
      </c>
      <c r="R451" s="192" t="s">
        <v>7101</v>
      </c>
      <c r="S451" s="195" t="s">
        <v>278</v>
      </c>
      <c r="T451" s="195" t="s">
        <v>1</v>
      </c>
      <c r="U451" s="195" t="s">
        <v>7102</v>
      </c>
      <c r="V451" s="195" t="s">
        <v>1</v>
      </c>
      <c r="W451" s="195" t="s">
        <v>1</v>
      </c>
      <c r="X451" s="195" t="s">
        <v>1</v>
      </c>
      <c r="Y451" s="195" t="s">
        <v>1</v>
      </c>
      <c r="Z451" s="195" t="s">
        <v>1</v>
      </c>
      <c r="AA451" s="195" t="s">
        <v>1</v>
      </c>
      <c r="AB451" s="192" t="s">
        <v>6688</v>
      </c>
      <c r="AC451" s="192" t="s">
        <v>3711</v>
      </c>
      <c r="AD451" s="192" t="s">
        <v>2337</v>
      </c>
      <c r="AE451" s="25" t="s">
        <v>7096</v>
      </c>
    </row>
    <row r="452" spans="2:33" x14ac:dyDescent="0.15">
      <c r="B452" s="80" t="s">
        <v>2151</v>
      </c>
      <c r="C452" s="81" t="s">
        <v>2145</v>
      </c>
      <c r="E452" s="84"/>
      <c r="I452" s="80" t="s">
        <v>2150</v>
      </c>
      <c r="J452" s="80" t="s">
        <v>1</v>
      </c>
      <c r="K452" s="80" t="s">
        <v>2050</v>
      </c>
      <c r="L452" s="80" t="s">
        <v>2149</v>
      </c>
      <c r="M452" s="80">
        <v>1995</v>
      </c>
      <c r="AE452" s="258"/>
    </row>
    <row r="453" spans="2:33" ht="12.75" customHeight="1" x14ac:dyDescent="0.15">
      <c r="B453" s="80" t="s">
        <v>2148</v>
      </c>
      <c r="C453" s="81" t="s">
        <v>2145</v>
      </c>
      <c r="D453" s="82" t="s">
        <v>1</v>
      </c>
      <c r="E453" s="82" t="s">
        <v>1</v>
      </c>
      <c r="F453" s="82" t="s">
        <v>1</v>
      </c>
      <c r="H453" s="82" t="s">
        <v>1</v>
      </c>
      <c r="I453" s="80" t="s">
        <v>2147</v>
      </c>
      <c r="J453" s="80" t="s">
        <v>1</v>
      </c>
      <c r="K453" s="80" t="s">
        <v>1</v>
      </c>
      <c r="L453" s="80" t="s">
        <v>1</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80" t="s">
        <v>1</v>
      </c>
      <c r="AE453" s="258"/>
    </row>
    <row r="454" spans="2:33" x14ac:dyDescent="0.15">
      <c r="B454" s="80" t="s">
        <v>2146</v>
      </c>
      <c r="C454" s="81" t="s">
        <v>2145</v>
      </c>
      <c r="D454" s="82">
        <v>50</v>
      </c>
      <c r="E454" s="80" t="s">
        <v>5</v>
      </c>
      <c r="F454" s="82">
        <v>18</v>
      </c>
      <c r="H454" s="85">
        <v>43510</v>
      </c>
      <c r="J454" s="80" t="s">
        <v>1</v>
      </c>
      <c r="K454" s="80" t="s">
        <v>2050</v>
      </c>
      <c r="M454" s="80">
        <v>2004</v>
      </c>
      <c r="O454" s="80" t="s">
        <v>2144</v>
      </c>
      <c r="P454" s="80" t="s">
        <v>4</v>
      </c>
      <c r="Q454" s="84">
        <v>3.4</v>
      </c>
      <c r="R454" s="80" t="s">
        <v>627</v>
      </c>
      <c r="S454" s="80" t="s">
        <v>1</v>
      </c>
      <c r="T454" s="80" t="s">
        <v>1</v>
      </c>
      <c r="U454" s="80" t="s">
        <v>1</v>
      </c>
      <c r="V454" s="80" t="s">
        <v>1</v>
      </c>
      <c r="W454" s="80" t="s">
        <v>1</v>
      </c>
      <c r="X454" s="80" t="s">
        <v>1</v>
      </c>
      <c r="Y454" s="80" t="s">
        <v>1</v>
      </c>
      <c r="Z454" s="80" t="s">
        <v>1</v>
      </c>
      <c r="AA454" s="80" t="s">
        <v>1</v>
      </c>
      <c r="AB454" s="80" t="s">
        <v>2143</v>
      </c>
      <c r="AE454" s="258"/>
    </row>
    <row r="455" spans="2:33" x14ac:dyDescent="0.15">
      <c r="B455" s="80" t="s">
        <v>4386</v>
      </c>
      <c r="C455" s="81" t="s">
        <v>2157</v>
      </c>
      <c r="D455" s="82">
        <v>4900</v>
      </c>
      <c r="F455" s="82">
        <v>2600</v>
      </c>
      <c r="H455" s="85"/>
      <c r="O455" s="80" t="s">
        <v>4387</v>
      </c>
      <c r="P455" s="80"/>
      <c r="R455" s="80"/>
      <c r="S455" s="80"/>
      <c r="T455" s="80"/>
      <c r="U455" s="80"/>
      <c r="V455" s="80"/>
      <c r="W455" s="80"/>
      <c r="X455" s="80"/>
      <c r="Y455" s="80"/>
      <c r="Z455" s="80"/>
      <c r="AA455" s="80"/>
      <c r="AE455" s="258"/>
    </row>
    <row r="456" spans="2:33" s="168" customFormat="1" x14ac:dyDescent="0.15">
      <c r="B456" s="168" t="s">
        <v>2045</v>
      </c>
      <c r="C456" s="173" t="s">
        <v>2145</v>
      </c>
      <c r="D456" s="170"/>
      <c r="F456" s="170"/>
      <c r="G456" s="170"/>
      <c r="H456" s="169"/>
      <c r="I456" s="168" t="s">
        <v>6443</v>
      </c>
      <c r="N456" s="168" t="s">
        <v>6442</v>
      </c>
      <c r="P456" s="172"/>
      <c r="Q456" s="172"/>
      <c r="R456" s="172"/>
      <c r="S456" s="172"/>
      <c r="T456" s="172"/>
      <c r="U456" s="172"/>
      <c r="V456" s="172"/>
      <c r="W456" s="172"/>
      <c r="X456" s="172"/>
      <c r="Y456" s="172"/>
      <c r="Z456" s="172"/>
      <c r="AA456" s="172"/>
      <c r="AE456" s="25" t="s">
        <v>6441</v>
      </c>
      <c r="AF456" s="70"/>
      <c r="AG456" s="65"/>
    </row>
    <row r="457" spans="2:33" s="168" customFormat="1" x14ac:dyDescent="0.15">
      <c r="B457" s="168" t="s">
        <v>2041</v>
      </c>
      <c r="C457" s="173" t="s">
        <v>2145</v>
      </c>
      <c r="D457" s="170">
        <v>100</v>
      </c>
      <c r="E457" s="168" t="s">
        <v>7</v>
      </c>
      <c r="F457" s="170">
        <v>25</v>
      </c>
      <c r="G457" s="170"/>
      <c r="H457" s="171">
        <v>43528</v>
      </c>
      <c r="I457" s="168" t="s">
        <v>4318</v>
      </c>
      <c r="J457" s="168" t="s">
        <v>6475</v>
      </c>
      <c r="K457" s="168" t="s">
        <v>2050</v>
      </c>
      <c r="L457" s="168" t="s">
        <v>6476</v>
      </c>
      <c r="M457" s="174">
        <v>42917</v>
      </c>
      <c r="N457" s="168" t="s">
        <v>6477</v>
      </c>
      <c r="O457" s="168" t="s">
        <v>6478</v>
      </c>
      <c r="P457" s="172" t="s">
        <v>5</v>
      </c>
      <c r="Q457" s="172">
        <v>7.3</v>
      </c>
      <c r="R457" s="172" t="s">
        <v>6480</v>
      </c>
      <c r="S457" s="172" t="s">
        <v>1</v>
      </c>
      <c r="T457" s="172" t="s">
        <v>1</v>
      </c>
      <c r="U457" s="172" t="s">
        <v>1</v>
      </c>
      <c r="V457" s="172" t="s">
        <v>1</v>
      </c>
      <c r="W457" s="172" t="s">
        <v>1</v>
      </c>
      <c r="X457" s="172" t="s">
        <v>1</v>
      </c>
      <c r="Y457" s="172" t="s">
        <v>1</v>
      </c>
      <c r="Z457" s="172" t="s">
        <v>1</v>
      </c>
      <c r="AA457" s="172" t="s">
        <v>1</v>
      </c>
      <c r="AB457" s="181" t="s">
        <v>6662</v>
      </c>
      <c r="AC457" s="181" t="s">
        <v>6665</v>
      </c>
      <c r="AD457" s="181" t="s">
        <v>2369</v>
      </c>
      <c r="AE457" s="25" t="s">
        <v>6446</v>
      </c>
      <c r="AF457" s="70"/>
      <c r="AG457" s="65"/>
    </row>
    <row r="458" spans="2:33" x14ac:dyDescent="0.15">
      <c r="B458" s="99" t="s">
        <v>5455</v>
      </c>
      <c r="C458" s="104" t="s">
        <v>2145</v>
      </c>
      <c r="H458" s="85"/>
      <c r="P458" s="80"/>
      <c r="R458" s="80"/>
      <c r="S458" s="80"/>
      <c r="T458" s="80"/>
      <c r="U458" s="80"/>
      <c r="V458" s="80"/>
      <c r="W458" s="80"/>
      <c r="X458" s="80"/>
      <c r="Y458" s="80"/>
      <c r="Z458" s="80"/>
      <c r="AA458" s="80"/>
      <c r="AE458" s="258"/>
    </row>
    <row r="459" spans="2:33" x14ac:dyDescent="0.15">
      <c r="B459" s="258" t="s">
        <v>7521</v>
      </c>
      <c r="C459" s="257" t="s">
        <v>2145</v>
      </c>
      <c r="D459" s="80"/>
      <c r="F459" s="80"/>
      <c r="G459" s="80"/>
      <c r="H459" s="80"/>
      <c r="I459" s="258" t="s">
        <v>7523</v>
      </c>
      <c r="P459" s="80"/>
      <c r="Q459" s="80"/>
      <c r="R459" s="80"/>
      <c r="S459" s="80"/>
      <c r="T459" s="80"/>
      <c r="U459" s="80"/>
      <c r="V459" s="80"/>
      <c r="W459" s="80"/>
      <c r="X459" s="80"/>
      <c r="Y459" s="80"/>
      <c r="Z459" s="80"/>
      <c r="AA459" s="80"/>
      <c r="AE459" s="258"/>
      <c r="AF459" s="80"/>
      <c r="AG459" s="80"/>
    </row>
    <row r="460" spans="2:33" x14ac:dyDescent="0.15">
      <c r="H460" s="85"/>
      <c r="AE460" s="25"/>
      <c r="AF460" s="71"/>
      <c r="AG460" s="66"/>
    </row>
    <row r="461" spans="2:33" x14ac:dyDescent="0.15">
      <c r="B461" s="26" t="s">
        <v>2142</v>
      </c>
      <c r="AB461" s="181"/>
      <c r="AC461" s="181"/>
      <c r="AD461" s="181"/>
      <c r="AE461" s="258"/>
      <c r="AF461" s="71"/>
      <c r="AG461" s="66"/>
    </row>
    <row r="462" spans="2:33" x14ac:dyDescent="0.15">
      <c r="B462" s="12" t="s">
        <v>2008</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2007</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2006</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2005</v>
      </c>
      <c r="P465" s="80"/>
      <c r="Q465" s="80"/>
      <c r="R465" s="80"/>
      <c r="S465" s="80"/>
      <c r="T465" s="80"/>
      <c r="U465" s="80"/>
      <c r="V465" s="80"/>
      <c r="W465" s="80"/>
      <c r="X465" s="80"/>
      <c r="Y465" s="80"/>
      <c r="Z465" s="80"/>
      <c r="AA465" s="80"/>
      <c r="AF465" s="80"/>
      <c r="AG465" s="80"/>
    </row>
    <row r="466" spans="2:33" x14ac:dyDescent="0.15">
      <c r="B466" s="80" t="s">
        <v>2004</v>
      </c>
      <c r="P466" s="80"/>
      <c r="Q466" s="80"/>
      <c r="R466" s="80"/>
      <c r="S466" s="80"/>
      <c r="T466" s="80"/>
      <c r="U466" s="80"/>
      <c r="V466" s="80"/>
      <c r="W466" s="80"/>
      <c r="X466" s="80"/>
      <c r="Y466" s="80"/>
      <c r="Z466" s="80"/>
      <c r="AA466" s="80"/>
      <c r="AF466" s="80"/>
      <c r="AG466" s="80"/>
    </row>
    <row r="467" spans="2:33" x14ac:dyDescent="0.15">
      <c r="B467" s="80" t="s">
        <v>1577</v>
      </c>
      <c r="P467" s="80"/>
      <c r="Q467" s="80"/>
      <c r="R467" s="80"/>
      <c r="S467" s="80"/>
      <c r="T467" s="80"/>
      <c r="U467" s="80"/>
      <c r="V467" s="80"/>
      <c r="W467" s="80"/>
      <c r="X467" s="80"/>
      <c r="Y467" s="80"/>
      <c r="Z467" s="80"/>
      <c r="AA467" s="80"/>
      <c r="AF467" s="80"/>
      <c r="AG467" s="80"/>
    </row>
    <row r="468" spans="2:33" x14ac:dyDescent="0.15">
      <c r="B468" s="80" t="s">
        <v>2003</v>
      </c>
      <c r="N468" s="80" t="s">
        <v>1902</v>
      </c>
      <c r="P468" s="80"/>
      <c r="Q468" s="80"/>
      <c r="R468" s="80"/>
      <c r="S468" s="80"/>
      <c r="T468" s="80"/>
      <c r="U468" s="80"/>
      <c r="V468" s="80"/>
      <c r="W468" s="80"/>
      <c r="X468" s="80"/>
      <c r="Y468" s="80"/>
      <c r="Z468" s="80"/>
      <c r="AA468" s="80"/>
      <c r="AF468" s="80"/>
      <c r="AG468" s="80"/>
    </row>
    <row r="469" spans="2:33" x14ac:dyDescent="0.15">
      <c r="B469" s="12" t="s">
        <v>2002</v>
      </c>
      <c r="P469" s="80"/>
      <c r="Q469" s="80"/>
      <c r="R469" s="80"/>
      <c r="S469" s="80"/>
      <c r="T469" s="80"/>
      <c r="U469" s="80"/>
      <c r="V469" s="80"/>
      <c r="W469" s="80"/>
      <c r="X469" s="80"/>
      <c r="Y469" s="80"/>
      <c r="Z469" s="80"/>
      <c r="AA469" s="80"/>
      <c r="AF469" s="80"/>
      <c r="AG469" s="80"/>
    </row>
    <row r="470" spans="2:33" x14ac:dyDescent="0.15">
      <c r="B470" s="80" t="s">
        <v>2001</v>
      </c>
      <c r="P470" s="80"/>
      <c r="Q470" s="80"/>
      <c r="R470" s="80"/>
      <c r="S470" s="80"/>
      <c r="T470" s="80"/>
      <c r="U470" s="80"/>
      <c r="V470" s="80"/>
      <c r="W470" s="80"/>
      <c r="X470" s="80"/>
      <c r="Y470" s="80"/>
      <c r="Z470" s="80"/>
      <c r="AA470" s="80"/>
      <c r="AF470" s="80"/>
      <c r="AG470" s="80"/>
    </row>
    <row r="471" spans="2:33" x14ac:dyDescent="0.15">
      <c r="B471" s="80" t="s">
        <v>2000</v>
      </c>
      <c r="P471" s="80"/>
      <c r="Q471" s="80"/>
      <c r="R471" s="80"/>
      <c r="S471" s="80"/>
      <c r="T471" s="80"/>
      <c r="U471" s="80"/>
      <c r="V471" s="80"/>
      <c r="W471" s="80"/>
      <c r="X471" s="80"/>
      <c r="Y471" s="80"/>
      <c r="Z471" s="80"/>
      <c r="AA471" s="80"/>
      <c r="AF471" s="80"/>
      <c r="AG471" s="80"/>
    </row>
    <row r="472" spans="2:33" x14ac:dyDescent="0.15">
      <c r="B472" s="80" t="s">
        <v>1999</v>
      </c>
      <c r="P472" s="80"/>
      <c r="Q472" s="80"/>
      <c r="R472" s="80"/>
      <c r="S472" s="80"/>
      <c r="T472" s="80"/>
      <c r="U472" s="80"/>
      <c r="V472" s="80"/>
      <c r="W472" s="80"/>
      <c r="X472" s="80"/>
      <c r="Y472" s="80"/>
      <c r="Z472" s="80"/>
      <c r="AA472" s="80"/>
      <c r="AF472" s="80"/>
      <c r="AG472" s="80"/>
    </row>
    <row r="473" spans="2:33" x14ac:dyDescent="0.15">
      <c r="B473" s="80" t="s">
        <v>1998</v>
      </c>
      <c r="P473" s="80"/>
      <c r="Q473" s="80"/>
      <c r="R473" s="80"/>
      <c r="S473" s="80"/>
      <c r="T473" s="80"/>
      <c r="U473" s="80"/>
      <c r="V473" s="80"/>
      <c r="W473" s="80"/>
      <c r="X473" s="80"/>
      <c r="Y473" s="80"/>
      <c r="Z473" s="80"/>
      <c r="AA473" s="80"/>
      <c r="AF473" s="80"/>
      <c r="AG473" s="80"/>
    </row>
    <row r="474" spans="2:33" x14ac:dyDescent="0.15">
      <c r="B474" s="80" t="s">
        <v>1997</v>
      </c>
      <c r="P474" s="80"/>
      <c r="Q474" s="80"/>
      <c r="R474" s="80"/>
      <c r="S474" s="80"/>
      <c r="T474" s="80"/>
      <c r="U474" s="80"/>
      <c r="V474" s="80"/>
      <c r="W474" s="80"/>
      <c r="X474" s="80"/>
      <c r="Y474" s="80"/>
      <c r="Z474" s="80"/>
      <c r="AA474" s="80"/>
      <c r="AF474" s="80"/>
      <c r="AG474" s="80"/>
    </row>
    <row r="475" spans="2:33" x14ac:dyDescent="0.15">
      <c r="B475" s="80" t="s">
        <v>1996</v>
      </c>
      <c r="P475" s="80"/>
      <c r="Q475" s="80"/>
      <c r="R475" s="80"/>
      <c r="S475" s="80"/>
      <c r="T475" s="80"/>
      <c r="U475" s="80"/>
      <c r="V475" s="80"/>
      <c r="W475" s="80"/>
      <c r="X475" s="80"/>
      <c r="Y475" s="80"/>
      <c r="Z475" s="80"/>
      <c r="AA475" s="80"/>
      <c r="AF475" s="80"/>
      <c r="AG475" s="80"/>
    </row>
    <row r="476" spans="2:33" x14ac:dyDescent="0.15">
      <c r="B476" s="80" t="s">
        <v>1995</v>
      </c>
      <c r="P476" s="80"/>
      <c r="Q476" s="80"/>
      <c r="R476" s="80"/>
      <c r="S476" s="80"/>
      <c r="T476" s="80"/>
      <c r="U476" s="80"/>
      <c r="V476" s="80"/>
      <c r="W476" s="80"/>
      <c r="X476" s="80"/>
      <c r="Y476" s="80"/>
      <c r="Z476" s="80"/>
      <c r="AA476" s="80"/>
      <c r="AF476" s="80"/>
      <c r="AG476" s="80"/>
    </row>
    <row r="477" spans="2:33" x14ac:dyDescent="0.15">
      <c r="B477" s="80" t="s">
        <v>1994</v>
      </c>
      <c r="N477" s="80" t="s">
        <v>1902</v>
      </c>
      <c r="P477" s="80"/>
      <c r="Q477" s="80"/>
      <c r="R477" s="80"/>
      <c r="S477" s="80"/>
      <c r="T477" s="80"/>
      <c r="U477" s="80"/>
      <c r="V477" s="80"/>
      <c r="W477" s="80"/>
      <c r="X477" s="80"/>
      <c r="Y477" s="80"/>
      <c r="Z477" s="80"/>
      <c r="AA477" s="80"/>
      <c r="AF477" s="80"/>
      <c r="AG477" s="80"/>
    </row>
    <row r="478" spans="2:33" x14ac:dyDescent="0.15">
      <c r="B478" s="80" t="s">
        <v>1993</v>
      </c>
      <c r="P478" s="80"/>
      <c r="Q478" s="80"/>
      <c r="R478" s="80"/>
      <c r="S478" s="80"/>
      <c r="T478" s="80"/>
      <c r="U478" s="80"/>
      <c r="V478" s="80"/>
      <c r="W478" s="80"/>
      <c r="X478" s="80"/>
      <c r="Y478" s="80"/>
      <c r="Z478" s="80"/>
      <c r="AA478" s="80"/>
      <c r="AF478" s="80"/>
      <c r="AG478" s="80"/>
    </row>
    <row r="479" spans="2:33" x14ac:dyDescent="0.15">
      <c r="B479" s="80" t="s">
        <v>1992</v>
      </c>
      <c r="P479" s="80"/>
      <c r="Q479" s="80"/>
      <c r="R479" s="80"/>
      <c r="S479" s="80"/>
      <c r="T479" s="80"/>
      <c r="U479" s="80"/>
      <c r="V479" s="80"/>
      <c r="W479" s="80"/>
      <c r="X479" s="80"/>
      <c r="Y479" s="80"/>
      <c r="Z479" s="80"/>
      <c r="AA479" s="80"/>
      <c r="AF479" s="80"/>
      <c r="AG479" s="80"/>
    </row>
    <row r="480" spans="2:33" x14ac:dyDescent="0.15">
      <c r="B480" s="80" t="s">
        <v>1991</v>
      </c>
      <c r="P480" s="80"/>
      <c r="Q480" s="80"/>
      <c r="R480" s="80"/>
      <c r="S480" s="80"/>
      <c r="T480" s="80"/>
      <c r="U480" s="80"/>
      <c r="V480" s="80"/>
      <c r="W480" s="80"/>
      <c r="X480" s="80"/>
      <c r="Y480" s="80"/>
      <c r="Z480" s="80"/>
      <c r="AA480" s="80"/>
      <c r="AF480" s="80"/>
      <c r="AG480" s="80"/>
    </row>
    <row r="481" spans="2:33" x14ac:dyDescent="0.15">
      <c r="B481" s="80" t="s">
        <v>1990</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1989</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1988</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1987</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1986</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1985</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1984</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1983</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1982</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1981</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1980</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1979</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7522</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1978</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1977</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1976</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1975</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1974</v>
      </c>
      <c r="P498" s="80"/>
      <c r="Q498" s="80"/>
      <c r="R498" s="80"/>
      <c r="S498" s="80"/>
      <c r="T498" s="80"/>
      <c r="U498" s="80"/>
      <c r="V498" s="80"/>
      <c r="W498" s="80"/>
      <c r="X498" s="80"/>
      <c r="Y498" s="80"/>
      <c r="Z498" s="80"/>
      <c r="AA498" s="80"/>
      <c r="AF498" s="80"/>
      <c r="AG498" s="80"/>
    </row>
    <row r="499" spans="2:33" x14ac:dyDescent="0.15">
      <c r="B499" s="80" t="s">
        <v>1973</v>
      </c>
      <c r="P499" s="80"/>
      <c r="Q499" s="80"/>
      <c r="R499" s="80"/>
      <c r="S499" s="80"/>
      <c r="T499" s="80"/>
      <c r="U499" s="80"/>
      <c r="V499" s="80"/>
      <c r="W499" s="80"/>
      <c r="X499" s="80"/>
      <c r="Y499" s="80"/>
      <c r="Z499" s="80"/>
      <c r="AA499" s="80"/>
      <c r="AF499" s="80"/>
      <c r="AG499" s="80"/>
    </row>
    <row r="500" spans="2:33" x14ac:dyDescent="0.15">
      <c r="B500" s="80" t="s">
        <v>1972</v>
      </c>
      <c r="P500" s="80"/>
      <c r="Q500" s="80"/>
      <c r="R500" s="80"/>
      <c r="S500" s="80"/>
      <c r="T500" s="80"/>
      <c r="U500" s="80"/>
      <c r="V500" s="80"/>
      <c r="W500" s="80"/>
      <c r="X500" s="80"/>
      <c r="Y500" s="80"/>
      <c r="Z500" s="80"/>
      <c r="AA500" s="80"/>
      <c r="AF500" s="80"/>
      <c r="AG500" s="80"/>
    </row>
    <row r="501" spans="2:33" x14ac:dyDescent="0.15">
      <c r="B501" s="80" t="s">
        <v>1971</v>
      </c>
      <c r="P501" s="80"/>
      <c r="Q501" s="80"/>
      <c r="R501" s="80"/>
      <c r="S501" s="80"/>
      <c r="T501" s="80"/>
      <c r="U501" s="80"/>
      <c r="V501" s="80"/>
      <c r="W501" s="80"/>
      <c r="X501" s="80"/>
      <c r="Y501" s="80"/>
      <c r="Z501" s="80"/>
      <c r="AA501" s="80"/>
      <c r="AF501" s="80"/>
      <c r="AG501" s="80"/>
    </row>
    <row r="502" spans="2:33" x14ac:dyDescent="0.15">
      <c r="B502" s="80" t="s">
        <v>1970</v>
      </c>
      <c r="P502" s="80"/>
      <c r="Q502" s="80"/>
      <c r="R502" s="80"/>
      <c r="S502" s="80"/>
      <c r="T502" s="80"/>
      <c r="U502" s="80"/>
      <c r="V502" s="80"/>
      <c r="W502" s="80"/>
      <c r="X502" s="80"/>
      <c r="Y502" s="80"/>
      <c r="Z502" s="80"/>
      <c r="AA502" s="80"/>
      <c r="AF502" s="80"/>
      <c r="AG502" s="80"/>
    </row>
    <row r="503" spans="2:33" x14ac:dyDescent="0.15">
      <c r="B503" s="80" t="s">
        <v>1969</v>
      </c>
      <c r="P503" s="80"/>
      <c r="Q503" s="80"/>
      <c r="R503" s="80"/>
      <c r="S503" s="80"/>
      <c r="T503" s="80"/>
      <c r="U503" s="80"/>
      <c r="V503" s="80"/>
      <c r="W503" s="80"/>
      <c r="X503" s="80"/>
      <c r="Y503" s="80"/>
      <c r="Z503" s="80"/>
      <c r="AA503" s="80"/>
      <c r="AF503" s="80"/>
      <c r="AG503" s="80"/>
    </row>
    <row r="504" spans="2:33" x14ac:dyDescent="0.15">
      <c r="B504" s="12" t="s">
        <v>1968</v>
      </c>
      <c r="I504" s="80" t="s">
        <v>5262</v>
      </c>
      <c r="P504" s="80"/>
      <c r="Q504" s="80"/>
      <c r="R504" s="80"/>
      <c r="S504" s="80"/>
      <c r="T504" s="80"/>
      <c r="U504" s="80"/>
      <c r="V504" s="80"/>
      <c r="W504" s="80"/>
      <c r="X504" s="80"/>
      <c r="Y504" s="80"/>
      <c r="Z504" s="80"/>
      <c r="AA504" s="80"/>
      <c r="AF504" s="80"/>
      <c r="AG504" s="80"/>
    </row>
    <row r="505" spans="2:33" x14ac:dyDescent="0.15">
      <c r="B505" s="80" t="s">
        <v>1967</v>
      </c>
      <c r="P505" s="80"/>
      <c r="Q505" s="80"/>
      <c r="R505" s="80"/>
      <c r="S505" s="80"/>
      <c r="T505" s="80"/>
      <c r="U505" s="80"/>
      <c r="V505" s="80"/>
      <c r="W505" s="80"/>
      <c r="X505" s="80"/>
      <c r="Y505" s="80"/>
      <c r="Z505" s="80"/>
      <c r="AA505" s="80"/>
      <c r="AF505" s="80"/>
      <c r="AG505" s="80"/>
    </row>
    <row r="506" spans="2:33" x14ac:dyDescent="0.15">
      <c r="B506" s="80" t="s">
        <v>1966</v>
      </c>
      <c r="P506" s="80"/>
      <c r="Q506" s="80"/>
      <c r="R506" s="80"/>
      <c r="S506" s="80"/>
      <c r="T506" s="80"/>
      <c r="U506" s="80"/>
      <c r="V506" s="80"/>
      <c r="W506" s="80"/>
      <c r="X506" s="80"/>
      <c r="Y506" s="80"/>
      <c r="Z506" s="80"/>
      <c r="AA506" s="80"/>
      <c r="AF506" s="80"/>
      <c r="AG506" s="80"/>
    </row>
    <row r="507" spans="2:33" x14ac:dyDescent="0.15">
      <c r="B507" s="80" t="s">
        <v>1965</v>
      </c>
      <c r="P507" s="80"/>
      <c r="Q507" s="80"/>
      <c r="R507" s="80"/>
      <c r="S507" s="80"/>
      <c r="T507" s="80"/>
      <c r="U507" s="80"/>
      <c r="V507" s="80"/>
      <c r="W507" s="80"/>
      <c r="X507" s="80"/>
      <c r="Y507" s="80"/>
      <c r="Z507" s="80"/>
      <c r="AA507" s="80"/>
      <c r="AF507" s="80"/>
      <c r="AG507" s="80"/>
    </row>
    <row r="508" spans="2:33" x14ac:dyDescent="0.15">
      <c r="B508" s="80" t="s">
        <v>1964</v>
      </c>
      <c r="P508" s="80"/>
      <c r="Q508" s="80"/>
      <c r="R508" s="80"/>
      <c r="S508" s="80"/>
      <c r="T508" s="80"/>
      <c r="U508" s="80"/>
      <c r="V508" s="80"/>
      <c r="W508" s="80"/>
      <c r="X508" s="80"/>
      <c r="Y508" s="80"/>
      <c r="Z508" s="80"/>
      <c r="AA508" s="80"/>
      <c r="AF508" s="80"/>
      <c r="AG508" s="80"/>
    </row>
    <row r="509" spans="2:33" x14ac:dyDescent="0.15">
      <c r="B509" s="80" t="s">
        <v>1963</v>
      </c>
      <c r="P509" s="80"/>
      <c r="Q509" s="80"/>
      <c r="R509" s="80"/>
      <c r="S509" s="80"/>
      <c r="T509" s="80"/>
      <c r="U509" s="80"/>
      <c r="V509" s="80"/>
      <c r="W509" s="80"/>
      <c r="X509" s="80"/>
      <c r="Y509" s="80"/>
      <c r="Z509" s="80"/>
      <c r="AA509" s="80"/>
      <c r="AF509" s="80"/>
      <c r="AG509" s="80"/>
    </row>
    <row r="510" spans="2:33" x14ac:dyDescent="0.15">
      <c r="B510" s="80" t="s">
        <v>1962</v>
      </c>
      <c r="P510" s="80"/>
      <c r="Q510" s="80"/>
      <c r="R510" s="80"/>
      <c r="S510" s="80"/>
      <c r="T510" s="80"/>
      <c r="U510" s="80"/>
      <c r="V510" s="80"/>
      <c r="W510" s="80"/>
      <c r="X510" s="80"/>
      <c r="Y510" s="80"/>
      <c r="Z510" s="80"/>
      <c r="AA510" s="80"/>
      <c r="AF510" s="80"/>
      <c r="AG510" s="80"/>
    </row>
    <row r="511" spans="2:33" x14ac:dyDescent="0.15">
      <c r="B511" s="80" t="s">
        <v>1961</v>
      </c>
      <c r="P511" s="80"/>
      <c r="Q511" s="80"/>
      <c r="R511" s="80"/>
      <c r="S511" s="80"/>
      <c r="T511" s="80"/>
      <c r="U511" s="80"/>
      <c r="V511" s="80"/>
      <c r="W511" s="80"/>
      <c r="X511" s="80"/>
      <c r="Y511" s="80"/>
      <c r="Z511" s="80"/>
      <c r="AA511" s="80"/>
      <c r="AF511" s="80"/>
      <c r="AG511" s="80"/>
    </row>
    <row r="512" spans="2:33" x14ac:dyDescent="0.15">
      <c r="B512" s="80" t="s">
        <v>1960</v>
      </c>
      <c r="P512" s="80"/>
      <c r="Q512" s="80"/>
      <c r="R512" s="80"/>
      <c r="S512" s="80"/>
      <c r="T512" s="80"/>
      <c r="U512" s="80"/>
      <c r="V512" s="80"/>
      <c r="W512" s="80"/>
      <c r="X512" s="80"/>
      <c r="Y512" s="80"/>
      <c r="Z512" s="80"/>
      <c r="AA512" s="80"/>
      <c r="AF512" s="80"/>
      <c r="AG512" s="80"/>
    </row>
    <row r="513" spans="2:33" x14ac:dyDescent="0.15">
      <c r="B513" s="80" t="s">
        <v>1959</v>
      </c>
      <c r="P513" s="80"/>
      <c r="Q513" s="80"/>
      <c r="R513" s="80"/>
      <c r="S513" s="80"/>
      <c r="T513" s="80"/>
      <c r="U513" s="80"/>
      <c r="V513" s="80"/>
      <c r="W513" s="80"/>
      <c r="X513" s="80"/>
      <c r="Y513" s="80"/>
      <c r="Z513" s="80"/>
      <c r="AA513" s="80"/>
      <c r="AF513" s="80"/>
      <c r="AG513" s="80"/>
    </row>
    <row r="514" spans="2:33" x14ac:dyDescent="0.15">
      <c r="B514" s="80" t="s">
        <v>1958</v>
      </c>
      <c r="P514" s="80"/>
      <c r="Q514" s="80"/>
      <c r="R514" s="80"/>
      <c r="S514" s="80"/>
      <c r="T514" s="80"/>
      <c r="U514" s="80"/>
      <c r="V514" s="80"/>
      <c r="W514" s="80"/>
      <c r="X514" s="80"/>
      <c r="Y514" s="80"/>
      <c r="Z514" s="80"/>
      <c r="AA514" s="80"/>
      <c r="AF514" s="80"/>
      <c r="AG514" s="80"/>
    </row>
    <row r="515" spans="2:33" x14ac:dyDescent="0.15">
      <c r="B515" s="80" t="s">
        <v>1957</v>
      </c>
      <c r="P515" s="80"/>
      <c r="Q515" s="80"/>
      <c r="R515" s="80"/>
      <c r="S515" s="80"/>
      <c r="T515" s="80"/>
      <c r="U515" s="80"/>
      <c r="V515" s="80"/>
      <c r="W515" s="80"/>
      <c r="X515" s="80"/>
      <c r="Y515" s="80"/>
      <c r="Z515" s="80"/>
      <c r="AA515" s="80"/>
      <c r="AF515" s="80"/>
      <c r="AG515" s="80"/>
    </row>
    <row r="516" spans="2:33" x14ac:dyDescent="0.15">
      <c r="B516" s="80" t="s">
        <v>1956</v>
      </c>
      <c r="P516" s="80"/>
      <c r="Q516" s="80"/>
      <c r="R516" s="80"/>
      <c r="S516" s="80"/>
      <c r="T516" s="80"/>
      <c r="U516" s="80"/>
      <c r="V516" s="80"/>
      <c r="W516" s="80"/>
      <c r="X516" s="80"/>
      <c r="Y516" s="80"/>
      <c r="Z516" s="80"/>
      <c r="AA516" s="80"/>
      <c r="AF516" s="80"/>
      <c r="AG516" s="80"/>
    </row>
    <row r="517" spans="2:33" x14ac:dyDescent="0.15">
      <c r="B517" s="80" t="s">
        <v>1955</v>
      </c>
      <c r="P517" s="80"/>
      <c r="Q517" s="80"/>
      <c r="R517" s="80"/>
      <c r="S517" s="80"/>
      <c r="T517" s="80"/>
      <c r="U517" s="80"/>
      <c r="V517" s="80"/>
      <c r="W517" s="80"/>
      <c r="X517" s="80"/>
      <c r="Y517" s="80"/>
      <c r="Z517" s="80"/>
      <c r="AA517" s="80"/>
      <c r="AF517" s="80"/>
      <c r="AG517" s="80"/>
    </row>
    <row r="518" spans="2:33" x14ac:dyDescent="0.15">
      <c r="B518" s="80" t="s">
        <v>1954</v>
      </c>
      <c r="N518" s="80" t="s">
        <v>1902</v>
      </c>
      <c r="P518" s="80"/>
      <c r="Q518" s="80"/>
      <c r="R518" s="80"/>
      <c r="S518" s="80"/>
      <c r="T518" s="80"/>
      <c r="U518" s="80"/>
      <c r="V518" s="80"/>
      <c r="W518" s="80"/>
      <c r="X518" s="80"/>
      <c r="Y518" s="80"/>
      <c r="Z518" s="80"/>
      <c r="AA518" s="80"/>
      <c r="AF518" s="80"/>
      <c r="AG518" s="80"/>
    </row>
    <row r="519" spans="2:33" x14ac:dyDescent="0.15">
      <c r="B519" s="80" t="s">
        <v>1953</v>
      </c>
      <c r="P519" s="80"/>
      <c r="Q519" s="80"/>
      <c r="R519" s="80"/>
      <c r="S519" s="80"/>
      <c r="T519" s="80"/>
      <c r="U519" s="80"/>
      <c r="V519" s="80"/>
      <c r="W519" s="80"/>
      <c r="X519" s="80"/>
      <c r="Y519" s="80"/>
      <c r="Z519" s="80"/>
      <c r="AA519" s="80"/>
      <c r="AF519" s="80"/>
      <c r="AG519" s="80"/>
    </row>
    <row r="520" spans="2:33" x14ac:dyDescent="0.15">
      <c r="B520" s="80" t="s">
        <v>1952</v>
      </c>
      <c r="P520" s="80"/>
      <c r="Q520" s="80"/>
      <c r="R520" s="80"/>
      <c r="S520" s="80"/>
      <c r="T520" s="80"/>
      <c r="U520" s="80"/>
      <c r="V520" s="80"/>
      <c r="W520" s="80"/>
      <c r="X520" s="80"/>
      <c r="Y520" s="80"/>
      <c r="Z520" s="80"/>
      <c r="AA520" s="80"/>
      <c r="AF520" s="80"/>
      <c r="AG520" s="80"/>
    </row>
    <row r="521" spans="2:33" x14ac:dyDescent="0.15">
      <c r="B521" s="80" t="s">
        <v>1951</v>
      </c>
      <c r="P521" s="80"/>
      <c r="Q521" s="80"/>
      <c r="R521" s="80"/>
      <c r="S521" s="80"/>
      <c r="T521" s="80"/>
      <c r="U521" s="80"/>
      <c r="V521" s="80"/>
      <c r="W521" s="80"/>
      <c r="X521" s="80"/>
      <c r="Y521" s="80"/>
      <c r="Z521" s="80"/>
      <c r="AA521" s="80"/>
      <c r="AF521" s="80"/>
      <c r="AG521" s="80"/>
    </row>
    <row r="522" spans="2:33" x14ac:dyDescent="0.15">
      <c r="B522" s="80" t="s">
        <v>1950</v>
      </c>
      <c r="P522" s="80"/>
      <c r="Q522" s="80"/>
      <c r="R522" s="80"/>
      <c r="S522" s="80"/>
      <c r="T522" s="80"/>
      <c r="U522" s="80"/>
      <c r="V522" s="80"/>
      <c r="W522" s="80"/>
      <c r="X522" s="80"/>
      <c r="Y522" s="80"/>
      <c r="Z522" s="80"/>
      <c r="AA522" s="80"/>
      <c r="AF522" s="80"/>
      <c r="AG522" s="80"/>
    </row>
    <row r="523" spans="2:33" x14ac:dyDescent="0.15">
      <c r="B523" s="80" t="s">
        <v>1949</v>
      </c>
      <c r="P523" s="80"/>
      <c r="Q523" s="80"/>
      <c r="R523" s="80"/>
      <c r="S523" s="80"/>
      <c r="T523" s="80"/>
      <c r="U523" s="80"/>
      <c r="V523" s="80"/>
      <c r="W523" s="80"/>
      <c r="X523" s="80"/>
      <c r="Y523" s="80"/>
      <c r="Z523" s="80"/>
      <c r="AA523" s="80"/>
      <c r="AF523" s="80"/>
      <c r="AG523" s="80"/>
    </row>
    <row r="524" spans="2:33" x14ac:dyDescent="0.15">
      <c r="B524" s="80" t="s">
        <v>1948</v>
      </c>
      <c r="P524" s="80"/>
      <c r="Q524" s="80"/>
      <c r="R524" s="80"/>
      <c r="S524" s="80"/>
      <c r="T524" s="80"/>
      <c r="U524" s="80"/>
      <c r="V524" s="80"/>
      <c r="W524" s="80"/>
      <c r="X524" s="80"/>
      <c r="Y524" s="80"/>
      <c r="Z524" s="80"/>
      <c r="AA524" s="80"/>
      <c r="AF524" s="80"/>
      <c r="AG524" s="80"/>
    </row>
    <row r="525" spans="2:33" x14ac:dyDescent="0.15">
      <c r="B525" s="80" t="s">
        <v>1947</v>
      </c>
      <c r="P525" s="80"/>
      <c r="Q525" s="80"/>
      <c r="R525" s="80"/>
      <c r="S525" s="80"/>
      <c r="T525" s="80"/>
      <c r="U525" s="80"/>
      <c r="V525" s="80"/>
      <c r="W525" s="80"/>
      <c r="X525" s="80"/>
      <c r="Y525" s="80"/>
      <c r="Z525" s="80"/>
      <c r="AA525" s="80"/>
      <c r="AF525" s="80"/>
      <c r="AG525" s="80"/>
    </row>
    <row r="526" spans="2:33" x14ac:dyDescent="0.15">
      <c r="B526" s="80" t="s">
        <v>1946</v>
      </c>
      <c r="P526" s="80"/>
      <c r="Q526" s="80"/>
      <c r="R526" s="80"/>
      <c r="S526" s="80"/>
      <c r="T526" s="80"/>
      <c r="U526" s="80"/>
      <c r="V526" s="80"/>
      <c r="W526" s="80"/>
      <c r="X526" s="80"/>
      <c r="Y526" s="80"/>
      <c r="Z526" s="80"/>
      <c r="AA526" s="80"/>
      <c r="AF526" s="80"/>
      <c r="AG526" s="80"/>
    </row>
    <row r="527" spans="2:33" x14ac:dyDescent="0.15">
      <c r="B527" s="80" t="s">
        <v>1945</v>
      </c>
      <c r="P527" s="80"/>
      <c r="Q527" s="80"/>
      <c r="R527" s="80"/>
      <c r="S527" s="80"/>
      <c r="T527" s="80"/>
      <c r="U527" s="80"/>
      <c r="V527" s="80"/>
      <c r="W527" s="80"/>
      <c r="X527" s="80"/>
      <c r="Y527" s="80"/>
      <c r="Z527" s="80"/>
      <c r="AA527" s="80"/>
      <c r="AF527" s="80"/>
      <c r="AG527" s="80"/>
    </row>
    <row r="528" spans="2:33" x14ac:dyDescent="0.15">
      <c r="B528" s="80" t="s">
        <v>1944</v>
      </c>
      <c r="P528" s="80"/>
      <c r="Q528" s="80"/>
      <c r="R528" s="80"/>
      <c r="S528" s="80"/>
      <c r="T528" s="80"/>
      <c r="U528" s="80"/>
      <c r="V528" s="80"/>
      <c r="W528" s="80"/>
      <c r="X528" s="80"/>
      <c r="Y528" s="80"/>
      <c r="Z528" s="80"/>
      <c r="AA528" s="80"/>
      <c r="AF528" s="80"/>
      <c r="AG528" s="80"/>
    </row>
    <row r="529" spans="2:33" x14ac:dyDescent="0.15">
      <c r="B529" s="80" t="s">
        <v>1245</v>
      </c>
      <c r="P529" s="80"/>
      <c r="Q529" s="80"/>
      <c r="R529" s="80"/>
      <c r="S529" s="80"/>
      <c r="T529" s="80"/>
      <c r="U529" s="80"/>
      <c r="V529" s="80"/>
      <c r="W529" s="80"/>
      <c r="X529" s="80"/>
      <c r="Y529" s="80"/>
      <c r="Z529" s="80"/>
      <c r="AA529" s="80"/>
      <c r="AF529" s="80"/>
      <c r="AG529" s="80"/>
    </row>
    <row r="530" spans="2:33" x14ac:dyDescent="0.15">
      <c r="B530" s="80" t="s">
        <v>1943</v>
      </c>
      <c r="P530" s="80"/>
      <c r="Q530" s="80"/>
      <c r="R530" s="80"/>
      <c r="S530" s="80"/>
      <c r="T530" s="80"/>
      <c r="U530" s="80"/>
      <c r="V530" s="80"/>
      <c r="W530" s="80"/>
      <c r="X530" s="80"/>
      <c r="Y530" s="80"/>
      <c r="Z530" s="80"/>
      <c r="AA530" s="80"/>
      <c r="AF530" s="80"/>
      <c r="AG530" s="80"/>
    </row>
    <row r="531" spans="2:33" x14ac:dyDescent="0.15">
      <c r="B531" s="80" t="s">
        <v>1942</v>
      </c>
      <c r="P531" s="80"/>
      <c r="Q531" s="80"/>
      <c r="R531" s="80"/>
      <c r="S531" s="80"/>
      <c r="T531" s="80"/>
      <c r="U531" s="80"/>
      <c r="V531" s="80"/>
      <c r="W531" s="80"/>
      <c r="X531" s="80"/>
      <c r="Y531" s="80"/>
      <c r="Z531" s="80"/>
      <c r="AA531" s="80"/>
      <c r="AF531" s="80"/>
      <c r="AG531" s="80"/>
    </row>
    <row r="532" spans="2:33" x14ac:dyDescent="0.15">
      <c r="B532" s="80" t="s">
        <v>1941</v>
      </c>
      <c r="P532" s="80"/>
      <c r="Q532" s="80"/>
      <c r="R532" s="80"/>
      <c r="S532" s="80"/>
      <c r="T532" s="80"/>
      <c r="U532" s="80"/>
      <c r="V532" s="80"/>
      <c r="W532" s="80"/>
      <c r="X532" s="80"/>
      <c r="Y532" s="80"/>
      <c r="Z532" s="80"/>
      <c r="AA532" s="80"/>
      <c r="AF532" s="80"/>
      <c r="AG532" s="80"/>
    </row>
    <row r="533" spans="2:33" x14ac:dyDescent="0.15">
      <c r="B533" s="80" t="s">
        <v>1940</v>
      </c>
      <c r="P533" s="80"/>
      <c r="Q533" s="80"/>
      <c r="R533" s="80"/>
      <c r="S533" s="80"/>
      <c r="T533" s="80"/>
      <c r="U533" s="80"/>
      <c r="V533" s="80"/>
      <c r="W533" s="80"/>
      <c r="X533" s="80"/>
      <c r="Y533" s="80"/>
      <c r="Z533" s="80"/>
      <c r="AA533" s="80"/>
      <c r="AF533" s="80"/>
      <c r="AG533" s="80"/>
    </row>
    <row r="534" spans="2:33" x14ac:dyDescent="0.15">
      <c r="B534" s="80" t="s">
        <v>1939</v>
      </c>
      <c r="P534" s="80"/>
      <c r="Q534" s="80"/>
      <c r="R534" s="80"/>
      <c r="S534" s="80"/>
      <c r="T534" s="80"/>
      <c r="U534" s="80"/>
      <c r="V534" s="80"/>
      <c r="W534" s="80"/>
      <c r="X534" s="80"/>
      <c r="Y534" s="80"/>
      <c r="Z534" s="80"/>
      <c r="AA534" s="80"/>
      <c r="AF534" s="80"/>
      <c r="AG534" s="80"/>
    </row>
    <row r="535" spans="2:33" x14ac:dyDescent="0.15">
      <c r="B535" s="80" t="s">
        <v>1938</v>
      </c>
      <c r="P535" s="80"/>
      <c r="Q535" s="80"/>
      <c r="R535" s="80"/>
      <c r="S535" s="80"/>
      <c r="T535" s="80"/>
      <c r="U535" s="80"/>
      <c r="V535" s="80"/>
      <c r="W535" s="80"/>
      <c r="X535" s="80"/>
      <c r="Y535" s="80"/>
      <c r="Z535" s="80"/>
      <c r="AA535" s="80"/>
      <c r="AF535" s="80"/>
      <c r="AG535" s="80"/>
    </row>
    <row r="536" spans="2:33" x14ac:dyDescent="0.15">
      <c r="B536" s="80" t="s">
        <v>1937</v>
      </c>
      <c r="P536" s="80"/>
      <c r="Q536" s="80"/>
      <c r="R536" s="80"/>
      <c r="S536" s="80"/>
      <c r="T536" s="80"/>
      <c r="U536" s="80"/>
      <c r="V536" s="80"/>
      <c r="W536" s="80"/>
      <c r="X536" s="80"/>
      <c r="Y536" s="80"/>
      <c r="Z536" s="80"/>
      <c r="AA536" s="80"/>
      <c r="AF536" s="80"/>
      <c r="AG536" s="80"/>
    </row>
    <row r="537" spans="2:33" x14ac:dyDescent="0.15">
      <c r="B537" s="80" t="s">
        <v>1936</v>
      </c>
      <c r="P537" s="80"/>
      <c r="Q537" s="80"/>
      <c r="R537" s="80"/>
      <c r="S537" s="80"/>
      <c r="T537" s="80"/>
      <c r="U537" s="80"/>
      <c r="V537" s="80"/>
      <c r="W537" s="80"/>
      <c r="X537" s="80"/>
      <c r="Y537" s="80"/>
      <c r="Z537" s="80"/>
      <c r="AA537" s="80"/>
      <c r="AF537" s="80"/>
      <c r="AG537" s="80"/>
    </row>
    <row r="538" spans="2:33" x14ac:dyDescent="0.15">
      <c r="B538" s="80" t="s">
        <v>1249</v>
      </c>
      <c r="P538" s="80"/>
      <c r="Q538" s="80"/>
      <c r="R538" s="80"/>
      <c r="S538" s="80"/>
      <c r="T538" s="80"/>
      <c r="U538" s="80"/>
      <c r="V538" s="80"/>
      <c r="W538" s="80"/>
      <c r="X538" s="80"/>
      <c r="Y538" s="80"/>
      <c r="Z538" s="80"/>
      <c r="AA538" s="80"/>
      <c r="AF538" s="80"/>
      <c r="AG538" s="80"/>
    </row>
    <row r="539" spans="2:33" x14ac:dyDescent="0.15">
      <c r="B539" s="80" t="s">
        <v>1935</v>
      </c>
      <c r="P539" s="80"/>
      <c r="Q539" s="80"/>
      <c r="R539" s="80"/>
      <c r="S539" s="80"/>
      <c r="T539" s="80"/>
      <c r="U539" s="80"/>
      <c r="V539" s="80"/>
      <c r="W539" s="80"/>
      <c r="X539" s="80"/>
      <c r="Y539" s="80"/>
      <c r="Z539" s="80"/>
      <c r="AA539" s="80"/>
      <c r="AF539" s="80"/>
      <c r="AG539" s="80"/>
    </row>
    <row r="540" spans="2:33" x14ac:dyDescent="0.15">
      <c r="B540" s="80" t="s">
        <v>1934</v>
      </c>
      <c r="P540" s="80"/>
      <c r="Q540" s="80"/>
      <c r="R540" s="80"/>
      <c r="S540" s="80"/>
      <c r="T540" s="80"/>
      <c r="U540" s="80"/>
      <c r="V540" s="80"/>
      <c r="W540" s="80"/>
      <c r="X540" s="80"/>
      <c r="Y540" s="80"/>
      <c r="Z540" s="80"/>
      <c r="AA540" s="80"/>
      <c r="AF540" s="80"/>
      <c r="AG540" s="80"/>
    </row>
    <row r="541" spans="2:33" x14ac:dyDescent="0.15">
      <c r="B541" s="80" t="s">
        <v>1933</v>
      </c>
      <c r="N541" s="80" t="s">
        <v>1902</v>
      </c>
      <c r="P541" s="80"/>
      <c r="Q541" s="80"/>
      <c r="R541" s="80"/>
      <c r="S541" s="80"/>
      <c r="T541" s="80"/>
      <c r="U541" s="80"/>
      <c r="V541" s="80"/>
      <c r="W541" s="80"/>
      <c r="X541" s="80"/>
      <c r="Y541" s="80"/>
      <c r="Z541" s="80"/>
      <c r="AA541" s="80"/>
      <c r="AF541" s="80"/>
      <c r="AG541" s="80"/>
    </row>
    <row r="542" spans="2:33" x14ac:dyDescent="0.15">
      <c r="B542" s="80" t="s">
        <v>1932</v>
      </c>
      <c r="P542" s="80"/>
      <c r="Q542" s="80"/>
      <c r="R542" s="80"/>
      <c r="S542" s="80"/>
      <c r="T542" s="80"/>
      <c r="U542" s="80"/>
      <c r="V542" s="80"/>
      <c r="W542" s="80"/>
      <c r="X542" s="80"/>
      <c r="Y542" s="80"/>
      <c r="Z542" s="80"/>
      <c r="AA542" s="80"/>
      <c r="AF542" s="80"/>
      <c r="AG542" s="80"/>
    </row>
    <row r="543" spans="2:33" x14ac:dyDescent="0.15">
      <c r="B543" s="80" t="s">
        <v>1931</v>
      </c>
      <c r="N543" s="80" t="s">
        <v>1902</v>
      </c>
      <c r="P543" s="80"/>
      <c r="Q543" s="80"/>
      <c r="R543" s="80"/>
      <c r="S543" s="80"/>
      <c r="T543" s="80"/>
      <c r="U543" s="80"/>
      <c r="V543" s="80"/>
      <c r="W543" s="80"/>
      <c r="X543" s="80"/>
      <c r="Y543" s="80"/>
      <c r="Z543" s="80"/>
      <c r="AA543" s="80"/>
      <c r="AF543" s="80"/>
      <c r="AG543" s="80"/>
    </row>
    <row r="544" spans="2:33" x14ac:dyDescent="0.15">
      <c r="B544" s="80" t="s">
        <v>1930</v>
      </c>
      <c r="P544" s="80"/>
      <c r="Q544" s="80"/>
      <c r="R544" s="80"/>
      <c r="S544" s="80"/>
      <c r="T544" s="80"/>
      <c r="U544" s="80"/>
      <c r="V544" s="80"/>
      <c r="W544" s="80"/>
      <c r="X544" s="80"/>
      <c r="Y544" s="80"/>
      <c r="Z544" s="80"/>
      <c r="AA544" s="80"/>
      <c r="AF544" s="80"/>
      <c r="AG544" s="80"/>
    </row>
    <row r="545" spans="2:33" x14ac:dyDescent="0.15">
      <c r="B545" s="80" t="s">
        <v>1929</v>
      </c>
      <c r="P545" s="80"/>
      <c r="Q545" s="80"/>
      <c r="R545" s="80"/>
      <c r="S545" s="80"/>
      <c r="T545" s="80"/>
      <c r="U545" s="80"/>
      <c r="V545" s="80"/>
      <c r="W545" s="80"/>
      <c r="X545" s="80"/>
      <c r="Y545" s="80"/>
      <c r="Z545" s="80"/>
      <c r="AA545" s="80"/>
      <c r="AF545" s="80"/>
      <c r="AG545" s="80"/>
    </row>
    <row r="546" spans="2:33" x14ac:dyDescent="0.15">
      <c r="B546" s="80" t="s">
        <v>1928</v>
      </c>
      <c r="P546" s="80"/>
      <c r="Q546" s="80"/>
      <c r="R546" s="80"/>
      <c r="S546" s="80"/>
      <c r="T546" s="80"/>
      <c r="U546" s="80"/>
      <c r="V546" s="80"/>
      <c r="W546" s="80"/>
      <c r="X546" s="80"/>
      <c r="Y546" s="80"/>
      <c r="Z546" s="80"/>
      <c r="AA546" s="80"/>
      <c r="AF546" s="80"/>
      <c r="AG546" s="80"/>
    </row>
    <row r="547" spans="2:33" x14ac:dyDescent="0.15">
      <c r="B547" s="80" t="s">
        <v>1927</v>
      </c>
      <c r="P547" s="80"/>
      <c r="Q547" s="80"/>
      <c r="R547" s="80"/>
      <c r="S547" s="80"/>
      <c r="T547" s="80"/>
      <c r="U547" s="80"/>
      <c r="V547" s="80"/>
      <c r="W547" s="80"/>
      <c r="X547" s="80"/>
      <c r="Y547" s="80"/>
      <c r="Z547" s="80"/>
      <c r="AA547" s="80"/>
      <c r="AF547" s="80"/>
      <c r="AG547" s="80"/>
    </row>
    <row r="548" spans="2:33" x14ac:dyDescent="0.15">
      <c r="B548" s="80" t="s">
        <v>1289</v>
      </c>
      <c r="P548" s="80"/>
      <c r="Q548" s="80"/>
      <c r="R548" s="80"/>
      <c r="S548" s="80"/>
      <c r="T548" s="80"/>
      <c r="U548" s="80"/>
      <c r="V548" s="80"/>
      <c r="W548" s="80"/>
      <c r="X548" s="80"/>
      <c r="Y548" s="80"/>
      <c r="Z548" s="80"/>
      <c r="AA548" s="80"/>
      <c r="AF548" s="80"/>
      <c r="AG548" s="80"/>
    </row>
    <row r="549" spans="2:33" x14ac:dyDescent="0.15">
      <c r="B549" s="80" t="s">
        <v>1926</v>
      </c>
      <c r="P549" s="80"/>
      <c r="Q549" s="80"/>
      <c r="R549" s="80"/>
      <c r="S549" s="80"/>
      <c r="T549" s="80"/>
      <c r="U549" s="80"/>
      <c r="V549" s="80"/>
      <c r="W549" s="80"/>
      <c r="X549" s="80"/>
      <c r="Y549" s="80"/>
      <c r="Z549" s="80"/>
      <c r="AA549" s="80"/>
      <c r="AF549" s="80"/>
      <c r="AG549" s="80"/>
    </row>
    <row r="550" spans="2:33" x14ac:dyDescent="0.15">
      <c r="B550" s="80" t="s">
        <v>1925</v>
      </c>
      <c r="P550" s="80"/>
      <c r="Q550" s="80"/>
      <c r="R550" s="80"/>
      <c r="S550" s="80"/>
      <c r="T550" s="80"/>
      <c r="U550" s="80"/>
      <c r="V550" s="80"/>
      <c r="W550" s="80"/>
      <c r="X550" s="80"/>
      <c r="Y550" s="80"/>
      <c r="Z550" s="80"/>
      <c r="AA550" s="80"/>
      <c r="AF550" s="80"/>
      <c r="AG550" s="80"/>
    </row>
    <row r="551" spans="2:33" x14ac:dyDescent="0.15">
      <c r="B551" s="80" t="s">
        <v>1924</v>
      </c>
      <c r="P551" s="80"/>
      <c r="Q551" s="80"/>
      <c r="R551" s="80"/>
      <c r="S551" s="80"/>
      <c r="T551" s="80"/>
      <c r="U551" s="80"/>
      <c r="V551" s="80"/>
      <c r="W551" s="80"/>
      <c r="X551" s="80"/>
      <c r="Y551" s="80"/>
      <c r="Z551" s="80"/>
      <c r="AA551" s="80"/>
      <c r="AF551" s="80"/>
      <c r="AG551" s="80"/>
    </row>
    <row r="552" spans="2:33" x14ac:dyDescent="0.15">
      <c r="B552" s="80" t="s">
        <v>1923</v>
      </c>
      <c r="P552" s="80"/>
      <c r="Q552" s="80"/>
      <c r="R552" s="80"/>
      <c r="S552" s="80"/>
      <c r="T552" s="80"/>
      <c r="U552" s="80"/>
      <c r="V552" s="80"/>
      <c r="W552" s="80"/>
      <c r="X552" s="80"/>
      <c r="Y552" s="80"/>
      <c r="Z552" s="80"/>
      <c r="AA552" s="80"/>
      <c r="AF552" s="80"/>
      <c r="AG552" s="80"/>
    </row>
    <row r="553" spans="2:33" x14ac:dyDescent="0.15">
      <c r="B553" s="80" t="s">
        <v>1922</v>
      </c>
      <c r="P553" s="80"/>
      <c r="Q553" s="80"/>
      <c r="R553" s="80"/>
      <c r="S553" s="80"/>
      <c r="T553" s="80"/>
      <c r="U553" s="80"/>
      <c r="V553" s="80"/>
      <c r="W553" s="80"/>
      <c r="X553" s="80"/>
      <c r="Y553" s="80"/>
      <c r="Z553" s="80"/>
      <c r="AA553" s="80"/>
      <c r="AF553" s="80"/>
      <c r="AG553" s="80"/>
    </row>
    <row r="554" spans="2:33" x14ac:dyDescent="0.15">
      <c r="B554" s="80" t="s">
        <v>1921</v>
      </c>
      <c r="P554" s="80"/>
      <c r="Q554" s="80"/>
      <c r="R554" s="80"/>
      <c r="S554" s="80"/>
      <c r="T554" s="80"/>
      <c r="U554" s="80"/>
      <c r="V554" s="80"/>
      <c r="W554" s="80"/>
      <c r="X554" s="80"/>
      <c r="Y554" s="80"/>
      <c r="Z554" s="80"/>
      <c r="AA554" s="80"/>
      <c r="AF554" s="80"/>
      <c r="AG554" s="80"/>
    </row>
    <row r="555" spans="2:33" x14ac:dyDescent="0.15">
      <c r="B555" s="80" t="s">
        <v>1920</v>
      </c>
      <c r="N555" s="80" t="s">
        <v>1902</v>
      </c>
      <c r="P555" s="80"/>
      <c r="Q555" s="80"/>
      <c r="R555" s="80"/>
      <c r="S555" s="80"/>
      <c r="T555" s="80"/>
      <c r="U555" s="80"/>
      <c r="V555" s="80"/>
      <c r="W555" s="80"/>
      <c r="X555" s="80"/>
      <c r="Y555" s="80"/>
      <c r="Z555" s="80"/>
      <c r="AA555" s="80"/>
      <c r="AF555" s="80"/>
      <c r="AG555" s="80"/>
    </row>
    <row r="556" spans="2:33" x14ac:dyDescent="0.15">
      <c r="B556" s="80" t="s">
        <v>1919</v>
      </c>
      <c r="J556" s="80" t="s">
        <v>1918</v>
      </c>
      <c r="P556" s="80"/>
      <c r="Q556" s="80"/>
      <c r="R556" s="80"/>
      <c r="S556" s="80"/>
      <c r="T556" s="80"/>
      <c r="U556" s="80"/>
      <c r="V556" s="80"/>
      <c r="W556" s="80"/>
      <c r="X556" s="80"/>
      <c r="Y556" s="80"/>
      <c r="Z556" s="80"/>
      <c r="AA556" s="80"/>
      <c r="AF556" s="80"/>
      <c r="AG556" s="80"/>
    </row>
    <row r="557" spans="2:33" x14ac:dyDescent="0.15">
      <c r="B557" s="80" t="s">
        <v>1917</v>
      </c>
      <c r="N557" s="80" t="s">
        <v>1902</v>
      </c>
      <c r="P557" s="80"/>
      <c r="Q557" s="80"/>
      <c r="R557" s="80"/>
      <c r="S557" s="80"/>
      <c r="T557" s="80"/>
      <c r="U557" s="80"/>
      <c r="V557" s="80"/>
      <c r="W557" s="80"/>
      <c r="X557" s="80"/>
      <c r="Y557" s="80"/>
      <c r="Z557" s="80"/>
      <c r="AA557" s="80"/>
      <c r="AF557" s="80"/>
      <c r="AG557" s="80"/>
    </row>
    <row r="558" spans="2:33" x14ac:dyDescent="0.15">
      <c r="B558" s="80" t="s">
        <v>1916</v>
      </c>
      <c r="N558" s="80" t="s">
        <v>1902</v>
      </c>
      <c r="P558" s="80"/>
      <c r="Q558" s="80"/>
      <c r="R558" s="80"/>
      <c r="S558" s="80"/>
      <c r="T558" s="80"/>
      <c r="U558" s="80"/>
      <c r="V558" s="80"/>
      <c r="W558" s="80"/>
      <c r="X558" s="80"/>
      <c r="Y558" s="80"/>
      <c r="Z558" s="80"/>
      <c r="AA558" s="80"/>
      <c r="AF558" s="80"/>
      <c r="AG558" s="80"/>
    </row>
    <row r="559" spans="2:33" x14ac:dyDescent="0.15">
      <c r="B559" s="80" t="s">
        <v>1915</v>
      </c>
      <c r="N559" s="80" t="s">
        <v>1902</v>
      </c>
      <c r="P559" s="80"/>
      <c r="Q559" s="80"/>
      <c r="R559" s="80"/>
      <c r="S559" s="80"/>
      <c r="T559" s="80"/>
      <c r="U559" s="80"/>
      <c r="V559" s="80"/>
      <c r="W559" s="80"/>
      <c r="X559" s="80"/>
      <c r="Y559" s="80"/>
      <c r="Z559" s="80"/>
      <c r="AA559" s="80"/>
      <c r="AF559" s="80"/>
      <c r="AG559" s="80"/>
    </row>
    <row r="560" spans="2:33" x14ac:dyDescent="0.15">
      <c r="B560" s="80" t="s">
        <v>1914</v>
      </c>
      <c r="N560" s="80" t="s">
        <v>1902</v>
      </c>
      <c r="P560" s="80"/>
      <c r="Q560" s="80"/>
      <c r="R560" s="80"/>
      <c r="S560" s="80"/>
      <c r="T560" s="80"/>
      <c r="U560" s="80"/>
      <c r="V560" s="80"/>
      <c r="W560" s="80"/>
      <c r="X560" s="80"/>
      <c r="Y560" s="80"/>
      <c r="Z560" s="80"/>
      <c r="AA560" s="80"/>
      <c r="AF560" s="80"/>
      <c r="AG560" s="80"/>
    </row>
    <row r="561" spans="2:33" x14ac:dyDescent="0.15">
      <c r="B561" s="80" t="s">
        <v>1913</v>
      </c>
      <c r="N561" s="80" t="s">
        <v>1902</v>
      </c>
      <c r="P561" s="80"/>
      <c r="Q561" s="80"/>
      <c r="R561" s="80"/>
      <c r="S561" s="80"/>
      <c r="T561" s="80"/>
      <c r="U561" s="80"/>
      <c r="V561" s="80"/>
      <c r="W561" s="80"/>
      <c r="X561" s="80"/>
      <c r="Y561" s="80"/>
      <c r="Z561" s="80"/>
      <c r="AA561" s="80"/>
      <c r="AF561" s="80"/>
      <c r="AG561" s="80"/>
    </row>
    <row r="562" spans="2:33" x14ac:dyDescent="0.15">
      <c r="B562" s="80" t="s">
        <v>1912</v>
      </c>
      <c r="N562" s="80" t="s">
        <v>1911</v>
      </c>
      <c r="P562" s="80"/>
      <c r="Q562" s="80"/>
      <c r="R562" s="80"/>
      <c r="S562" s="80"/>
      <c r="T562" s="80"/>
      <c r="U562" s="80"/>
      <c r="V562" s="80"/>
      <c r="W562" s="80"/>
      <c r="X562" s="80"/>
      <c r="Y562" s="80"/>
      <c r="Z562" s="80"/>
      <c r="AA562" s="80"/>
      <c r="AF562" s="80"/>
      <c r="AG562" s="80"/>
    </row>
    <row r="563" spans="2:33" x14ac:dyDescent="0.15">
      <c r="B563" s="80" t="s">
        <v>1910</v>
      </c>
      <c r="N563" s="80" t="s">
        <v>1902</v>
      </c>
      <c r="P563" s="80"/>
      <c r="Q563" s="80"/>
      <c r="R563" s="80"/>
      <c r="S563" s="80"/>
      <c r="T563" s="80"/>
      <c r="U563" s="80"/>
      <c r="V563" s="80"/>
      <c r="W563" s="80"/>
      <c r="X563" s="80"/>
      <c r="Y563" s="80"/>
      <c r="Z563" s="80"/>
      <c r="AA563" s="80"/>
      <c r="AF563" s="80"/>
      <c r="AG563" s="80"/>
    </row>
    <row r="564" spans="2:33" x14ac:dyDescent="0.15">
      <c r="B564" s="80" t="s">
        <v>1909</v>
      </c>
      <c r="N564" s="80" t="s">
        <v>1902</v>
      </c>
      <c r="P564" s="80"/>
      <c r="Q564" s="80"/>
      <c r="R564" s="80"/>
      <c r="S564" s="80"/>
      <c r="T564" s="80"/>
      <c r="U564" s="80"/>
      <c r="V564" s="80"/>
      <c r="W564" s="80"/>
      <c r="X564" s="80"/>
      <c r="Y564" s="80"/>
      <c r="Z564" s="80"/>
      <c r="AA564" s="80"/>
      <c r="AF564" s="80"/>
      <c r="AG564" s="80"/>
    </row>
    <row r="565" spans="2:33" x14ac:dyDescent="0.15">
      <c r="B565" s="80" t="s">
        <v>1908</v>
      </c>
      <c r="N565" s="80" t="s">
        <v>1902</v>
      </c>
      <c r="P565" s="80"/>
      <c r="Q565" s="80"/>
      <c r="R565" s="80"/>
      <c r="S565" s="80"/>
      <c r="T565" s="80"/>
      <c r="U565" s="80"/>
      <c r="V565" s="80"/>
      <c r="W565" s="80"/>
      <c r="X565" s="80"/>
      <c r="Y565" s="80"/>
      <c r="Z565" s="80"/>
      <c r="AA565" s="80"/>
      <c r="AF565" s="80"/>
      <c r="AG565" s="80"/>
    </row>
    <row r="566" spans="2:33" x14ac:dyDescent="0.15">
      <c r="B566" s="80" t="s">
        <v>1907</v>
      </c>
      <c r="N566" s="80" t="s">
        <v>1902</v>
      </c>
      <c r="P566" s="80"/>
      <c r="Q566" s="80"/>
      <c r="R566" s="80"/>
      <c r="S566" s="80"/>
      <c r="T566" s="80"/>
      <c r="U566" s="80"/>
      <c r="V566" s="80"/>
      <c r="W566" s="80"/>
      <c r="X566" s="80"/>
      <c r="Y566" s="80"/>
      <c r="Z566" s="80"/>
      <c r="AA566" s="80"/>
      <c r="AF566" s="80"/>
      <c r="AG566" s="80"/>
    </row>
    <row r="567" spans="2:33" x14ac:dyDescent="0.15">
      <c r="B567" s="80" t="s">
        <v>1906</v>
      </c>
      <c r="N567" s="80" t="s">
        <v>1902</v>
      </c>
      <c r="P567" s="80"/>
      <c r="Q567" s="80"/>
      <c r="R567" s="80"/>
      <c r="S567" s="80"/>
      <c r="T567" s="80"/>
      <c r="U567" s="80"/>
      <c r="V567" s="80"/>
      <c r="W567" s="80"/>
      <c r="X567" s="80"/>
      <c r="Y567" s="80"/>
      <c r="Z567" s="80"/>
      <c r="AA567" s="80"/>
      <c r="AF567" s="80"/>
      <c r="AG567" s="80"/>
    </row>
    <row r="568" spans="2:33" x14ac:dyDescent="0.15">
      <c r="B568" s="80" t="s">
        <v>1905</v>
      </c>
      <c r="N568" s="80" t="s">
        <v>1902</v>
      </c>
      <c r="P568" s="80"/>
      <c r="Q568" s="80"/>
      <c r="R568" s="80"/>
      <c r="S568" s="80"/>
      <c r="T568" s="80"/>
      <c r="U568" s="80"/>
      <c r="V568" s="80"/>
      <c r="W568" s="80"/>
      <c r="X568" s="80"/>
      <c r="Y568" s="80"/>
      <c r="Z568" s="80"/>
      <c r="AA568" s="80"/>
      <c r="AF568" s="80"/>
      <c r="AG568" s="80"/>
    </row>
    <row r="569" spans="2:33" x14ac:dyDescent="0.15">
      <c r="B569" s="80" t="s">
        <v>1904</v>
      </c>
      <c r="N569" s="80" t="s">
        <v>1902</v>
      </c>
      <c r="P569" s="80"/>
      <c r="Q569" s="80"/>
      <c r="R569" s="80"/>
      <c r="S569" s="80"/>
      <c r="T569" s="80"/>
      <c r="U569" s="80"/>
      <c r="V569" s="80"/>
      <c r="W569" s="80"/>
      <c r="X569" s="80"/>
      <c r="Y569" s="80"/>
      <c r="Z569" s="80"/>
      <c r="AA569" s="80"/>
      <c r="AF569" s="80"/>
      <c r="AG569" s="80"/>
    </row>
    <row r="570" spans="2:33" x14ac:dyDescent="0.15">
      <c r="B570" s="80" t="s">
        <v>1903</v>
      </c>
      <c r="N570" s="80" t="s">
        <v>1902</v>
      </c>
      <c r="P570" s="80"/>
      <c r="Q570" s="80"/>
      <c r="R570" s="80"/>
      <c r="S570" s="80"/>
      <c r="T570" s="80"/>
      <c r="U570" s="80"/>
      <c r="V570" s="80"/>
      <c r="W570" s="80"/>
      <c r="X570" s="80"/>
      <c r="Y570" s="80"/>
      <c r="Z570" s="80"/>
      <c r="AA570" s="80"/>
      <c r="AF570" s="80"/>
      <c r="AG570" s="80"/>
    </row>
    <row r="571" spans="2:33" x14ac:dyDescent="0.15">
      <c r="B571" s="80" t="s">
        <v>1901</v>
      </c>
      <c r="P571" s="80"/>
      <c r="Q571" s="80"/>
      <c r="R571" s="80"/>
      <c r="S571" s="80"/>
      <c r="T571" s="80"/>
      <c r="U571" s="80"/>
      <c r="V571" s="80"/>
      <c r="W571" s="80"/>
      <c r="X571" s="80"/>
      <c r="Y571" s="80"/>
      <c r="Z571" s="80"/>
      <c r="AA571" s="80"/>
      <c r="AF571" s="80"/>
      <c r="AG571" s="80"/>
    </row>
    <row r="572" spans="2:33" x14ac:dyDescent="0.15">
      <c r="B572" s="80" t="s">
        <v>1900</v>
      </c>
      <c r="P572" s="80"/>
      <c r="Q572" s="80"/>
      <c r="R572" s="80"/>
      <c r="S572" s="80"/>
      <c r="T572" s="80"/>
      <c r="U572" s="80"/>
      <c r="V572" s="80"/>
      <c r="W572" s="80"/>
      <c r="X572" s="80"/>
      <c r="Y572" s="80"/>
      <c r="Z572" s="80"/>
      <c r="AA572" s="80"/>
      <c r="AF572" s="80"/>
      <c r="AG572" s="80"/>
    </row>
    <row r="573" spans="2:33" x14ac:dyDescent="0.15">
      <c r="B573" s="80" t="s">
        <v>1899</v>
      </c>
      <c r="P573" s="80"/>
      <c r="Q573" s="80"/>
      <c r="R573" s="80"/>
      <c r="S573" s="80"/>
      <c r="T573" s="80"/>
      <c r="U573" s="80"/>
      <c r="V573" s="80"/>
      <c r="W573" s="80"/>
      <c r="X573" s="80"/>
      <c r="Y573" s="80"/>
      <c r="Z573" s="80"/>
      <c r="AA573" s="80"/>
      <c r="AF573" s="80"/>
      <c r="AG573" s="80"/>
    </row>
    <row r="574" spans="2:33" x14ac:dyDescent="0.15">
      <c r="B574" s="80" t="s">
        <v>1898</v>
      </c>
      <c r="P574" s="80"/>
      <c r="Q574" s="80"/>
      <c r="R574" s="80"/>
      <c r="S574" s="80"/>
      <c r="T574" s="80"/>
      <c r="U574" s="80"/>
      <c r="V574" s="80"/>
      <c r="W574" s="80"/>
      <c r="X574" s="80"/>
      <c r="Y574" s="80"/>
      <c r="Z574" s="80"/>
      <c r="AA574" s="80"/>
      <c r="AF574" s="80"/>
      <c r="AG574" s="80"/>
    </row>
    <row r="575" spans="2:33" x14ac:dyDescent="0.15">
      <c r="B575" s="80" t="s">
        <v>1897</v>
      </c>
      <c r="P575" s="80"/>
      <c r="Q575" s="80"/>
      <c r="R575" s="80"/>
      <c r="S575" s="80"/>
      <c r="T575" s="80"/>
      <c r="U575" s="80"/>
      <c r="V575" s="80"/>
      <c r="W575" s="80"/>
      <c r="X575" s="80"/>
      <c r="Y575" s="80"/>
      <c r="Z575" s="80"/>
      <c r="AA575" s="80"/>
      <c r="AF575" s="80"/>
      <c r="AG575" s="80"/>
    </row>
    <row r="576" spans="2:33" x14ac:dyDescent="0.15">
      <c r="B576" s="80" t="s">
        <v>1896</v>
      </c>
      <c r="P576" s="80"/>
      <c r="Q576" s="80"/>
      <c r="R576" s="80"/>
      <c r="S576" s="80"/>
      <c r="T576" s="80"/>
      <c r="U576" s="80"/>
      <c r="V576" s="80"/>
      <c r="W576" s="80"/>
      <c r="X576" s="80"/>
      <c r="Y576" s="80"/>
      <c r="Z576" s="80"/>
      <c r="AA576" s="80"/>
      <c r="AF576" s="80"/>
      <c r="AG576" s="80"/>
    </row>
    <row r="577" spans="1:33" x14ac:dyDescent="0.15">
      <c r="B577" s="80" t="s">
        <v>1895</v>
      </c>
      <c r="P577" s="80"/>
      <c r="Q577" s="80"/>
      <c r="R577" s="80"/>
      <c r="S577" s="80"/>
      <c r="T577" s="80"/>
      <c r="U577" s="80"/>
      <c r="V577" s="80"/>
      <c r="W577" s="80"/>
      <c r="X577" s="80"/>
      <c r="Y577" s="80"/>
      <c r="Z577" s="80"/>
      <c r="AA577" s="80"/>
      <c r="AF577" s="80"/>
      <c r="AG577" s="80"/>
    </row>
    <row r="578" spans="1:33" x14ac:dyDescent="0.15">
      <c r="B578" s="80" t="s">
        <v>1894</v>
      </c>
    </row>
    <row r="579" spans="1:33" x14ac:dyDescent="0.15">
      <c r="B579" s="80" t="s">
        <v>1893</v>
      </c>
    </row>
    <row r="580" spans="1:33" x14ac:dyDescent="0.15">
      <c r="B580" s="80" t="s">
        <v>1892</v>
      </c>
    </row>
    <row r="581" spans="1:33" x14ac:dyDescent="0.15">
      <c r="B581" s="80" t="s">
        <v>1891</v>
      </c>
    </row>
    <row r="582" spans="1:33" x14ac:dyDescent="0.15">
      <c r="B582" s="80" t="s">
        <v>1890</v>
      </c>
    </row>
    <row r="583" spans="1:33" x14ac:dyDescent="0.15">
      <c r="B583" s="80" t="s">
        <v>1889</v>
      </c>
      <c r="I583" s="258" t="s">
        <v>7660</v>
      </c>
    </row>
    <row r="584" spans="1:33" x14ac:dyDescent="0.15">
      <c r="B584" s="80" t="s">
        <v>1888</v>
      </c>
    </row>
    <row r="585" spans="1:33" x14ac:dyDescent="0.15">
      <c r="B585" s="80" t="s">
        <v>1887</v>
      </c>
    </row>
    <row r="586" spans="1:33" x14ac:dyDescent="0.15">
      <c r="B586" s="80" t="s">
        <v>1886</v>
      </c>
    </row>
    <row r="587" spans="1:33" x14ac:dyDescent="0.15">
      <c r="B587" s="80" t="s">
        <v>1885</v>
      </c>
    </row>
    <row r="588" spans="1:33" x14ac:dyDescent="0.15">
      <c r="B588" s="80" t="s">
        <v>1884</v>
      </c>
    </row>
    <row r="589" spans="1:33" s="12" customFormat="1" x14ac:dyDescent="0.15">
      <c r="A589" s="80"/>
      <c r="B589" s="12" t="s">
        <v>1883</v>
      </c>
      <c r="C589" s="29"/>
      <c r="D589" s="15"/>
      <c r="F589" s="15"/>
      <c r="G589" s="15"/>
      <c r="H589" s="13"/>
      <c r="K589" s="12" t="s">
        <v>2050</v>
      </c>
      <c r="L589" s="12" t="s">
        <v>2463</v>
      </c>
      <c r="P589" s="24"/>
      <c r="Q589" s="24"/>
      <c r="R589" s="24"/>
      <c r="S589" s="24"/>
      <c r="T589" s="24"/>
      <c r="U589" s="24"/>
      <c r="V589" s="24"/>
      <c r="W589" s="24"/>
      <c r="X589" s="24"/>
      <c r="Y589" s="24"/>
      <c r="Z589" s="24"/>
      <c r="AA589" s="24"/>
      <c r="AF589" s="72">
        <v>2.8210000000000002</v>
      </c>
      <c r="AG589" s="78">
        <v>0.10277777777777779</v>
      </c>
    </row>
    <row r="590" spans="1:33" x14ac:dyDescent="0.15">
      <c r="B590" s="80" t="s">
        <v>1882</v>
      </c>
    </row>
    <row r="591" spans="1:33" x14ac:dyDescent="0.15">
      <c r="B591" s="80" t="s">
        <v>1881</v>
      </c>
    </row>
    <row r="592" spans="1:33" x14ac:dyDescent="0.15">
      <c r="B592" s="80" t="s">
        <v>1880</v>
      </c>
      <c r="K592" s="99" t="s">
        <v>2050</v>
      </c>
      <c r="L592" s="99" t="s">
        <v>2084</v>
      </c>
    </row>
    <row r="593" spans="1:33" x14ac:dyDescent="0.15">
      <c r="A593" s="12"/>
      <c r="B593" s="80" t="s">
        <v>1879</v>
      </c>
    </row>
    <row r="594" spans="1:33" x14ac:dyDescent="0.15">
      <c r="B594" s="80" t="s">
        <v>1878</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1877</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1876</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1875</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1874</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1873</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1872</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1871</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1870</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1869</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1868</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1867</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1866</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1865</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1864</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1863</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1862</v>
      </c>
      <c r="AF610" s="80"/>
      <c r="AG610" s="80"/>
    </row>
    <row r="611" spans="2:33" x14ac:dyDescent="0.15">
      <c r="B611" s="80" t="s">
        <v>1861</v>
      </c>
      <c r="AF611" s="80"/>
      <c r="AG611" s="80"/>
    </row>
    <row r="612" spans="2:33" x14ac:dyDescent="0.15">
      <c r="B612" s="80" t="s">
        <v>1860</v>
      </c>
      <c r="AF612" s="80"/>
      <c r="AG612" s="80"/>
    </row>
    <row r="613" spans="2:33" x14ac:dyDescent="0.15">
      <c r="B613" s="80" t="s">
        <v>1859</v>
      </c>
      <c r="AF613" s="80"/>
      <c r="AG613" s="80"/>
    </row>
    <row r="614" spans="2:33" x14ac:dyDescent="0.15">
      <c r="B614" s="80" t="s">
        <v>1858</v>
      </c>
      <c r="AF614" s="80"/>
      <c r="AG614" s="80"/>
    </row>
    <row r="615" spans="2:33" x14ac:dyDescent="0.15">
      <c r="B615" s="80" t="s">
        <v>1857</v>
      </c>
      <c r="AF615" s="80"/>
      <c r="AG615" s="80"/>
    </row>
    <row r="616" spans="2:33" x14ac:dyDescent="0.15">
      <c r="B616" s="80" t="s">
        <v>1856</v>
      </c>
      <c r="AF616" s="80"/>
      <c r="AG616" s="80"/>
    </row>
    <row r="617" spans="2:33" x14ac:dyDescent="0.15">
      <c r="B617" s="80" t="s">
        <v>1855</v>
      </c>
      <c r="AF617" s="80"/>
      <c r="AG617" s="80"/>
    </row>
    <row r="618" spans="2:33" x14ac:dyDescent="0.15">
      <c r="B618" s="80" t="s">
        <v>1854</v>
      </c>
      <c r="AF618" s="80"/>
      <c r="AG618" s="80"/>
    </row>
    <row r="619" spans="2:33" x14ac:dyDescent="0.15">
      <c r="B619" s="80" t="s">
        <v>1853</v>
      </c>
      <c r="AF619" s="80"/>
      <c r="AG619" s="80"/>
    </row>
    <row r="620" spans="2:33" x14ac:dyDescent="0.15">
      <c r="B620" s="80" t="s">
        <v>1852</v>
      </c>
      <c r="AF620" s="80"/>
      <c r="AG620" s="80"/>
    </row>
    <row r="621" spans="2:33" x14ac:dyDescent="0.15">
      <c r="B621" s="80" t="s">
        <v>1851</v>
      </c>
      <c r="C621" s="81" t="s">
        <v>1693</v>
      </c>
      <c r="N621" s="80" t="s">
        <v>1708</v>
      </c>
      <c r="AF621" s="80"/>
      <c r="AG621" s="80"/>
    </row>
    <row r="622" spans="2:33" x14ac:dyDescent="0.15">
      <c r="B622" s="80" t="s">
        <v>1850</v>
      </c>
      <c r="C622" s="81" t="s">
        <v>1693</v>
      </c>
      <c r="AF622" s="80"/>
      <c r="AG622" s="80"/>
    </row>
    <row r="623" spans="2:33" x14ac:dyDescent="0.15">
      <c r="B623" s="80" t="s">
        <v>1849</v>
      </c>
      <c r="C623" s="81" t="s">
        <v>1693</v>
      </c>
      <c r="N623" s="80" t="s">
        <v>1807</v>
      </c>
      <c r="AE623" s="99" t="s">
        <v>6061</v>
      </c>
      <c r="AF623" s="80"/>
      <c r="AG623" s="80"/>
    </row>
    <row r="624" spans="2:33" x14ac:dyDescent="0.15">
      <c r="B624" s="80" t="s">
        <v>1848</v>
      </c>
      <c r="C624" s="81" t="s">
        <v>1693</v>
      </c>
      <c r="N624" s="80" t="s">
        <v>1807</v>
      </c>
      <c r="AF624" s="80"/>
      <c r="AG624" s="80"/>
    </row>
    <row r="625" spans="2:33" x14ac:dyDescent="0.15">
      <c r="B625" s="80" t="s">
        <v>1847</v>
      </c>
      <c r="C625" s="81" t="s">
        <v>1693</v>
      </c>
      <c r="N625" s="80" t="s">
        <v>1807</v>
      </c>
      <c r="AF625" s="80"/>
      <c r="AG625" s="80"/>
    </row>
    <row r="626" spans="2:33" x14ac:dyDescent="0.15">
      <c r="B626" s="80" t="s">
        <v>1846</v>
      </c>
      <c r="C626" s="81" t="s">
        <v>1693</v>
      </c>
      <c r="N626" s="80" t="s">
        <v>1807</v>
      </c>
      <c r="P626" s="80"/>
      <c r="Q626" s="80"/>
      <c r="R626" s="80"/>
      <c r="S626" s="80"/>
      <c r="T626" s="80"/>
      <c r="U626" s="80"/>
      <c r="V626" s="80"/>
      <c r="W626" s="80"/>
      <c r="X626" s="80"/>
      <c r="Y626" s="80"/>
      <c r="Z626" s="80"/>
      <c r="AA626" s="80"/>
      <c r="AF626" s="80"/>
      <c r="AG626" s="80"/>
    </row>
    <row r="627" spans="2:33" x14ac:dyDescent="0.15">
      <c r="B627" s="80" t="s">
        <v>1845</v>
      </c>
      <c r="C627" s="81" t="s">
        <v>1693</v>
      </c>
      <c r="N627" s="80" t="s">
        <v>1807</v>
      </c>
      <c r="P627" s="80"/>
      <c r="Q627" s="80"/>
      <c r="R627" s="80"/>
      <c r="S627" s="80"/>
      <c r="T627" s="80"/>
      <c r="U627" s="80"/>
      <c r="V627" s="80"/>
      <c r="W627" s="80"/>
      <c r="X627" s="80"/>
      <c r="Y627" s="80"/>
      <c r="Z627" s="80"/>
      <c r="AA627" s="80"/>
      <c r="AF627" s="80"/>
      <c r="AG627" s="80"/>
    </row>
    <row r="628" spans="2:33" x14ac:dyDescent="0.15">
      <c r="B628" s="80" t="s">
        <v>1844</v>
      </c>
      <c r="C628" s="81" t="s">
        <v>1693</v>
      </c>
      <c r="N628" s="80" t="s">
        <v>1807</v>
      </c>
      <c r="P628" s="80"/>
      <c r="Q628" s="80"/>
      <c r="R628" s="80"/>
      <c r="S628" s="80"/>
      <c r="T628" s="80"/>
      <c r="U628" s="80"/>
      <c r="V628" s="80"/>
      <c r="W628" s="80"/>
      <c r="X628" s="80"/>
      <c r="Y628" s="80"/>
      <c r="Z628" s="80"/>
      <c r="AA628" s="80"/>
      <c r="AF628" s="80"/>
      <c r="AG628" s="80"/>
    </row>
    <row r="629" spans="2:33" x14ac:dyDescent="0.15">
      <c r="B629" s="80" t="s">
        <v>1843</v>
      </c>
      <c r="C629" s="81" t="s">
        <v>1693</v>
      </c>
      <c r="N629" s="80" t="s">
        <v>1807</v>
      </c>
      <c r="P629" s="80"/>
      <c r="Q629" s="80"/>
      <c r="R629" s="80"/>
      <c r="S629" s="80"/>
      <c r="T629" s="80"/>
      <c r="U629" s="80"/>
      <c r="V629" s="80"/>
      <c r="W629" s="80"/>
      <c r="X629" s="80"/>
      <c r="Y629" s="80"/>
      <c r="Z629" s="80"/>
      <c r="AA629" s="80"/>
      <c r="AF629" s="80"/>
      <c r="AG629" s="80"/>
    </row>
    <row r="630" spans="2:33" x14ac:dyDescent="0.15">
      <c r="B630" s="80" t="s">
        <v>1842</v>
      </c>
      <c r="C630" s="81" t="s">
        <v>1693</v>
      </c>
      <c r="N630" s="80" t="s">
        <v>1807</v>
      </c>
      <c r="P630" s="80"/>
      <c r="Q630" s="80"/>
      <c r="R630" s="80"/>
      <c r="S630" s="80"/>
      <c r="T630" s="80"/>
      <c r="U630" s="80"/>
      <c r="V630" s="80"/>
      <c r="W630" s="80"/>
      <c r="X630" s="80"/>
      <c r="Y630" s="80"/>
      <c r="Z630" s="80"/>
      <c r="AA630" s="80"/>
      <c r="AF630" s="80"/>
      <c r="AG630" s="80"/>
    </row>
    <row r="631" spans="2:33" x14ac:dyDescent="0.15">
      <c r="B631" s="80" t="s">
        <v>1841</v>
      </c>
      <c r="C631" s="81" t="s">
        <v>1693</v>
      </c>
      <c r="N631" s="80" t="s">
        <v>1807</v>
      </c>
      <c r="P631" s="80"/>
      <c r="Q631" s="80"/>
      <c r="R631" s="80"/>
      <c r="S631" s="80"/>
      <c r="T631" s="80"/>
      <c r="U631" s="80"/>
      <c r="V631" s="80"/>
      <c r="W631" s="80"/>
      <c r="X631" s="80"/>
      <c r="Y631" s="80"/>
      <c r="Z631" s="80"/>
      <c r="AA631" s="80"/>
      <c r="AF631" s="80"/>
      <c r="AG631" s="80"/>
    </row>
    <row r="632" spans="2:33" x14ac:dyDescent="0.15">
      <c r="B632" s="80" t="s">
        <v>1840</v>
      </c>
      <c r="C632" s="81" t="s">
        <v>1693</v>
      </c>
      <c r="N632" s="80" t="s">
        <v>1807</v>
      </c>
      <c r="P632" s="80"/>
      <c r="Q632" s="80"/>
      <c r="R632" s="80"/>
      <c r="S632" s="80"/>
      <c r="T632" s="80"/>
      <c r="U632" s="80"/>
      <c r="V632" s="80"/>
      <c r="W632" s="80"/>
      <c r="X632" s="80"/>
      <c r="Y632" s="80"/>
      <c r="Z632" s="80"/>
      <c r="AA632" s="80"/>
      <c r="AF632" s="80"/>
      <c r="AG632" s="80"/>
    </row>
    <row r="633" spans="2:33" x14ac:dyDescent="0.15">
      <c r="B633" s="80" t="s">
        <v>1839</v>
      </c>
      <c r="C633" s="81" t="s">
        <v>1693</v>
      </c>
      <c r="N633" s="80" t="s">
        <v>1807</v>
      </c>
      <c r="P633" s="80"/>
      <c r="Q633" s="80"/>
      <c r="R633" s="80"/>
      <c r="S633" s="80"/>
      <c r="T633" s="80"/>
      <c r="U633" s="80"/>
      <c r="V633" s="80"/>
      <c r="W633" s="80"/>
      <c r="X633" s="80"/>
      <c r="Y633" s="80"/>
      <c r="Z633" s="80"/>
      <c r="AA633" s="80"/>
      <c r="AF633" s="80"/>
      <c r="AG633" s="80"/>
    </row>
    <row r="634" spans="2:33" x14ac:dyDescent="0.15">
      <c r="B634" s="80" t="s">
        <v>1838</v>
      </c>
      <c r="C634" s="81" t="s">
        <v>1693</v>
      </c>
      <c r="N634" s="80" t="s">
        <v>1807</v>
      </c>
      <c r="P634" s="80"/>
      <c r="Q634" s="80"/>
      <c r="R634" s="80"/>
      <c r="S634" s="80"/>
      <c r="T634" s="80"/>
      <c r="U634" s="80"/>
      <c r="V634" s="80"/>
      <c r="W634" s="80"/>
      <c r="X634" s="80"/>
      <c r="Y634" s="80"/>
      <c r="Z634" s="80"/>
      <c r="AA634" s="80"/>
      <c r="AF634" s="80"/>
      <c r="AG634" s="80"/>
    </row>
    <row r="635" spans="2:33" x14ac:dyDescent="0.15">
      <c r="B635" s="80" t="s">
        <v>1837</v>
      </c>
      <c r="C635" s="81" t="s">
        <v>1693</v>
      </c>
      <c r="N635" s="80" t="s">
        <v>1807</v>
      </c>
      <c r="P635" s="80"/>
      <c r="Q635" s="80"/>
      <c r="R635" s="80"/>
      <c r="S635" s="80"/>
      <c r="T635" s="80"/>
      <c r="U635" s="80"/>
      <c r="V635" s="80"/>
      <c r="W635" s="80"/>
      <c r="X635" s="80"/>
      <c r="Y635" s="80"/>
      <c r="Z635" s="80"/>
      <c r="AA635" s="80"/>
      <c r="AF635" s="80"/>
      <c r="AG635" s="80"/>
    </row>
    <row r="636" spans="2:33" x14ac:dyDescent="0.15">
      <c r="B636" s="80" t="s">
        <v>1836</v>
      </c>
      <c r="C636" s="81" t="s">
        <v>1693</v>
      </c>
      <c r="N636" s="80" t="s">
        <v>1807</v>
      </c>
      <c r="P636" s="80"/>
      <c r="Q636" s="80"/>
      <c r="R636" s="80"/>
      <c r="S636" s="80"/>
      <c r="T636" s="80"/>
      <c r="U636" s="80"/>
      <c r="V636" s="80"/>
      <c r="W636" s="80"/>
      <c r="X636" s="80"/>
      <c r="Y636" s="80"/>
      <c r="Z636" s="80"/>
      <c r="AA636" s="80"/>
      <c r="AF636" s="80"/>
      <c r="AG636" s="80"/>
    </row>
    <row r="637" spans="2:33" x14ac:dyDescent="0.15">
      <c r="B637" s="80" t="s">
        <v>1835</v>
      </c>
      <c r="C637" s="81" t="s">
        <v>1693</v>
      </c>
      <c r="N637" s="80" t="s">
        <v>1807</v>
      </c>
      <c r="P637" s="80"/>
      <c r="Q637" s="80"/>
      <c r="R637" s="80"/>
      <c r="S637" s="80"/>
      <c r="T637" s="80"/>
      <c r="U637" s="80"/>
      <c r="V637" s="80"/>
      <c r="W637" s="80"/>
      <c r="X637" s="80"/>
      <c r="Y637" s="80"/>
      <c r="Z637" s="80"/>
      <c r="AA637" s="80"/>
      <c r="AF637" s="80"/>
      <c r="AG637" s="80"/>
    </row>
    <row r="638" spans="2:33" x14ac:dyDescent="0.15">
      <c r="B638" s="80" t="s">
        <v>1834</v>
      </c>
      <c r="C638" s="81" t="s">
        <v>1693</v>
      </c>
      <c r="N638" s="80" t="s">
        <v>1807</v>
      </c>
      <c r="P638" s="80"/>
      <c r="Q638" s="80"/>
      <c r="R638" s="80"/>
      <c r="S638" s="80"/>
      <c r="T638" s="80"/>
      <c r="U638" s="80"/>
      <c r="V638" s="80"/>
      <c r="W638" s="80"/>
      <c r="X638" s="80"/>
      <c r="Y638" s="80"/>
      <c r="Z638" s="80"/>
      <c r="AA638" s="80"/>
      <c r="AF638" s="80"/>
      <c r="AG638" s="80"/>
    </row>
    <row r="639" spans="2:33" x14ac:dyDescent="0.15">
      <c r="B639" s="80" t="s">
        <v>1833</v>
      </c>
      <c r="C639" s="81" t="s">
        <v>1693</v>
      </c>
      <c r="N639" s="80" t="s">
        <v>1807</v>
      </c>
      <c r="P639" s="80"/>
      <c r="Q639" s="80"/>
      <c r="R639" s="80"/>
      <c r="S639" s="80"/>
      <c r="T639" s="80"/>
      <c r="U639" s="80"/>
      <c r="V639" s="80"/>
      <c r="W639" s="80"/>
      <c r="X639" s="80"/>
      <c r="Y639" s="80"/>
      <c r="Z639" s="80"/>
      <c r="AA639" s="80"/>
      <c r="AF639" s="80"/>
      <c r="AG639" s="80"/>
    </row>
    <row r="640" spans="2:33" x14ac:dyDescent="0.15">
      <c r="B640" s="80" t="s">
        <v>1832</v>
      </c>
      <c r="C640" s="81" t="s">
        <v>1693</v>
      </c>
      <c r="N640" s="80" t="s">
        <v>1807</v>
      </c>
      <c r="P640" s="80"/>
      <c r="Q640" s="80"/>
      <c r="R640" s="80"/>
      <c r="S640" s="80"/>
      <c r="T640" s="80"/>
      <c r="U640" s="80"/>
      <c r="V640" s="80"/>
      <c r="W640" s="80"/>
      <c r="X640" s="80"/>
      <c r="Y640" s="80"/>
      <c r="Z640" s="80"/>
      <c r="AA640" s="80"/>
      <c r="AF640" s="80"/>
      <c r="AG640" s="80"/>
    </row>
    <row r="641" spans="2:33" x14ac:dyDescent="0.15">
      <c r="B641" s="80" t="s">
        <v>1831</v>
      </c>
      <c r="C641" s="81" t="s">
        <v>1693</v>
      </c>
      <c r="N641" s="80" t="s">
        <v>1807</v>
      </c>
      <c r="P641" s="80"/>
      <c r="Q641" s="80"/>
      <c r="R641" s="80"/>
      <c r="S641" s="80"/>
      <c r="T641" s="80"/>
      <c r="U641" s="80"/>
      <c r="V641" s="80"/>
      <c r="W641" s="80"/>
      <c r="X641" s="80"/>
      <c r="Y641" s="80"/>
      <c r="Z641" s="80"/>
      <c r="AA641" s="80"/>
      <c r="AF641" s="80"/>
      <c r="AG641" s="80"/>
    </row>
    <row r="642" spans="2:33" x14ac:dyDescent="0.15">
      <c r="B642" s="80" t="s">
        <v>1830</v>
      </c>
      <c r="C642" s="81" t="s">
        <v>1693</v>
      </c>
      <c r="N642" s="80" t="s">
        <v>1807</v>
      </c>
      <c r="P642" s="80"/>
      <c r="Q642" s="80"/>
      <c r="R642" s="80"/>
      <c r="S642" s="80"/>
      <c r="T642" s="80"/>
      <c r="U642" s="80"/>
      <c r="V642" s="80"/>
      <c r="W642" s="80"/>
      <c r="X642" s="80"/>
      <c r="Y642" s="80"/>
      <c r="Z642" s="80"/>
      <c r="AA642" s="80"/>
      <c r="AF642" s="80"/>
      <c r="AG642" s="80"/>
    </row>
    <row r="643" spans="2:33" x14ac:dyDescent="0.15">
      <c r="B643" s="80" t="s">
        <v>1829</v>
      </c>
      <c r="C643" s="81" t="s">
        <v>1693</v>
      </c>
      <c r="N643" s="80" t="s">
        <v>1807</v>
      </c>
      <c r="P643" s="80"/>
      <c r="Q643" s="80"/>
      <c r="R643" s="80"/>
      <c r="S643" s="80"/>
      <c r="T643" s="80"/>
      <c r="U643" s="80"/>
      <c r="V643" s="80"/>
      <c r="W643" s="80"/>
      <c r="X643" s="80"/>
      <c r="Y643" s="80"/>
      <c r="Z643" s="80"/>
      <c r="AA643" s="80"/>
      <c r="AF643" s="80"/>
      <c r="AG643" s="80"/>
    </row>
    <row r="644" spans="2:33" x14ac:dyDescent="0.15">
      <c r="B644" s="80" t="s">
        <v>1828</v>
      </c>
      <c r="C644" s="81" t="s">
        <v>1693</v>
      </c>
      <c r="N644" s="80" t="s">
        <v>1807</v>
      </c>
      <c r="P644" s="80"/>
      <c r="Q644" s="80"/>
      <c r="R644" s="80"/>
      <c r="S644" s="80"/>
      <c r="T644" s="80"/>
      <c r="U644" s="80"/>
      <c r="V644" s="80"/>
      <c r="W644" s="80"/>
      <c r="X644" s="80"/>
      <c r="Y644" s="80"/>
      <c r="Z644" s="80"/>
      <c r="AA644" s="80"/>
      <c r="AF644" s="80"/>
      <c r="AG644" s="80"/>
    </row>
    <row r="645" spans="2:33" x14ac:dyDescent="0.15">
      <c r="B645" s="80" t="s">
        <v>1827</v>
      </c>
      <c r="C645" s="81" t="s">
        <v>1693</v>
      </c>
      <c r="N645" s="80" t="s">
        <v>1807</v>
      </c>
      <c r="P645" s="80"/>
      <c r="Q645" s="80"/>
      <c r="R645" s="80"/>
      <c r="S645" s="80"/>
      <c r="T645" s="80"/>
      <c r="U645" s="80"/>
      <c r="V645" s="80"/>
      <c r="W645" s="80"/>
      <c r="X645" s="80"/>
      <c r="Y645" s="80"/>
      <c r="Z645" s="80"/>
      <c r="AA645" s="80"/>
      <c r="AF645" s="80"/>
      <c r="AG645" s="80"/>
    </row>
    <row r="646" spans="2:33" x14ac:dyDescent="0.15">
      <c r="B646" s="80" t="s">
        <v>1826</v>
      </c>
      <c r="C646" s="81" t="s">
        <v>1693</v>
      </c>
      <c r="N646" s="80" t="s">
        <v>1807</v>
      </c>
      <c r="P646" s="80"/>
      <c r="Q646" s="80"/>
      <c r="R646" s="80"/>
      <c r="S646" s="80"/>
      <c r="T646" s="80"/>
      <c r="U646" s="80"/>
      <c r="V646" s="80"/>
      <c r="W646" s="80"/>
      <c r="X646" s="80"/>
      <c r="Y646" s="80"/>
      <c r="Z646" s="80"/>
      <c r="AA646" s="80"/>
      <c r="AF646" s="80"/>
      <c r="AG646" s="80"/>
    </row>
    <row r="647" spans="2:33" x14ac:dyDescent="0.15">
      <c r="B647" s="80" t="s">
        <v>1825</v>
      </c>
      <c r="C647" s="81" t="s">
        <v>1693</v>
      </c>
      <c r="N647" s="80" t="s">
        <v>1807</v>
      </c>
      <c r="P647" s="80"/>
      <c r="Q647" s="80"/>
      <c r="R647" s="80"/>
      <c r="S647" s="80"/>
      <c r="T647" s="80"/>
      <c r="U647" s="80"/>
      <c r="V647" s="80"/>
      <c r="W647" s="80"/>
      <c r="X647" s="80"/>
      <c r="Y647" s="80"/>
      <c r="Z647" s="80"/>
      <c r="AA647" s="80"/>
      <c r="AF647" s="80"/>
      <c r="AG647" s="80"/>
    </row>
    <row r="648" spans="2:33" x14ac:dyDescent="0.15">
      <c r="B648" s="80" t="s">
        <v>1824</v>
      </c>
      <c r="C648" s="81" t="s">
        <v>1693</v>
      </c>
      <c r="N648" s="80" t="s">
        <v>1807</v>
      </c>
      <c r="P648" s="80"/>
      <c r="Q648" s="80"/>
      <c r="R648" s="80"/>
      <c r="S648" s="80"/>
      <c r="T648" s="80"/>
      <c r="U648" s="80"/>
      <c r="V648" s="80"/>
      <c r="W648" s="80"/>
      <c r="X648" s="80"/>
      <c r="Y648" s="80"/>
      <c r="Z648" s="80"/>
      <c r="AA648" s="80"/>
      <c r="AF648" s="80"/>
      <c r="AG648" s="80"/>
    </row>
    <row r="649" spans="2:33" x14ac:dyDescent="0.15">
      <c r="B649" s="80" t="s">
        <v>1823</v>
      </c>
      <c r="C649" s="81" t="s">
        <v>1693</v>
      </c>
      <c r="N649" s="80" t="s">
        <v>1807</v>
      </c>
      <c r="P649" s="80"/>
      <c r="Q649" s="80"/>
      <c r="R649" s="80"/>
      <c r="S649" s="80"/>
      <c r="T649" s="80"/>
      <c r="U649" s="80"/>
      <c r="V649" s="80"/>
      <c r="W649" s="80"/>
      <c r="X649" s="80"/>
      <c r="Y649" s="80"/>
      <c r="Z649" s="80"/>
      <c r="AA649" s="80"/>
      <c r="AF649" s="80"/>
      <c r="AG649" s="80"/>
    </row>
    <row r="650" spans="2:33" x14ac:dyDescent="0.15">
      <c r="B650" s="80" t="s">
        <v>1822</v>
      </c>
      <c r="C650" s="81" t="s">
        <v>1693</v>
      </c>
      <c r="N650" s="80" t="s">
        <v>1807</v>
      </c>
      <c r="P650" s="80"/>
      <c r="Q650" s="80"/>
      <c r="R650" s="80"/>
      <c r="S650" s="80"/>
      <c r="T650" s="80"/>
      <c r="U650" s="80"/>
      <c r="V650" s="80"/>
      <c r="W650" s="80"/>
      <c r="X650" s="80"/>
      <c r="Y650" s="80"/>
      <c r="Z650" s="80"/>
      <c r="AA650" s="80"/>
      <c r="AF650" s="80"/>
      <c r="AG650" s="80"/>
    </row>
    <row r="651" spans="2:33" x14ac:dyDescent="0.15">
      <c r="B651" s="80" t="s">
        <v>1821</v>
      </c>
      <c r="C651" s="81" t="s">
        <v>1693</v>
      </c>
      <c r="N651" s="80" t="s">
        <v>1807</v>
      </c>
      <c r="P651" s="80"/>
      <c r="Q651" s="80"/>
      <c r="R651" s="80"/>
      <c r="S651" s="80"/>
      <c r="T651" s="80"/>
      <c r="U651" s="80"/>
      <c r="V651" s="80"/>
      <c r="W651" s="80"/>
      <c r="X651" s="80"/>
      <c r="Y651" s="80"/>
      <c r="Z651" s="80"/>
      <c r="AA651" s="80"/>
      <c r="AF651" s="80"/>
      <c r="AG651" s="80"/>
    </row>
    <row r="652" spans="2:33" x14ac:dyDescent="0.15">
      <c r="B652" s="80" t="s">
        <v>1820</v>
      </c>
      <c r="C652" s="81" t="s">
        <v>1693</v>
      </c>
      <c r="N652" s="80" t="s">
        <v>1807</v>
      </c>
      <c r="P652" s="80"/>
      <c r="Q652" s="80"/>
      <c r="R652" s="80"/>
      <c r="S652" s="80"/>
      <c r="T652" s="80"/>
      <c r="U652" s="80"/>
      <c r="V652" s="80"/>
      <c r="W652" s="80"/>
      <c r="X652" s="80"/>
      <c r="Y652" s="80"/>
      <c r="Z652" s="80"/>
      <c r="AA652" s="80"/>
      <c r="AF652" s="80"/>
      <c r="AG652" s="80"/>
    </row>
    <row r="653" spans="2:33" x14ac:dyDescent="0.15">
      <c r="B653" s="80" t="s">
        <v>1819</v>
      </c>
      <c r="C653" s="81" t="s">
        <v>1693</v>
      </c>
      <c r="N653" s="80" t="s">
        <v>1807</v>
      </c>
      <c r="P653" s="80"/>
      <c r="Q653" s="80"/>
      <c r="R653" s="80"/>
      <c r="S653" s="80"/>
      <c r="T653" s="80"/>
      <c r="U653" s="80"/>
      <c r="V653" s="80"/>
      <c r="W653" s="80"/>
      <c r="X653" s="80"/>
      <c r="Y653" s="80"/>
      <c r="Z653" s="80"/>
      <c r="AA653" s="80"/>
      <c r="AF653" s="80"/>
      <c r="AG653" s="80"/>
    </row>
    <row r="654" spans="2:33" x14ac:dyDescent="0.15">
      <c r="B654" s="80" t="s">
        <v>1818</v>
      </c>
      <c r="C654" s="81" t="s">
        <v>1693</v>
      </c>
      <c r="N654" s="80" t="s">
        <v>1807</v>
      </c>
      <c r="P654" s="80"/>
      <c r="Q654" s="80"/>
      <c r="R654" s="80"/>
      <c r="S654" s="80"/>
      <c r="T654" s="80"/>
      <c r="U654" s="80"/>
      <c r="V654" s="80"/>
      <c r="W654" s="80"/>
      <c r="X654" s="80"/>
      <c r="Y654" s="80"/>
      <c r="Z654" s="80"/>
      <c r="AA654" s="80"/>
      <c r="AF654" s="80"/>
      <c r="AG654" s="80"/>
    </row>
    <row r="655" spans="2:33" x14ac:dyDescent="0.15">
      <c r="B655" s="80" t="s">
        <v>1817</v>
      </c>
      <c r="C655" s="81" t="s">
        <v>1693</v>
      </c>
      <c r="N655" s="80" t="s">
        <v>1807</v>
      </c>
      <c r="P655" s="80"/>
      <c r="Q655" s="80"/>
      <c r="R655" s="80"/>
      <c r="S655" s="80"/>
      <c r="T655" s="80"/>
      <c r="U655" s="80"/>
      <c r="V655" s="80"/>
      <c r="W655" s="80"/>
      <c r="X655" s="80"/>
      <c r="Y655" s="80"/>
      <c r="Z655" s="80"/>
      <c r="AA655" s="80"/>
      <c r="AF655" s="80"/>
      <c r="AG655" s="80"/>
    </row>
    <row r="656" spans="2:33" x14ac:dyDescent="0.15">
      <c r="B656" s="80" t="s">
        <v>1816</v>
      </c>
      <c r="C656" s="81" t="s">
        <v>1693</v>
      </c>
      <c r="N656" s="80" t="s">
        <v>1807</v>
      </c>
      <c r="P656" s="80"/>
      <c r="Q656" s="80"/>
      <c r="R656" s="80"/>
      <c r="S656" s="80"/>
      <c r="T656" s="80"/>
      <c r="U656" s="80"/>
      <c r="V656" s="80"/>
      <c r="W656" s="80"/>
      <c r="X656" s="80"/>
      <c r="Y656" s="80"/>
      <c r="Z656" s="80"/>
      <c r="AA656" s="80"/>
      <c r="AF656" s="80"/>
      <c r="AG656" s="80"/>
    </row>
    <row r="657" spans="2:33" x14ac:dyDescent="0.15">
      <c r="B657" s="80" t="s">
        <v>1815</v>
      </c>
      <c r="C657" s="81" t="s">
        <v>1693</v>
      </c>
      <c r="N657" s="80" t="s">
        <v>1807</v>
      </c>
      <c r="P657" s="80"/>
      <c r="Q657" s="80"/>
      <c r="R657" s="80"/>
      <c r="S657" s="80"/>
      <c r="T657" s="80"/>
      <c r="U657" s="80"/>
      <c r="V657" s="80"/>
      <c r="W657" s="80"/>
      <c r="X657" s="80"/>
      <c r="Y657" s="80"/>
      <c r="Z657" s="80"/>
      <c r="AA657" s="80"/>
      <c r="AF657" s="80"/>
      <c r="AG657" s="80"/>
    </row>
    <row r="658" spans="2:33" x14ac:dyDescent="0.15">
      <c r="B658" s="80" t="s">
        <v>1814</v>
      </c>
      <c r="C658" s="81" t="s">
        <v>1693</v>
      </c>
      <c r="N658" s="80" t="s">
        <v>1807</v>
      </c>
      <c r="P658" s="80"/>
      <c r="Q658" s="80"/>
      <c r="R658" s="80"/>
      <c r="S658" s="80"/>
      <c r="T658" s="80"/>
      <c r="U658" s="80"/>
      <c r="V658" s="80"/>
      <c r="W658" s="80"/>
      <c r="X658" s="80"/>
      <c r="Y658" s="80"/>
      <c r="Z658" s="80"/>
      <c r="AA658" s="80"/>
      <c r="AF658" s="80"/>
      <c r="AG658" s="80"/>
    </row>
    <row r="659" spans="2:33" x14ac:dyDescent="0.15">
      <c r="B659" s="80" t="s">
        <v>1813</v>
      </c>
      <c r="C659" s="81" t="s">
        <v>1693</v>
      </c>
      <c r="N659" s="80" t="s">
        <v>1807</v>
      </c>
      <c r="P659" s="80"/>
      <c r="Q659" s="80"/>
      <c r="R659" s="80"/>
      <c r="S659" s="80"/>
      <c r="T659" s="80"/>
      <c r="U659" s="80"/>
      <c r="V659" s="80"/>
      <c r="W659" s="80"/>
      <c r="X659" s="80"/>
      <c r="Y659" s="80"/>
      <c r="Z659" s="80"/>
      <c r="AA659" s="80"/>
      <c r="AF659" s="80"/>
      <c r="AG659" s="80"/>
    </row>
    <row r="660" spans="2:33" x14ac:dyDescent="0.15">
      <c r="B660" s="80" t="s">
        <v>1812</v>
      </c>
      <c r="C660" s="81" t="s">
        <v>1693</v>
      </c>
      <c r="N660" s="80" t="s">
        <v>1807</v>
      </c>
      <c r="P660" s="80"/>
      <c r="Q660" s="80"/>
      <c r="R660" s="80"/>
      <c r="S660" s="80"/>
      <c r="T660" s="80"/>
      <c r="U660" s="80"/>
      <c r="V660" s="80"/>
      <c r="W660" s="80"/>
      <c r="X660" s="80"/>
      <c r="Y660" s="80"/>
      <c r="Z660" s="80"/>
      <c r="AA660" s="80"/>
      <c r="AF660" s="80"/>
      <c r="AG660" s="80"/>
    </row>
    <row r="661" spans="2:33" x14ac:dyDescent="0.15">
      <c r="B661" s="80" t="s">
        <v>1811</v>
      </c>
      <c r="C661" s="81" t="s">
        <v>1693</v>
      </c>
      <c r="N661" s="80" t="s">
        <v>1807</v>
      </c>
      <c r="P661" s="80"/>
      <c r="Q661" s="80"/>
      <c r="R661" s="80"/>
      <c r="S661" s="80"/>
      <c r="T661" s="80"/>
      <c r="U661" s="80"/>
      <c r="V661" s="80"/>
      <c r="W661" s="80"/>
      <c r="X661" s="80"/>
      <c r="Y661" s="80"/>
      <c r="Z661" s="80"/>
      <c r="AA661" s="80"/>
      <c r="AF661" s="80"/>
      <c r="AG661" s="80"/>
    </row>
    <row r="662" spans="2:33" x14ac:dyDescent="0.15">
      <c r="B662" s="80" t="s">
        <v>1810</v>
      </c>
      <c r="C662" s="81" t="s">
        <v>1693</v>
      </c>
      <c r="N662" s="80" t="s">
        <v>1807</v>
      </c>
      <c r="P662" s="80"/>
      <c r="Q662" s="80"/>
      <c r="R662" s="80"/>
      <c r="S662" s="80"/>
      <c r="T662" s="80"/>
      <c r="U662" s="80"/>
      <c r="V662" s="80"/>
      <c r="W662" s="80"/>
      <c r="X662" s="80"/>
      <c r="Y662" s="80"/>
      <c r="Z662" s="80"/>
      <c r="AA662" s="80"/>
      <c r="AF662" s="80"/>
      <c r="AG662" s="80"/>
    </row>
    <row r="663" spans="2:33" x14ac:dyDescent="0.15">
      <c r="B663" s="80" t="s">
        <v>1809</v>
      </c>
      <c r="C663" s="81" t="s">
        <v>1693</v>
      </c>
      <c r="N663" s="80" t="s">
        <v>1807</v>
      </c>
      <c r="P663" s="80"/>
      <c r="Q663" s="80"/>
      <c r="R663" s="80"/>
      <c r="S663" s="80"/>
      <c r="T663" s="80"/>
      <c r="U663" s="80"/>
      <c r="V663" s="80"/>
      <c r="W663" s="80"/>
      <c r="X663" s="80"/>
      <c r="Y663" s="80"/>
      <c r="Z663" s="80"/>
      <c r="AA663" s="80"/>
      <c r="AF663" s="80"/>
      <c r="AG663" s="80"/>
    </row>
    <row r="664" spans="2:33" x14ac:dyDescent="0.15">
      <c r="B664" s="80" t="s">
        <v>1808</v>
      </c>
      <c r="C664" s="81" t="s">
        <v>1693</v>
      </c>
      <c r="N664" s="80" t="s">
        <v>1807</v>
      </c>
      <c r="P664" s="80"/>
      <c r="Q664" s="80"/>
      <c r="R664" s="80"/>
      <c r="S664" s="80"/>
      <c r="T664" s="80"/>
      <c r="U664" s="80"/>
      <c r="V664" s="80"/>
      <c r="W664" s="80"/>
      <c r="X664" s="80"/>
      <c r="Y664" s="80"/>
      <c r="Z664" s="80"/>
      <c r="AA664" s="80"/>
      <c r="AF664" s="80"/>
      <c r="AG664" s="80"/>
    </row>
    <row r="665" spans="2:33" x14ac:dyDescent="0.15">
      <c r="B665" s="80" t="s">
        <v>1806</v>
      </c>
      <c r="C665" s="81" t="s">
        <v>1693</v>
      </c>
      <c r="N665" s="80" t="s">
        <v>1708</v>
      </c>
      <c r="P665" s="80"/>
      <c r="Q665" s="80"/>
      <c r="R665" s="80"/>
      <c r="S665" s="80"/>
      <c r="T665" s="80"/>
      <c r="U665" s="80"/>
      <c r="V665" s="80"/>
      <c r="W665" s="80"/>
      <c r="X665" s="80"/>
      <c r="Y665" s="80"/>
      <c r="Z665" s="80"/>
      <c r="AA665" s="80"/>
      <c r="AF665" s="80"/>
      <c r="AG665" s="80"/>
    </row>
    <row r="666" spans="2:33" x14ac:dyDescent="0.15">
      <c r="B666" s="80" t="s">
        <v>1805</v>
      </c>
      <c r="C666" s="81" t="s">
        <v>1693</v>
      </c>
      <c r="N666" s="80" t="s">
        <v>1708</v>
      </c>
      <c r="P666" s="80"/>
      <c r="Q666" s="80"/>
      <c r="R666" s="80"/>
      <c r="S666" s="80"/>
      <c r="T666" s="80"/>
      <c r="U666" s="80"/>
      <c r="V666" s="80"/>
      <c r="W666" s="80"/>
      <c r="X666" s="80"/>
      <c r="Y666" s="80"/>
      <c r="Z666" s="80"/>
      <c r="AA666" s="80"/>
      <c r="AF666" s="80"/>
      <c r="AG666" s="80"/>
    </row>
    <row r="667" spans="2:33" x14ac:dyDescent="0.15">
      <c r="B667" s="80" t="s">
        <v>1804</v>
      </c>
      <c r="C667" s="81" t="s">
        <v>1693</v>
      </c>
      <c r="N667" s="80" t="s">
        <v>1708</v>
      </c>
      <c r="P667" s="80"/>
      <c r="Q667" s="80"/>
      <c r="R667" s="80"/>
      <c r="S667" s="80"/>
      <c r="T667" s="80"/>
      <c r="U667" s="80"/>
      <c r="V667" s="80"/>
      <c r="W667" s="80"/>
      <c r="X667" s="80"/>
      <c r="Y667" s="80"/>
      <c r="Z667" s="80"/>
      <c r="AA667" s="80"/>
      <c r="AF667" s="80"/>
      <c r="AG667" s="80"/>
    </row>
    <row r="668" spans="2:33" x14ac:dyDescent="0.15">
      <c r="B668" s="80" t="s">
        <v>1803</v>
      </c>
      <c r="C668" s="81" t="s">
        <v>1693</v>
      </c>
      <c r="N668" s="80" t="s">
        <v>1708</v>
      </c>
      <c r="P668" s="80"/>
      <c r="Q668" s="80"/>
      <c r="R668" s="80"/>
      <c r="S668" s="80"/>
      <c r="T668" s="80"/>
      <c r="U668" s="80"/>
      <c r="V668" s="80"/>
      <c r="W668" s="80"/>
      <c r="X668" s="80"/>
      <c r="Y668" s="80"/>
      <c r="Z668" s="80"/>
      <c r="AA668" s="80"/>
      <c r="AF668" s="80"/>
      <c r="AG668" s="80"/>
    </row>
    <row r="669" spans="2:33" x14ac:dyDescent="0.15">
      <c r="B669" s="80" t="s">
        <v>1802</v>
      </c>
      <c r="C669" s="81" t="s">
        <v>1693</v>
      </c>
      <c r="N669" s="80" t="s">
        <v>1708</v>
      </c>
      <c r="P669" s="80"/>
      <c r="Q669" s="80"/>
      <c r="R669" s="80"/>
      <c r="S669" s="80"/>
      <c r="T669" s="80"/>
      <c r="U669" s="80"/>
      <c r="V669" s="80"/>
      <c r="W669" s="80"/>
      <c r="X669" s="80"/>
      <c r="Y669" s="80"/>
      <c r="Z669" s="80"/>
      <c r="AA669" s="80"/>
      <c r="AF669" s="80"/>
      <c r="AG669" s="80"/>
    </row>
    <row r="670" spans="2:33" x14ac:dyDescent="0.15">
      <c r="B670" s="80" t="s">
        <v>1801</v>
      </c>
      <c r="C670" s="81" t="s">
        <v>1693</v>
      </c>
      <c r="N670" s="80" t="s">
        <v>1708</v>
      </c>
      <c r="P670" s="80"/>
      <c r="Q670" s="80"/>
      <c r="R670" s="80"/>
      <c r="S670" s="80"/>
      <c r="T670" s="80"/>
      <c r="U670" s="80"/>
      <c r="V670" s="80"/>
      <c r="W670" s="80"/>
      <c r="X670" s="80"/>
      <c r="Y670" s="80"/>
      <c r="Z670" s="80"/>
      <c r="AA670" s="80"/>
      <c r="AF670" s="80"/>
      <c r="AG670" s="80"/>
    </row>
    <row r="671" spans="2:33" x14ac:dyDescent="0.15">
      <c r="B671" s="80" t="s">
        <v>1800</v>
      </c>
      <c r="C671" s="81" t="s">
        <v>1693</v>
      </c>
      <c r="N671" s="80" t="s">
        <v>1708</v>
      </c>
      <c r="P671" s="80"/>
      <c r="Q671" s="80"/>
      <c r="R671" s="80"/>
      <c r="S671" s="80"/>
      <c r="T671" s="80"/>
      <c r="U671" s="80"/>
      <c r="V671" s="80"/>
      <c r="W671" s="80"/>
      <c r="X671" s="80"/>
      <c r="Y671" s="80"/>
      <c r="Z671" s="80"/>
      <c r="AA671" s="80"/>
      <c r="AF671" s="80"/>
      <c r="AG671" s="80"/>
    </row>
    <row r="672" spans="2:33" x14ac:dyDescent="0.15">
      <c r="B672" s="80" t="s">
        <v>1799</v>
      </c>
      <c r="C672" s="81" t="s">
        <v>1693</v>
      </c>
      <c r="N672" s="80" t="s">
        <v>1708</v>
      </c>
      <c r="P672" s="80"/>
      <c r="Q672" s="80"/>
      <c r="R672" s="80"/>
      <c r="S672" s="80"/>
      <c r="T672" s="80"/>
      <c r="U672" s="80"/>
      <c r="V672" s="80"/>
      <c r="W672" s="80"/>
      <c r="X672" s="80"/>
      <c r="Y672" s="80"/>
      <c r="Z672" s="80"/>
      <c r="AA672" s="80"/>
      <c r="AF672" s="80"/>
      <c r="AG672" s="80"/>
    </row>
    <row r="673" spans="2:33" x14ac:dyDescent="0.15">
      <c r="B673" s="80" t="s">
        <v>1798</v>
      </c>
      <c r="C673" s="81" t="s">
        <v>1693</v>
      </c>
      <c r="N673" s="80" t="s">
        <v>1708</v>
      </c>
      <c r="P673" s="80"/>
      <c r="Q673" s="80"/>
      <c r="R673" s="80"/>
      <c r="S673" s="80"/>
      <c r="T673" s="80"/>
      <c r="U673" s="80"/>
      <c r="V673" s="80"/>
      <c r="W673" s="80"/>
      <c r="X673" s="80"/>
      <c r="Y673" s="80"/>
      <c r="Z673" s="80"/>
      <c r="AA673" s="80"/>
      <c r="AF673" s="80"/>
      <c r="AG673" s="80"/>
    </row>
    <row r="674" spans="2:33" x14ac:dyDescent="0.15">
      <c r="B674" s="80" t="s">
        <v>1797</v>
      </c>
      <c r="C674" s="81" t="s">
        <v>1693</v>
      </c>
      <c r="N674" s="80" t="s">
        <v>1708</v>
      </c>
      <c r="P674" s="80"/>
      <c r="Q674" s="80"/>
      <c r="R674" s="80"/>
      <c r="S674" s="80"/>
      <c r="T674" s="80"/>
      <c r="U674" s="80"/>
      <c r="V674" s="80"/>
      <c r="W674" s="80"/>
      <c r="X674" s="80"/>
      <c r="Y674" s="80"/>
      <c r="Z674" s="80"/>
      <c r="AA674" s="80"/>
      <c r="AF674" s="80"/>
      <c r="AG674" s="80"/>
    </row>
    <row r="675" spans="2:33" x14ac:dyDescent="0.15">
      <c r="B675" s="80" t="s">
        <v>1796</v>
      </c>
      <c r="C675" s="81" t="s">
        <v>1693</v>
      </c>
      <c r="N675" s="80" t="s">
        <v>1708</v>
      </c>
      <c r="P675" s="80"/>
      <c r="Q675" s="80"/>
      <c r="R675" s="80"/>
      <c r="S675" s="80"/>
      <c r="T675" s="80"/>
      <c r="U675" s="80"/>
      <c r="V675" s="80"/>
      <c r="W675" s="80"/>
      <c r="X675" s="80"/>
      <c r="Y675" s="80"/>
      <c r="Z675" s="80"/>
      <c r="AA675" s="80"/>
      <c r="AF675" s="80"/>
      <c r="AG675" s="80"/>
    </row>
    <row r="676" spans="2:33" x14ac:dyDescent="0.15">
      <c r="B676" s="80" t="s">
        <v>1795</v>
      </c>
      <c r="C676" s="81" t="s">
        <v>1693</v>
      </c>
      <c r="N676" s="80" t="s">
        <v>1708</v>
      </c>
      <c r="P676" s="80"/>
      <c r="Q676" s="80"/>
      <c r="R676" s="80"/>
      <c r="S676" s="80"/>
      <c r="T676" s="80"/>
      <c r="U676" s="80"/>
      <c r="V676" s="80"/>
      <c r="W676" s="80"/>
      <c r="X676" s="80"/>
      <c r="Y676" s="80"/>
      <c r="Z676" s="80"/>
      <c r="AA676" s="80"/>
      <c r="AF676" s="80"/>
      <c r="AG676" s="80"/>
    </row>
    <row r="677" spans="2:33" x14ac:dyDescent="0.15">
      <c r="B677" s="80" t="s">
        <v>1794</v>
      </c>
      <c r="C677" s="81" t="s">
        <v>1693</v>
      </c>
      <c r="N677" s="80" t="s">
        <v>1708</v>
      </c>
      <c r="P677" s="80"/>
      <c r="Q677" s="80"/>
      <c r="R677" s="80"/>
      <c r="S677" s="80"/>
      <c r="T677" s="80"/>
      <c r="U677" s="80"/>
      <c r="V677" s="80"/>
      <c r="W677" s="80"/>
      <c r="X677" s="80"/>
      <c r="Y677" s="80"/>
      <c r="Z677" s="80"/>
      <c r="AA677" s="80"/>
      <c r="AF677" s="80"/>
      <c r="AG677" s="80"/>
    </row>
    <row r="678" spans="2:33" x14ac:dyDescent="0.15">
      <c r="B678" s="80" t="s">
        <v>1793</v>
      </c>
      <c r="C678" s="81" t="s">
        <v>1693</v>
      </c>
      <c r="N678" s="80" t="s">
        <v>1708</v>
      </c>
      <c r="P678" s="80"/>
      <c r="Q678" s="80"/>
      <c r="R678" s="80"/>
      <c r="S678" s="80"/>
      <c r="T678" s="80"/>
      <c r="U678" s="80"/>
      <c r="V678" s="80"/>
      <c r="W678" s="80"/>
      <c r="X678" s="80"/>
      <c r="Y678" s="80"/>
      <c r="Z678" s="80"/>
      <c r="AA678" s="80"/>
      <c r="AF678" s="80"/>
      <c r="AG678" s="80"/>
    </row>
    <row r="679" spans="2:33" x14ac:dyDescent="0.15">
      <c r="B679" s="80" t="s">
        <v>1792</v>
      </c>
      <c r="C679" s="81" t="s">
        <v>1693</v>
      </c>
      <c r="N679" s="80" t="s">
        <v>1708</v>
      </c>
      <c r="P679" s="80"/>
      <c r="Q679" s="80"/>
      <c r="R679" s="80"/>
      <c r="S679" s="80"/>
      <c r="T679" s="80"/>
      <c r="U679" s="80"/>
      <c r="V679" s="80"/>
      <c r="W679" s="80"/>
      <c r="X679" s="80"/>
      <c r="Y679" s="80"/>
      <c r="Z679" s="80"/>
      <c r="AA679" s="80"/>
      <c r="AF679" s="80"/>
      <c r="AG679" s="80"/>
    </row>
    <row r="680" spans="2:33" x14ac:dyDescent="0.15">
      <c r="B680" s="80" t="s">
        <v>1791</v>
      </c>
      <c r="C680" s="81" t="s">
        <v>1693</v>
      </c>
      <c r="N680" s="80" t="s">
        <v>1708</v>
      </c>
      <c r="P680" s="80"/>
      <c r="Q680" s="80"/>
      <c r="R680" s="80"/>
      <c r="S680" s="80"/>
      <c r="T680" s="80"/>
      <c r="U680" s="80"/>
      <c r="V680" s="80"/>
      <c r="W680" s="80"/>
      <c r="X680" s="80"/>
      <c r="Y680" s="80"/>
      <c r="Z680" s="80"/>
      <c r="AA680" s="80"/>
      <c r="AF680" s="80"/>
      <c r="AG680" s="80"/>
    </row>
    <row r="681" spans="2:33" x14ac:dyDescent="0.15">
      <c r="B681" s="80" t="s">
        <v>1790</v>
      </c>
      <c r="C681" s="81" t="s">
        <v>1693</v>
      </c>
      <c r="N681" s="80" t="s">
        <v>1708</v>
      </c>
      <c r="P681" s="80"/>
      <c r="Q681" s="80"/>
      <c r="R681" s="80"/>
      <c r="S681" s="80"/>
      <c r="T681" s="80"/>
      <c r="U681" s="80"/>
      <c r="V681" s="80"/>
      <c r="W681" s="80"/>
      <c r="X681" s="80"/>
      <c r="Y681" s="80"/>
      <c r="Z681" s="80"/>
      <c r="AA681" s="80"/>
      <c r="AF681" s="80"/>
      <c r="AG681" s="80"/>
    </row>
    <row r="682" spans="2:33" x14ac:dyDescent="0.15">
      <c r="B682" s="80" t="s">
        <v>1789</v>
      </c>
      <c r="C682" s="81" t="s">
        <v>1693</v>
      </c>
      <c r="N682" s="80" t="s">
        <v>1708</v>
      </c>
      <c r="P682" s="80"/>
      <c r="Q682" s="80"/>
      <c r="R682" s="80"/>
      <c r="S682" s="80"/>
      <c r="T682" s="80"/>
      <c r="U682" s="80"/>
      <c r="V682" s="80"/>
      <c r="W682" s="80"/>
      <c r="X682" s="80"/>
      <c r="Y682" s="80"/>
      <c r="Z682" s="80"/>
      <c r="AA682" s="80"/>
      <c r="AF682" s="80"/>
      <c r="AG682" s="80"/>
    </row>
    <row r="683" spans="2:33" x14ac:dyDescent="0.15">
      <c r="B683" s="80" t="s">
        <v>1788</v>
      </c>
      <c r="C683" s="81" t="s">
        <v>1693</v>
      </c>
      <c r="N683" s="80" t="s">
        <v>1708</v>
      </c>
      <c r="P683" s="80"/>
      <c r="Q683" s="80"/>
      <c r="R683" s="80"/>
      <c r="S683" s="80"/>
      <c r="T683" s="80"/>
      <c r="U683" s="80"/>
      <c r="V683" s="80"/>
      <c r="W683" s="80"/>
      <c r="X683" s="80"/>
      <c r="Y683" s="80"/>
      <c r="Z683" s="80"/>
      <c r="AA683" s="80"/>
      <c r="AF683" s="80"/>
      <c r="AG683" s="80"/>
    </row>
    <row r="684" spans="2:33" x14ac:dyDescent="0.15">
      <c r="B684" s="80" t="s">
        <v>1787</v>
      </c>
      <c r="C684" s="81" t="s">
        <v>1693</v>
      </c>
      <c r="N684" s="80" t="s">
        <v>1708</v>
      </c>
      <c r="P684" s="80"/>
      <c r="Q684" s="80"/>
      <c r="R684" s="80"/>
      <c r="S684" s="80"/>
      <c r="T684" s="80"/>
      <c r="U684" s="80"/>
      <c r="V684" s="80"/>
      <c r="W684" s="80"/>
      <c r="X684" s="80"/>
      <c r="Y684" s="80"/>
      <c r="Z684" s="80"/>
      <c r="AA684" s="80"/>
      <c r="AF684" s="80"/>
      <c r="AG684" s="80"/>
    </row>
    <row r="685" spans="2:33" x14ac:dyDescent="0.15">
      <c r="B685" s="80" t="s">
        <v>1786</v>
      </c>
      <c r="C685" s="81" t="s">
        <v>1693</v>
      </c>
      <c r="N685" s="80" t="s">
        <v>1708</v>
      </c>
      <c r="P685" s="80"/>
      <c r="Q685" s="80"/>
      <c r="R685" s="80"/>
      <c r="S685" s="80"/>
      <c r="T685" s="80"/>
      <c r="U685" s="80"/>
      <c r="V685" s="80"/>
      <c r="W685" s="80"/>
      <c r="X685" s="80"/>
      <c r="Y685" s="80"/>
      <c r="Z685" s="80"/>
      <c r="AA685" s="80"/>
      <c r="AF685" s="80"/>
      <c r="AG685" s="80"/>
    </row>
    <row r="686" spans="2:33" x14ac:dyDescent="0.15">
      <c r="B686" s="80" t="s">
        <v>1785</v>
      </c>
      <c r="C686" s="81" t="s">
        <v>1693</v>
      </c>
      <c r="N686" s="80" t="s">
        <v>1708</v>
      </c>
      <c r="P686" s="80"/>
      <c r="Q686" s="80"/>
      <c r="R686" s="80"/>
      <c r="S686" s="80"/>
      <c r="T686" s="80"/>
      <c r="U686" s="80"/>
      <c r="V686" s="80"/>
      <c r="W686" s="80"/>
      <c r="X686" s="80"/>
      <c r="Y686" s="80"/>
      <c r="Z686" s="80"/>
      <c r="AA686" s="80"/>
      <c r="AF686" s="80"/>
      <c r="AG686" s="80"/>
    </row>
    <row r="687" spans="2:33" x14ac:dyDescent="0.15">
      <c r="B687" s="80" t="s">
        <v>1784</v>
      </c>
      <c r="C687" s="81" t="s">
        <v>1693</v>
      </c>
      <c r="N687" s="80" t="s">
        <v>1708</v>
      </c>
      <c r="P687" s="80"/>
      <c r="Q687" s="80"/>
      <c r="R687" s="80"/>
      <c r="S687" s="80"/>
      <c r="T687" s="80"/>
      <c r="U687" s="80"/>
      <c r="V687" s="80"/>
      <c r="W687" s="80"/>
      <c r="X687" s="80"/>
      <c r="Y687" s="80"/>
      <c r="Z687" s="80"/>
      <c r="AA687" s="80"/>
      <c r="AF687" s="80"/>
      <c r="AG687" s="80"/>
    </row>
    <row r="688" spans="2:33" x14ac:dyDescent="0.15">
      <c r="B688" s="80" t="s">
        <v>1783</v>
      </c>
      <c r="C688" s="81" t="s">
        <v>1693</v>
      </c>
      <c r="N688" s="80" t="s">
        <v>1708</v>
      </c>
      <c r="P688" s="80"/>
      <c r="Q688" s="80"/>
      <c r="R688" s="80"/>
      <c r="S688" s="80"/>
      <c r="T688" s="80"/>
      <c r="U688" s="80"/>
      <c r="V688" s="80"/>
      <c r="W688" s="80"/>
      <c r="X688" s="80"/>
      <c r="Y688" s="80"/>
      <c r="Z688" s="80"/>
      <c r="AA688" s="80"/>
      <c r="AF688" s="80"/>
      <c r="AG688" s="80"/>
    </row>
    <row r="689" spans="2:33" x14ac:dyDescent="0.15">
      <c r="B689" s="80" t="s">
        <v>1782</v>
      </c>
      <c r="C689" s="81" t="s">
        <v>1693</v>
      </c>
      <c r="N689" s="80" t="s">
        <v>1708</v>
      </c>
      <c r="P689" s="80"/>
      <c r="Q689" s="80"/>
      <c r="R689" s="80"/>
      <c r="S689" s="80"/>
      <c r="T689" s="80"/>
      <c r="U689" s="80"/>
      <c r="V689" s="80"/>
      <c r="W689" s="80"/>
      <c r="X689" s="80"/>
      <c r="Y689" s="80"/>
      <c r="Z689" s="80"/>
      <c r="AA689" s="80"/>
      <c r="AF689" s="80"/>
      <c r="AG689" s="80"/>
    </row>
    <row r="690" spans="2:33" x14ac:dyDescent="0.15">
      <c r="B690" s="80" t="s">
        <v>1781</v>
      </c>
      <c r="C690" s="81" t="s">
        <v>1693</v>
      </c>
      <c r="N690" s="80" t="s">
        <v>1708</v>
      </c>
      <c r="P690" s="80"/>
      <c r="Q690" s="80"/>
      <c r="R690" s="80"/>
      <c r="S690" s="80"/>
      <c r="T690" s="80"/>
      <c r="U690" s="80"/>
      <c r="V690" s="80"/>
      <c r="W690" s="80"/>
      <c r="X690" s="80"/>
      <c r="Y690" s="80"/>
      <c r="Z690" s="80"/>
      <c r="AA690" s="80"/>
      <c r="AF690" s="80"/>
      <c r="AG690" s="80"/>
    </row>
    <row r="691" spans="2:33" x14ac:dyDescent="0.15">
      <c r="B691" s="80" t="s">
        <v>1780</v>
      </c>
      <c r="C691" s="81" t="s">
        <v>1693</v>
      </c>
      <c r="N691" s="80" t="s">
        <v>1708</v>
      </c>
      <c r="P691" s="80"/>
      <c r="Q691" s="80"/>
      <c r="R691" s="80"/>
      <c r="S691" s="80"/>
      <c r="T691" s="80"/>
      <c r="U691" s="80"/>
      <c r="V691" s="80"/>
      <c r="W691" s="80"/>
      <c r="X691" s="80"/>
      <c r="Y691" s="80"/>
      <c r="Z691" s="80"/>
      <c r="AA691" s="80"/>
      <c r="AF691" s="80"/>
      <c r="AG691" s="80"/>
    </row>
    <row r="692" spans="2:33" x14ac:dyDescent="0.15">
      <c r="B692" s="80" t="s">
        <v>1779</v>
      </c>
      <c r="C692" s="81" t="s">
        <v>1693</v>
      </c>
      <c r="N692" s="80" t="s">
        <v>1708</v>
      </c>
      <c r="P692" s="80"/>
      <c r="Q692" s="80"/>
      <c r="R692" s="80"/>
      <c r="S692" s="80"/>
      <c r="T692" s="80"/>
      <c r="U692" s="80"/>
      <c r="V692" s="80"/>
      <c r="W692" s="80"/>
      <c r="X692" s="80"/>
      <c r="Y692" s="80"/>
      <c r="Z692" s="80"/>
      <c r="AA692" s="80"/>
      <c r="AF692" s="80"/>
      <c r="AG692" s="80"/>
    </row>
    <row r="693" spans="2:33" x14ac:dyDescent="0.15">
      <c r="B693" s="80" t="s">
        <v>1778</v>
      </c>
      <c r="C693" s="81" t="s">
        <v>1693</v>
      </c>
      <c r="N693" s="80" t="s">
        <v>1708</v>
      </c>
      <c r="P693" s="80"/>
      <c r="Q693" s="80"/>
      <c r="R693" s="80"/>
      <c r="S693" s="80"/>
      <c r="T693" s="80"/>
      <c r="U693" s="80"/>
      <c r="V693" s="80"/>
      <c r="W693" s="80"/>
      <c r="X693" s="80"/>
      <c r="Y693" s="80"/>
      <c r="Z693" s="80"/>
      <c r="AA693" s="80"/>
      <c r="AF693" s="80"/>
      <c r="AG693" s="80"/>
    </row>
    <row r="694" spans="2:33" x14ac:dyDescent="0.15">
      <c r="B694" s="80" t="s">
        <v>1777</v>
      </c>
      <c r="C694" s="81" t="s">
        <v>1693</v>
      </c>
      <c r="N694" s="80" t="s">
        <v>1708</v>
      </c>
      <c r="P694" s="80"/>
      <c r="Q694" s="80"/>
      <c r="R694" s="80"/>
      <c r="S694" s="80"/>
      <c r="T694" s="80"/>
      <c r="U694" s="80"/>
      <c r="V694" s="80"/>
      <c r="W694" s="80"/>
      <c r="X694" s="80"/>
      <c r="Y694" s="80"/>
      <c r="Z694" s="80"/>
      <c r="AA694" s="80"/>
      <c r="AF694" s="80"/>
      <c r="AG694" s="80"/>
    </row>
    <row r="695" spans="2:33" x14ac:dyDescent="0.15">
      <c r="B695" s="80" t="s">
        <v>1776</v>
      </c>
      <c r="C695" s="81" t="s">
        <v>1693</v>
      </c>
      <c r="N695" s="80" t="s">
        <v>1708</v>
      </c>
      <c r="P695" s="80"/>
      <c r="Q695" s="80"/>
      <c r="R695" s="80"/>
      <c r="S695" s="80"/>
      <c r="T695" s="80"/>
      <c r="U695" s="80"/>
      <c r="V695" s="80"/>
      <c r="W695" s="80"/>
      <c r="X695" s="80"/>
      <c r="Y695" s="80"/>
      <c r="Z695" s="80"/>
      <c r="AA695" s="80"/>
      <c r="AF695" s="80"/>
      <c r="AG695" s="80"/>
    </row>
    <row r="696" spans="2:33" x14ac:dyDescent="0.15">
      <c r="B696" s="80" t="s">
        <v>1775</v>
      </c>
      <c r="C696" s="81" t="s">
        <v>1693</v>
      </c>
      <c r="N696" s="80" t="s">
        <v>1708</v>
      </c>
      <c r="P696" s="80"/>
      <c r="Q696" s="80"/>
      <c r="R696" s="80"/>
      <c r="S696" s="80"/>
      <c r="T696" s="80"/>
      <c r="U696" s="80"/>
      <c r="V696" s="80"/>
      <c r="W696" s="80"/>
      <c r="X696" s="80"/>
      <c r="Y696" s="80"/>
      <c r="Z696" s="80"/>
      <c r="AA696" s="80"/>
      <c r="AF696" s="80"/>
      <c r="AG696" s="80"/>
    </row>
    <row r="697" spans="2:33" x14ac:dyDescent="0.15">
      <c r="B697" s="80" t="s">
        <v>1774</v>
      </c>
      <c r="C697" s="81" t="s">
        <v>1693</v>
      </c>
      <c r="N697" s="80" t="s">
        <v>1708</v>
      </c>
      <c r="P697" s="80"/>
      <c r="Q697" s="80"/>
      <c r="R697" s="80"/>
      <c r="S697" s="80"/>
      <c r="T697" s="80"/>
      <c r="U697" s="80"/>
      <c r="V697" s="80"/>
      <c r="W697" s="80"/>
      <c r="X697" s="80"/>
      <c r="Y697" s="80"/>
      <c r="Z697" s="80"/>
      <c r="AA697" s="80"/>
      <c r="AF697" s="80"/>
      <c r="AG697" s="80"/>
    </row>
    <row r="698" spans="2:33" x14ac:dyDescent="0.15">
      <c r="B698" s="80" t="s">
        <v>1773</v>
      </c>
      <c r="C698" s="81" t="s">
        <v>1693</v>
      </c>
      <c r="N698" s="80" t="s">
        <v>1708</v>
      </c>
      <c r="P698" s="80"/>
      <c r="Q698" s="80"/>
      <c r="R698" s="80"/>
      <c r="S698" s="80"/>
      <c r="T698" s="80"/>
      <c r="U698" s="80"/>
      <c r="V698" s="80"/>
      <c r="W698" s="80"/>
      <c r="X698" s="80"/>
      <c r="Y698" s="80"/>
      <c r="Z698" s="80"/>
      <c r="AA698" s="80"/>
      <c r="AF698" s="80"/>
      <c r="AG698" s="80"/>
    </row>
    <row r="699" spans="2:33" x14ac:dyDescent="0.15">
      <c r="B699" s="80" t="s">
        <v>1772</v>
      </c>
      <c r="C699" s="81" t="s">
        <v>1693</v>
      </c>
      <c r="N699" s="80" t="s">
        <v>1708</v>
      </c>
      <c r="P699" s="80"/>
      <c r="Q699" s="80"/>
      <c r="R699" s="80"/>
      <c r="S699" s="80"/>
      <c r="T699" s="80"/>
      <c r="U699" s="80"/>
      <c r="V699" s="80"/>
      <c r="W699" s="80"/>
      <c r="X699" s="80"/>
      <c r="Y699" s="80"/>
      <c r="Z699" s="80"/>
      <c r="AA699" s="80"/>
      <c r="AF699" s="80"/>
      <c r="AG699" s="80"/>
    </row>
    <row r="700" spans="2:33" x14ac:dyDescent="0.15">
      <c r="B700" s="80" t="s">
        <v>1771</v>
      </c>
      <c r="C700" s="81" t="s">
        <v>1693</v>
      </c>
      <c r="N700" s="80" t="s">
        <v>1708</v>
      </c>
      <c r="P700" s="80"/>
      <c r="Q700" s="80"/>
      <c r="R700" s="80"/>
      <c r="S700" s="80"/>
      <c r="T700" s="80"/>
      <c r="U700" s="80"/>
      <c r="V700" s="80"/>
      <c r="W700" s="80"/>
      <c r="X700" s="80"/>
      <c r="Y700" s="80"/>
      <c r="Z700" s="80"/>
      <c r="AA700" s="80"/>
      <c r="AF700" s="80"/>
      <c r="AG700" s="80"/>
    </row>
    <row r="701" spans="2:33" x14ac:dyDescent="0.15">
      <c r="B701" s="80" t="s">
        <v>1770</v>
      </c>
      <c r="C701" s="81" t="s">
        <v>1693</v>
      </c>
      <c r="N701" s="80" t="s">
        <v>1708</v>
      </c>
      <c r="P701" s="80"/>
      <c r="Q701" s="80"/>
      <c r="R701" s="80"/>
      <c r="S701" s="80"/>
      <c r="T701" s="80"/>
      <c r="U701" s="80"/>
      <c r="V701" s="80"/>
      <c r="W701" s="80"/>
      <c r="X701" s="80"/>
      <c r="Y701" s="80"/>
      <c r="Z701" s="80"/>
      <c r="AA701" s="80"/>
      <c r="AF701" s="80"/>
      <c r="AG701" s="80"/>
    </row>
    <row r="702" spans="2:33" x14ac:dyDescent="0.15">
      <c r="B702" s="80" t="s">
        <v>1769</v>
      </c>
      <c r="C702" s="81" t="s">
        <v>1693</v>
      </c>
      <c r="N702" s="80" t="s">
        <v>1708</v>
      </c>
      <c r="P702" s="80"/>
      <c r="Q702" s="80"/>
      <c r="R702" s="80"/>
      <c r="S702" s="80"/>
      <c r="T702" s="80"/>
      <c r="U702" s="80"/>
      <c r="V702" s="80"/>
      <c r="W702" s="80"/>
      <c r="X702" s="80"/>
      <c r="Y702" s="80"/>
      <c r="Z702" s="80"/>
      <c r="AA702" s="80"/>
      <c r="AF702" s="80"/>
      <c r="AG702" s="80"/>
    </row>
    <row r="703" spans="2:33" x14ac:dyDescent="0.15">
      <c r="B703" s="80" t="s">
        <v>1768</v>
      </c>
      <c r="C703" s="81" t="s">
        <v>1693</v>
      </c>
      <c r="N703" s="80" t="s">
        <v>1708</v>
      </c>
      <c r="P703" s="80"/>
      <c r="Q703" s="80"/>
      <c r="R703" s="80"/>
      <c r="S703" s="80"/>
      <c r="T703" s="80"/>
      <c r="U703" s="80"/>
      <c r="V703" s="80"/>
      <c r="W703" s="80"/>
      <c r="X703" s="80"/>
      <c r="Y703" s="80"/>
      <c r="Z703" s="80"/>
      <c r="AA703" s="80"/>
      <c r="AF703" s="80"/>
      <c r="AG703" s="80"/>
    </row>
    <row r="704" spans="2:33" x14ac:dyDescent="0.15">
      <c r="B704" s="80" t="s">
        <v>1767</v>
      </c>
      <c r="C704" s="81" t="s">
        <v>1693</v>
      </c>
      <c r="N704" s="80" t="s">
        <v>1708</v>
      </c>
      <c r="P704" s="80"/>
      <c r="Q704" s="80"/>
      <c r="R704" s="80"/>
      <c r="S704" s="80"/>
      <c r="T704" s="80"/>
      <c r="U704" s="80"/>
      <c r="V704" s="80"/>
      <c r="W704" s="80"/>
      <c r="X704" s="80"/>
      <c r="Y704" s="80"/>
      <c r="Z704" s="80"/>
      <c r="AA704" s="80"/>
      <c r="AF704" s="80"/>
      <c r="AG704" s="80"/>
    </row>
    <row r="705" spans="2:33" x14ac:dyDescent="0.15">
      <c r="B705" s="80" t="s">
        <v>1766</v>
      </c>
      <c r="C705" s="81" t="s">
        <v>1693</v>
      </c>
      <c r="N705" s="80" t="s">
        <v>1708</v>
      </c>
      <c r="P705" s="80"/>
      <c r="Q705" s="80"/>
      <c r="R705" s="80"/>
      <c r="S705" s="80"/>
      <c r="T705" s="80"/>
      <c r="U705" s="80"/>
      <c r="V705" s="80"/>
      <c r="W705" s="80"/>
      <c r="X705" s="80"/>
      <c r="Y705" s="80"/>
      <c r="Z705" s="80"/>
      <c r="AA705" s="80"/>
      <c r="AF705" s="80"/>
      <c r="AG705" s="80"/>
    </row>
    <row r="706" spans="2:33" x14ac:dyDescent="0.15">
      <c r="B706" s="96" t="s">
        <v>1765</v>
      </c>
      <c r="C706" s="81" t="s">
        <v>1693</v>
      </c>
      <c r="N706" s="80" t="s">
        <v>1708</v>
      </c>
      <c r="P706" s="80"/>
      <c r="Q706" s="80"/>
      <c r="R706" s="80"/>
      <c r="S706" s="80"/>
      <c r="T706" s="80"/>
      <c r="U706" s="80"/>
      <c r="V706" s="80"/>
      <c r="W706" s="80"/>
      <c r="X706" s="80"/>
      <c r="Y706" s="80"/>
      <c r="Z706" s="80"/>
      <c r="AA706" s="80"/>
      <c r="AF706" s="80"/>
      <c r="AG706" s="80"/>
    </row>
    <row r="707" spans="2:33" x14ac:dyDescent="0.15">
      <c r="B707" s="80" t="s">
        <v>1764</v>
      </c>
      <c r="C707" s="81" t="s">
        <v>1693</v>
      </c>
      <c r="N707" s="80" t="s">
        <v>1708</v>
      </c>
      <c r="P707" s="80"/>
      <c r="Q707" s="80"/>
      <c r="R707" s="80"/>
      <c r="S707" s="80"/>
      <c r="T707" s="80"/>
      <c r="U707" s="80"/>
      <c r="V707" s="80"/>
      <c r="W707" s="80"/>
      <c r="X707" s="80"/>
      <c r="Y707" s="80"/>
      <c r="Z707" s="80"/>
      <c r="AA707" s="80"/>
      <c r="AF707" s="80"/>
      <c r="AG707" s="80"/>
    </row>
    <row r="708" spans="2:33" x14ac:dyDescent="0.15">
      <c r="B708" s="80" t="s">
        <v>1763</v>
      </c>
      <c r="C708" s="81" t="s">
        <v>1693</v>
      </c>
      <c r="N708" s="80" t="s">
        <v>1708</v>
      </c>
      <c r="P708" s="80"/>
      <c r="Q708" s="80"/>
      <c r="R708" s="80"/>
      <c r="S708" s="80"/>
      <c r="T708" s="80"/>
      <c r="U708" s="80"/>
      <c r="V708" s="80"/>
      <c r="W708" s="80"/>
      <c r="X708" s="80"/>
      <c r="Y708" s="80"/>
      <c r="Z708" s="80"/>
      <c r="AA708" s="80"/>
      <c r="AF708" s="80"/>
      <c r="AG708" s="80"/>
    </row>
    <row r="709" spans="2:33" x14ac:dyDescent="0.15">
      <c r="B709" s="80" t="s">
        <v>1762</v>
      </c>
      <c r="C709" s="81" t="s">
        <v>1693</v>
      </c>
      <c r="N709" s="80" t="s">
        <v>1708</v>
      </c>
      <c r="P709" s="80"/>
      <c r="Q709" s="80"/>
      <c r="R709" s="80"/>
      <c r="S709" s="80"/>
      <c r="T709" s="80"/>
      <c r="U709" s="80"/>
      <c r="V709" s="80"/>
      <c r="W709" s="80"/>
      <c r="X709" s="80"/>
      <c r="Y709" s="80"/>
      <c r="Z709" s="80"/>
      <c r="AA709" s="80"/>
      <c r="AF709" s="80"/>
      <c r="AG709" s="80"/>
    </row>
    <row r="710" spans="2:33" x14ac:dyDescent="0.15">
      <c r="B710" s="80" t="s">
        <v>1761</v>
      </c>
      <c r="C710" s="81" t="s">
        <v>1693</v>
      </c>
      <c r="N710" s="80" t="s">
        <v>1708</v>
      </c>
      <c r="P710" s="80"/>
      <c r="Q710" s="80"/>
      <c r="R710" s="80"/>
      <c r="S710" s="80"/>
      <c r="T710" s="80"/>
      <c r="U710" s="80"/>
      <c r="V710" s="80"/>
      <c r="W710" s="80"/>
      <c r="X710" s="80"/>
      <c r="Y710" s="80"/>
      <c r="Z710" s="80"/>
      <c r="AA710" s="80"/>
      <c r="AF710" s="80"/>
      <c r="AG710" s="80"/>
    </row>
    <row r="711" spans="2:33" x14ac:dyDescent="0.15">
      <c r="B711" s="80" t="s">
        <v>1760</v>
      </c>
      <c r="C711" s="81" t="s">
        <v>1693</v>
      </c>
      <c r="N711" s="80" t="s">
        <v>1708</v>
      </c>
      <c r="P711" s="80"/>
      <c r="Q711" s="80"/>
      <c r="R711" s="80"/>
      <c r="S711" s="80"/>
      <c r="T711" s="80"/>
      <c r="U711" s="80"/>
      <c r="V711" s="80"/>
      <c r="W711" s="80"/>
      <c r="X711" s="80"/>
      <c r="Y711" s="80"/>
      <c r="Z711" s="80"/>
      <c r="AA711" s="80"/>
      <c r="AF711" s="80"/>
      <c r="AG711" s="80"/>
    </row>
    <row r="712" spans="2:33" x14ac:dyDescent="0.15">
      <c r="B712" s="80" t="s">
        <v>1759</v>
      </c>
      <c r="C712" s="81" t="s">
        <v>1693</v>
      </c>
      <c r="N712" s="80" t="s">
        <v>1708</v>
      </c>
      <c r="P712" s="80"/>
      <c r="Q712" s="80"/>
      <c r="R712" s="80"/>
      <c r="S712" s="80"/>
      <c r="T712" s="80"/>
      <c r="U712" s="80"/>
      <c r="V712" s="80"/>
      <c r="W712" s="80"/>
      <c r="X712" s="80"/>
      <c r="Y712" s="80"/>
      <c r="Z712" s="80"/>
      <c r="AA712" s="80"/>
      <c r="AF712" s="80"/>
      <c r="AG712" s="80"/>
    </row>
    <row r="713" spans="2:33" x14ac:dyDescent="0.15">
      <c r="B713" s="80" t="s">
        <v>1758</v>
      </c>
      <c r="C713" s="81" t="s">
        <v>1693</v>
      </c>
      <c r="N713" s="80" t="s">
        <v>1708</v>
      </c>
      <c r="P713" s="80"/>
      <c r="Q713" s="80"/>
      <c r="R713" s="80"/>
      <c r="S713" s="80"/>
      <c r="T713" s="80"/>
      <c r="U713" s="80"/>
      <c r="V713" s="80"/>
      <c r="W713" s="80"/>
      <c r="X713" s="80"/>
      <c r="Y713" s="80"/>
      <c r="Z713" s="80"/>
      <c r="AA713" s="80"/>
      <c r="AF713" s="80"/>
      <c r="AG713" s="80"/>
    </row>
    <row r="714" spans="2:33" x14ac:dyDescent="0.15">
      <c r="B714" s="80" t="s">
        <v>1757</v>
      </c>
      <c r="C714" s="81" t="s">
        <v>1693</v>
      </c>
      <c r="N714" s="80" t="s">
        <v>1708</v>
      </c>
      <c r="P714" s="80"/>
      <c r="Q714" s="80"/>
      <c r="R714" s="80"/>
      <c r="S714" s="80"/>
      <c r="T714" s="80"/>
      <c r="U714" s="80"/>
      <c r="V714" s="80"/>
      <c r="W714" s="80"/>
      <c r="X714" s="80"/>
      <c r="Y714" s="80"/>
      <c r="Z714" s="80"/>
      <c r="AA714" s="80"/>
      <c r="AF714" s="80"/>
      <c r="AG714" s="80"/>
    </row>
    <row r="715" spans="2:33" x14ac:dyDescent="0.15">
      <c r="B715" s="80" t="s">
        <v>1756</v>
      </c>
      <c r="C715" s="81" t="s">
        <v>1693</v>
      </c>
      <c r="N715" s="80" t="s">
        <v>1708</v>
      </c>
      <c r="P715" s="80"/>
      <c r="Q715" s="80"/>
      <c r="R715" s="80"/>
      <c r="S715" s="80"/>
      <c r="T715" s="80"/>
      <c r="U715" s="80"/>
      <c r="V715" s="80"/>
      <c r="W715" s="80"/>
      <c r="X715" s="80"/>
      <c r="Y715" s="80"/>
      <c r="Z715" s="80"/>
      <c r="AA715" s="80"/>
      <c r="AF715" s="80"/>
      <c r="AG715" s="80"/>
    </row>
    <row r="716" spans="2:33" x14ac:dyDescent="0.15">
      <c r="B716" s="80" t="s">
        <v>1755</v>
      </c>
      <c r="C716" s="81" t="s">
        <v>1693</v>
      </c>
      <c r="N716" s="80" t="s">
        <v>1708</v>
      </c>
      <c r="P716" s="80"/>
      <c r="Q716" s="80"/>
      <c r="R716" s="80"/>
      <c r="S716" s="80"/>
      <c r="T716" s="80"/>
      <c r="U716" s="80"/>
      <c r="V716" s="80"/>
      <c r="W716" s="80"/>
      <c r="X716" s="80"/>
      <c r="Y716" s="80"/>
      <c r="Z716" s="80"/>
      <c r="AA716" s="80"/>
      <c r="AF716" s="80"/>
      <c r="AG716" s="80"/>
    </row>
    <row r="717" spans="2:33" x14ac:dyDescent="0.15">
      <c r="B717" s="80" t="s">
        <v>1754</v>
      </c>
      <c r="C717" s="81" t="s">
        <v>1693</v>
      </c>
      <c r="N717" s="80" t="s">
        <v>1708</v>
      </c>
      <c r="P717" s="80"/>
      <c r="Q717" s="80"/>
      <c r="R717" s="80"/>
      <c r="S717" s="80"/>
      <c r="T717" s="80"/>
      <c r="U717" s="80"/>
      <c r="V717" s="80"/>
      <c r="W717" s="80"/>
      <c r="X717" s="80"/>
      <c r="Y717" s="80"/>
      <c r="Z717" s="80"/>
      <c r="AA717" s="80"/>
      <c r="AF717" s="80"/>
      <c r="AG717" s="80"/>
    </row>
    <row r="718" spans="2:33" x14ac:dyDescent="0.15">
      <c r="B718" s="80" t="s">
        <v>1753</v>
      </c>
      <c r="C718" s="81" t="s">
        <v>1693</v>
      </c>
      <c r="N718" s="80" t="s">
        <v>1708</v>
      </c>
      <c r="P718" s="80"/>
      <c r="Q718" s="80"/>
      <c r="R718" s="80"/>
      <c r="S718" s="80"/>
      <c r="T718" s="80"/>
      <c r="U718" s="80"/>
      <c r="V718" s="80"/>
      <c r="W718" s="80"/>
      <c r="X718" s="80"/>
      <c r="Y718" s="80"/>
      <c r="Z718" s="80"/>
      <c r="AA718" s="80"/>
      <c r="AF718" s="80"/>
      <c r="AG718" s="80"/>
    </row>
    <row r="719" spans="2:33" x14ac:dyDescent="0.15">
      <c r="B719" s="80" t="s">
        <v>1752</v>
      </c>
      <c r="C719" s="81" t="s">
        <v>1693</v>
      </c>
      <c r="N719" s="80" t="s">
        <v>1708</v>
      </c>
      <c r="P719" s="80"/>
      <c r="Q719" s="80"/>
      <c r="R719" s="80"/>
      <c r="S719" s="80"/>
      <c r="T719" s="80"/>
      <c r="U719" s="80"/>
      <c r="V719" s="80"/>
      <c r="W719" s="80"/>
      <c r="X719" s="80"/>
      <c r="Y719" s="80"/>
      <c r="Z719" s="80"/>
      <c r="AA719" s="80"/>
      <c r="AF719" s="80"/>
      <c r="AG719" s="80"/>
    </row>
    <row r="720" spans="2:33" x14ac:dyDescent="0.15">
      <c r="B720" s="80" t="s">
        <v>1751</v>
      </c>
      <c r="C720" s="81" t="s">
        <v>1693</v>
      </c>
      <c r="N720" s="80" t="s">
        <v>1708</v>
      </c>
      <c r="P720" s="80"/>
      <c r="Q720" s="80"/>
      <c r="R720" s="80"/>
      <c r="S720" s="80"/>
      <c r="T720" s="80"/>
      <c r="U720" s="80"/>
      <c r="V720" s="80"/>
      <c r="W720" s="80"/>
      <c r="X720" s="80"/>
      <c r="Y720" s="80"/>
      <c r="Z720" s="80"/>
      <c r="AA720" s="80"/>
      <c r="AF720" s="80"/>
      <c r="AG720" s="80"/>
    </row>
    <row r="721" spans="2:33" x14ac:dyDescent="0.15">
      <c r="B721" s="80" t="s">
        <v>1750</v>
      </c>
      <c r="C721" s="81" t="s">
        <v>1693</v>
      </c>
      <c r="N721" s="80" t="s">
        <v>1708</v>
      </c>
      <c r="P721" s="80"/>
      <c r="Q721" s="80"/>
      <c r="R721" s="80"/>
      <c r="S721" s="80"/>
      <c r="T721" s="80"/>
      <c r="U721" s="80"/>
      <c r="V721" s="80"/>
      <c r="W721" s="80"/>
      <c r="X721" s="80"/>
      <c r="Y721" s="80"/>
      <c r="Z721" s="80"/>
      <c r="AA721" s="80"/>
      <c r="AF721" s="80"/>
      <c r="AG721" s="80"/>
    </row>
    <row r="722" spans="2:33" x14ac:dyDescent="0.15">
      <c r="B722" s="80" t="s">
        <v>1749</v>
      </c>
      <c r="C722" s="81" t="s">
        <v>1693</v>
      </c>
      <c r="N722" s="80" t="s">
        <v>1708</v>
      </c>
      <c r="P722" s="80"/>
      <c r="Q722" s="80"/>
      <c r="R722" s="80"/>
      <c r="S722" s="80"/>
      <c r="T722" s="80"/>
      <c r="U722" s="80"/>
      <c r="V722" s="80"/>
      <c r="W722" s="80"/>
      <c r="X722" s="80"/>
      <c r="Y722" s="80"/>
      <c r="Z722" s="80"/>
      <c r="AA722" s="80"/>
      <c r="AF722" s="80"/>
      <c r="AG722" s="80"/>
    </row>
    <row r="723" spans="2:33" x14ac:dyDescent="0.15">
      <c r="B723" s="80" t="s">
        <v>1748</v>
      </c>
      <c r="C723" s="81" t="s">
        <v>1693</v>
      </c>
      <c r="N723" s="80" t="s">
        <v>1708</v>
      </c>
      <c r="P723" s="80"/>
      <c r="Q723" s="80"/>
      <c r="R723" s="80"/>
      <c r="S723" s="80"/>
      <c r="T723" s="80"/>
      <c r="U723" s="80"/>
      <c r="V723" s="80"/>
      <c r="W723" s="80"/>
      <c r="X723" s="80"/>
      <c r="Y723" s="80"/>
      <c r="Z723" s="80"/>
      <c r="AA723" s="80"/>
      <c r="AF723" s="80"/>
      <c r="AG723" s="80"/>
    </row>
    <row r="724" spans="2:33" x14ac:dyDescent="0.15">
      <c r="B724" s="80" t="s">
        <v>1747</v>
      </c>
      <c r="C724" s="81" t="s">
        <v>1693</v>
      </c>
      <c r="N724" s="80" t="s">
        <v>1708</v>
      </c>
      <c r="P724" s="80"/>
      <c r="Q724" s="80"/>
      <c r="R724" s="80"/>
      <c r="S724" s="80"/>
      <c r="T724" s="80"/>
      <c r="U724" s="80"/>
      <c r="V724" s="80"/>
      <c r="W724" s="80"/>
      <c r="X724" s="80"/>
      <c r="Y724" s="80"/>
      <c r="Z724" s="80"/>
      <c r="AA724" s="80"/>
      <c r="AF724" s="80"/>
      <c r="AG724" s="80"/>
    </row>
    <row r="725" spans="2:33" x14ac:dyDescent="0.15">
      <c r="B725" s="80" t="s">
        <v>1746</v>
      </c>
      <c r="C725" s="81" t="s">
        <v>1693</v>
      </c>
      <c r="N725" s="80" t="s">
        <v>1708</v>
      </c>
      <c r="P725" s="80"/>
      <c r="Q725" s="80"/>
      <c r="R725" s="80"/>
      <c r="S725" s="80"/>
      <c r="T725" s="80"/>
      <c r="U725" s="80"/>
      <c r="V725" s="80"/>
      <c r="W725" s="80"/>
      <c r="X725" s="80"/>
      <c r="Y725" s="80"/>
      <c r="Z725" s="80"/>
      <c r="AA725" s="80"/>
      <c r="AF725" s="80"/>
      <c r="AG725" s="80"/>
    </row>
    <row r="726" spans="2:33" x14ac:dyDescent="0.15">
      <c r="B726" s="80" t="s">
        <v>1745</v>
      </c>
      <c r="C726" s="81" t="s">
        <v>1693</v>
      </c>
      <c r="N726" s="80" t="s">
        <v>1708</v>
      </c>
      <c r="P726" s="80"/>
      <c r="Q726" s="80"/>
      <c r="R726" s="80"/>
      <c r="S726" s="80"/>
      <c r="T726" s="80"/>
      <c r="U726" s="80"/>
      <c r="V726" s="80"/>
      <c r="W726" s="80"/>
      <c r="X726" s="80"/>
      <c r="Y726" s="80"/>
      <c r="Z726" s="80"/>
      <c r="AA726" s="80"/>
      <c r="AF726" s="80"/>
      <c r="AG726" s="80"/>
    </row>
    <row r="727" spans="2:33" x14ac:dyDescent="0.15">
      <c r="B727" s="80" t="s">
        <v>1744</v>
      </c>
      <c r="C727" s="81" t="s">
        <v>1693</v>
      </c>
      <c r="N727" s="80" t="s">
        <v>1708</v>
      </c>
      <c r="P727" s="80"/>
      <c r="Q727" s="80"/>
      <c r="R727" s="80"/>
      <c r="S727" s="80"/>
      <c r="T727" s="80"/>
      <c r="U727" s="80"/>
      <c r="V727" s="80"/>
      <c r="W727" s="80"/>
      <c r="X727" s="80"/>
      <c r="Y727" s="80"/>
      <c r="Z727" s="80"/>
      <c r="AA727" s="80"/>
      <c r="AF727" s="80"/>
      <c r="AG727" s="80"/>
    </row>
    <row r="728" spans="2:33" x14ac:dyDescent="0.15">
      <c r="B728" s="80" t="s">
        <v>1743</v>
      </c>
      <c r="C728" s="81" t="s">
        <v>1693</v>
      </c>
      <c r="N728" s="80" t="s">
        <v>1708</v>
      </c>
      <c r="P728" s="80"/>
      <c r="Q728" s="80"/>
      <c r="R728" s="80"/>
      <c r="S728" s="80"/>
      <c r="T728" s="80"/>
      <c r="U728" s="80"/>
      <c r="V728" s="80"/>
      <c r="W728" s="80"/>
      <c r="X728" s="80"/>
      <c r="Y728" s="80"/>
      <c r="Z728" s="80"/>
      <c r="AA728" s="80"/>
      <c r="AF728" s="80"/>
      <c r="AG728" s="80"/>
    </row>
    <row r="729" spans="2:33" x14ac:dyDescent="0.15">
      <c r="B729" s="80" t="s">
        <v>1742</v>
      </c>
      <c r="C729" s="81" t="s">
        <v>1693</v>
      </c>
      <c r="N729" s="80" t="s">
        <v>1708</v>
      </c>
      <c r="P729" s="80"/>
      <c r="Q729" s="80"/>
      <c r="R729" s="80"/>
      <c r="S729" s="80"/>
      <c r="T729" s="80"/>
      <c r="U729" s="80"/>
      <c r="V729" s="80"/>
      <c r="W729" s="80"/>
      <c r="X729" s="80"/>
      <c r="Y729" s="80"/>
      <c r="Z729" s="80"/>
      <c r="AA729" s="80"/>
      <c r="AF729" s="80"/>
      <c r="AG729" s="80"/>
    </row>
    <row r="730" spans="2:33" x14ac:dyDescent="0.15">
      <c r="B730" s="80" t="s">
        <v>1741</v>
      </c>
      <c r="C730" s="81" t="s">
        <v>1693</v>
      </c>
      <c r="N730" s="80" t="s">
        <v>1708</v>
      </c>
      <c r="P730" s="80"/>
      <c r="Q730" s="80"/>
      <c r="R730" s="80"/>
      <c r="S730" s="80"/>
      <c r="T730" s="80"/>
      <c r="U730" s="80"/>
      <c r="V730" s="80"/>
      <c r="W730" s="80"/>
      <c r="X730" s="80"/>
      <c r="Y730" s="80"/>
      <c r="Z730" s="80"/>
      <c r="AA730" s="80"/>
      <c r="AF730" s="80"/>
      <c r="AG730" s="80"/>
    </row>
    <row r="731" spans="2:33" x14ac:dyDescent="0.15">
      <c r="B731" s="80" t="s">
        <v>1740</v>
      </c>
      <c r="C731" s="81" t="s">
        <v>1693</v>
      </c>
      <c r="N731" s="80" t="s">
        <v>1708</v>
      </c>
      <c r="P731" s="80"/>
      <c r="Q731" s="80"/>
      <c r="R731" s="80"/>
      <c r="S731" s="80"/>
      <c r="T731" s="80"/>
      <c r="U731" s="80"/>
      <c r="V731" s="80"/>
      <c r="W731" s="80"/>
      <c r="X731" s="80"/>
      <c r="Y731" s="80"/>
      <c r="Z731" s="80"/>
      <c r="AA731" s="80"/>
      <c r="AF731" s="80"/>
      <c r="AG731" s="80"/>
    </row>
    <row r="732" spans="2:33" x14ac:dyDescent="0.15">
      <c r="B732" s="80" t="s">
        <v>1739</v>
      </c>
      <c r="C732" s="81" t="s">
        <v>1693</v>
      </c>
      <c r="N732" s="80" t="s">
        <v>1708</v>
      </c>
      <c r="P732" s="80"/>
      <c r="Q732" s="80"/>
      <c r="R732" s="80"/>
      <c r="S732" s="80"/>
      <c r="T732" s="80"/>
      <c r="U732" s="80"/>
      <c r="V732" s="80"/>
      <c r="W732" s="80"/>
      <c r="X732" s="80"/>
      <c r="Y732" s="80"/>
      <c r="Z732" s="80"/>
      <c r="AA732" s="80"/>
      <c r="AF732" s="80"/>
      <c r="AG732" s="80"/>
    </row>
    <row r="733" spans="2:33" x14ac:dyDescent="0.15">
      <c r="B733" s="80" t="s">
        <v>1738</v>
      </c>
      <c r="C733" s="81" t="s">
        <v>1693</v>
      </c>
      <c r="N733" s="80" t="s">
        <v>1708</v>
      </c>
      <c r="P733" s="80"/>
      <c r="Q733" s="80"/>
      <c r="R733" s="80"/>
      <c r="S733" s="80"/>
      <c r="T733" s="80"/>
      <c r="U733" s="80"/>
      <c r="V733" s="80"/>
      <c r="W733" s="80"/>
      <c r="X733" s="80"/>
      <c r="Y733" s="80"/>
      <c r="Z733" s="80"/>
      <c r="AA733" s="80"/>
      <c r="AF733" s="80"/>
      <c r="AG733" s="80"/>
    </row>
    <row r="734" spans="2:33" x14ac:dyDescent="0.15">
      <c r="B734" s="80" t="s">
        <v>1737</v>
      </c>
      <c r="C734" s="81" t="s">
        <v>1693</v>
      </c>
      <c r="N734" s="80" t="s">
        <v>1708</v>
      </c>
      <c r="P734" s="80"/>
      <c r="Q734" s="80"/>
      <c r="R734" s="80"/>
      <c r="S734" s="80"/>
      <c r="T734" s="80"/>
      <c r="U734" s="80"/>
      <c r="V734" s="80"/>
      <c r="W734" s="80"/>
      <c r="X734" s="80"/>
      <c r="Y734" s="80"/>
      <c r="Z734" s="80"/>
      <c r="AA734" s="80"/>
      <c r="AF734" s="80"/>
      <c r="AG734" s="80"/>
    </row>
    <row r="735" spans="2:33" x14ac:dyDescent="0.15">
      <c r="B735" s="80" t="s">
        <v>1736</v>
      </c>
      <c r="C735" s="81" t="s">
        <v>1693</v>
      </c>
      <c r="N735" s="80" t="s">
        <v>1708</v>
      </c>
      <c r="P735" s="80"/>
      <c r="Q735" s="80"/>
      <c r="R735" s="80"/>
      <c r="S735" s="80"/>
      <c r="T735" s="80"/>
      <c r="U735" s="80"/>
      <c r="V735" s="80"/>
      <c r="W735" s="80"/>
      <c r="X735" s="80"/>
      <c r="Y735" s="80"/>
      <c r="Z735" s="80"/>
      <c r="AA735" s="80"/>
      <c r="AF735" s="80"/>
      <c r="AG735" s="80"/>
    </row>
    <row r="736" spans="2:33" x14ac:dyDescent="0.15">
      <c r="B736" s="80" t="s">
        <v>1735</v>
      </c>
      <c r="C736" s="81" t="s">
        <v>1693</v>
      </c>
      <c r="N736" s="80" t="s">
        <v>1708</v>
      </c>
      <c r="P736" s="80"/>
      <c r="Q736" s="80"/>
      <c r="R736" s="80"/>
      <c r="S736" s="80"/>
      <c r="T736" s="80"/>
      <c r="U736" s="80"/>
      <c r="V736" s="80"/>
      <c r="W736" s="80"/>
      <c r="X736" s="80"/>
      <c r="Y736" s="80"/>
      <c r="Z736" s="80"/>
      <c r="AA736" s="80"/>
      <c r="AF736" s="80"/>
      <c r="AG736" s="80"/>
    </row>
    <row r="737" spans="2:33" x14ac:dyDescent="0.15">
      <c r="B737" s="80" t="s">
        <v>1734</v>
      </c>
      <c r="C737" s="81" t="s">
        <v>1693</v>
      </c>
      <c r="N737" s="80" t="s">
        <v>1708</v>
      </c>
      <c r="P737" s="80"/>
      <c r="Q737" s="80"/>
      <c r="R737" s="80"/>
      <c r="S737" s="80"/>
      <c r="T737" s="80"/>
      <c r="U737" s="80"/>
      <c r="V737" s="80"/>
      <c r="W737" s="80"/>
      <c r="X737" s="80"/>
      <c r="Y737" s="80"/>
      <c r="Z737" s="80"/>
      <c r="AA737" s="80"/>
      <c r="AF737" s="80"/>
      <c r="AG737" s="80"/>
    </row>
    <row r="738" spans="2:33" x14ac:dyDescent="0.15">
      <c r="B738" s="80" t="s">
        <v>1733</v>
      </c>
      <c r="C738" s="81" t="s">
        <v>1693</v>
      </c>
      <c r="N738" s="80" t="s">
        <v>1708</v>
      </c>
      <c r="P738" s="80"/>
      <c r="Q738" s="80"/>
      <c r="R738" s="80"/>
      <c r="S738" s="80"/>
      <c r="T738" s="80"/>
      <c r="U738" s="80"/>
      <c r="V738" s="80"/>
      <c r="W738" s="80"/>
      <c r="X738" s="80"/>
      <c r="Y738" s="80"/>
      <c r="Z738" s="80"/>
      <c r="AA738" s="80"/>
      <c r="AF738" s="80"/>
      <c r="AG738" s="80"/>
    </row>
    <row r="739" spans="2:33" x14ac:dyDescent="0.15">
      <c r="B739" s="80" t="s">
        <v>1732</v>
      </c>
      <c r="C739" s="81" t="s">
        <v>1693</v>
      </c>
      <c r="N739" s="80" t="s">
        <v>1708</v>
      </c>
      <c r="P739" s="80"/>
      <c r="Q739" s="80"/>
      <c r="R739" s="80"/>
      <c r="S739" s="80"/>
      <c r="T739" s="80"/>
      <c r="U739" s="80"/>
      <c r="V739" s="80"/>
      <c r="W739" s="80"/>
      <c r="X739" s="80"/>
      <c r="Y739" s="80"/>
      <c r="Z739" s="80"/>
      <c r="AA739" s="80"/>
      <c r="AF739" s="80"/>
      <c r="AG739" s="80"/>
    </row>
    <row r="740" spans="2:33" x14ac:dyDescent="0.15">
      <c r="B740" s="80" t="s">
        <v>1731</v>
      </c>
      <c r="C740" s="81" t="s">
        <v>1693</v>
      </c>
      <c r="N740" s="80" t="s">
        <v>1708</v>
      </c>
      <c r="P740" s="80"/>
      <c r="Q740" s="80"/>
      <c r="R740" s="80"/>
      <c r="S740" s="80"/>
      <c r="T740" s="80"/>
      <c r="U740" s="80"/>
      <c r="V740" s="80"/>
      <c r="W740" s="80"/>
      <c r="X740" s="80"/>
      <c r="Y740" s="80"/>
      <c r="Z740" s="80"/>
      <c r="AA740" s="80"/>
      <c r="AF740" s="80"/>
      <c r="AG740" s="80"/>
    </row>
    <row r="741" spans="2:33" x14ac:dyDescent="0.15">
      <c r="B741" s="80" t="s">
        <v>1730</v>
      </c>
      <c r="C741" s="81" t="s">
        <v>1693</v>
      </c>
      <c r="N741" s="80" t="s">
        <v>1708</v>
      </c>
      <c r="P741" s="80"/>
      <c r="Q741" s="80"/>
      <c r="R741" s="80"/>
      <c r="S741" s="80"/>
      <c r="T741" s="80"/>
      <c r="U741" s="80"/>
      <c r="V741" s="80"/>
      <c r="W741" s="80"/>
      <c r="X741" s="80"/>
      <c r="Y741" s="80"/>
      <c r="Z741" s="80"/>
      <c r="AA741" s="80"/>
      <c r="AF741" s="80"/>
      <c r="AG741" s="80"/>
    </row>
    <row r="742" spans="2:33" x14ac:dyDescent="0.15">
      <c r="B742" s="80" t="s">
        <v>1729</v>
      </c>
      <c r="C742" s="81" t="s">
        <v>1693</v>
      </c>
      <c r="N742" s="80" t="s">
        <v>1708</v>
      </c>
      <c r="P742" s="80"/>
      <c r="Q742" s="80"/>
      <c r="R742" s="80"/>
      <c r="S742" s="80"/>
      <c r="T742" s="80"/>
      <c r="U742" s="80"/>
      <c r="V742" s="80"/>
      <c r="W742" s="80"/>
      <c r="X742" s="80"/>
      <c r="Y742" s="80"/>
      <c r="Z742" s="80"/>
      <c r="AA742" s="80"/>
      <c r="AF742" s="80"/>
      <c r="AG742" s="80"/>
    </row>
    <row r="743" spans="2:33" x14ac:dyDescent="0.15">
      <c r="B743" s="80" t="s">
        <v>1728</v>
      </c>
      <c r="C743" s="81" t="s">
        <v>1693</v>
      </c>
      <c r="N743" s="80" t="s">
        <v>1708</v>
      </c>
      <c r="P743" s="80"/>
      <c r="Q743" s="80"/>
      <c r="R743" s="80"/>
      <c r="S743" s="80"/>
      <c r="T743" s="80"/>
      <c r="U743" s="80"/>
      <c r="V743" s="80"/>
      <c r="W743" s="80"/>
      <c r="X743" s="80"/>
      <c r="Y743" s="80"/>
      <c r="Z743" s="80"/>
      <c r="AA743" s="80"/>
      <c r="AF743" s="80"/>
      <c r="AG743" s="80"/>
    </row>
    <row r="744" spans="2:33" x14ac:dyDescent="0.15">
      <c r="B744" s="80" t="s">
        <v>1727</v>
      </c>
      <c r="C744" s="81" t="s">
        <v>1693</v>
      </c>
      <c r="N744" s="80" t="s">
        <v>1708</v>
      </c>
      <c r="P744" s="80"/>
      <c r="Q744" s="80"/>
      <c r="R744" s="80"/>
      <c r="S744" s="80"/>
      <c r="T744" s="80"/>
      <c r="U744" s="80"/>
      <c r="V744" s="80"/>
      <c r="W744" s="80"/>
      <c r="X744" s="80"/>
      <c r="Y744" s="80"/>
      <c r="Z744" s="80"/>
      <c r="AA744" s="80"/>
      <c r="AF744" s="80"/>
      <c r="AG744" s="80"/>
    </row>
    <row r="745" spans="2:33" x14ac:dyDescent="0.15">
      <c r="B745" s="80" t="s">
        <v>1726</v>
      </c>
      <c r="C745" s="81" t="s">
        <v>1693</v>
      </c>
      <c r="N745" s="80" t="s">
        <v>1708</v>
      </c>
      <c r="P745" s="80"/>
      <c r="Q745" s="80"/>
      <c r="R745" s="80"/>
      <c r="S745" s="80"/>
      <c r="T745" s="80"/>
      <c r="U745" s="80"/>
      <c r="V745" s="80"/>
      <c r="W745" s="80"/>
      <c r="X745" s="80"/>
      <c r="Y745" s="80"/>
      <c r="Z745" s="80"/>
      <c r="AA745" s="80"/>
      <c r="AF745" s="80"/>
      <c r="AG745" s="80"/>
    </row>
    <row r="746" spans="2:33" x14ac:dyDescent="0.15">
      <c r="B746" s="80" t="s">
        <v>1725</v>
      </c>
      <c r="C746" s="81" t="s">
        <v>1693</v>
      </c>
      <c r="N746" s="80" t="s">
        <v>1708</v>
      </c>
      <c r="P746" s="80"/>
      <c r="Q746" s="80"/>
      <c r="R746" s="80"/>
      <c r="S746" s="80"/>
      <c r="T746" s="80"/>
      <c r="U746" s="80"/>
      <c r="V746" s="80"/>
      <c r="W746" s="80"/>
      <c r="X746" s="80"/>
      <c r="Y746" s="80"/>
      <c r="Z746" s="80"/>
      <c r="AA746" s="80"/>
      <c r="AF746" s="80"/>
      <c r="AG746" s="80"/>
    </row>
    <row r="747" spans="2:33" x14ac:dyDescent="0.15">
      <c r="B747" s="80" t="s">
        <v>1724</v>
      </c>
      <c r="C747" s="81" t="s">
        <v>1693</v>
      </c>
      <c r="N747" s="80" t="s">
        <v>1708</v>
      </c>
      <c r="P747" s="80"/>
      <c r="Q747" s="80"/>
      <c r="R747" s="80"/>
      <c r="S747" s="80"/>
      <c r="T747" s="80"/>
      <c r="U747" s="80"/>
      <c r="V747" s="80"/>
      <c r="W747" s="80"/>
      <c r="X747" s="80"/>
      <c r="Y747" s="80"/>
      <c r="Z747" s="80"/>
      <c r="AA747" s="80"/>
      <c r="AF747" s="80"/>
      <c r="AG747" s="80"/>
    </row>
    <row r="748" spans="2:33" x14ac:dyDescent="0.15">
      <c r="B748" s="80" t="s">
        <v>1723</v>
      </c>
      <c r="C748" s="81" t="s">
        <v>1693</v>
      </c>
      <c r="N748" s="80" t="s">
        <v>1708</v>
      </c>
      <c r="P748" s="80"/>
      <c r="Q748" s="80"/>
      <c r="R748" s="80"/>
      <c r="S748" s="80"/>
      <c r="T748" s="80"/>
      <c r="U748" s="80"/>
      <c r="V748" s="80"/>
      <c r="W748" s="80"/>
      <c r="X748" s="80"/>
      <c r="Y748" s="80"/>
      <c r="Z748" s="80"/>
      <c r="AA748" s="80"/>
      <c r="AF748" s="80"/>
      <c r="AG748" s="80"/>
    </row>
    <row r="749" spans="2:33" x14ac:dyDescent="0.15">
      <c r="B749" s="80" t="s">
        <v>1722</v>
      </c>
      <c r="C749" s="81" t="s">
        <v>1693</v>
      </c>
      <c r="N749" s="80" t="s">
        <v>1708</v>
      </c>
      <c r="P749" s="80"/>
      <c r="Q749" s="80"/>
      <c r="R749" s="80"/>
      <c r="S749" s="80"/>
      <c r="T749" s="80"/>
      <c r="U749" s="80"/>
      <c r="V749" s="80"/>
      <c r="W749" s="80"/>
      <c r="X749" s="80"/>
      <c r="Y749" s="80"/>
      <c r="Z749" s="80"/>
      <c r="AA749" s="80"/>
      <c r="AF749" s="80"/>
      <c r="AG749" s="80"/>
    </row>
    <row r="750" spans="2:33" x14ac:dyDescent="0.15">
      <c r="B750" s="80" t="s">
        <v>1721</v>
      </c>
      <c r="C750" s="81" t="s">
        <v>1693</v>
      </c>
      <c r="N750" s="80" t="s">
        <v>1708</v>
      </c>
      <c r="P750" s="80"/>
      <c r="Q750" s="80"/>
      <c r="R750" s="80"/>
      <c r="S750" s="80"/>
      <c r="T750" s="80"/>
      <c r="U750" s="80"/>
      <c r="V750" s="80"/>
      <c r="W750" s="80"/>
      <c r="X750" s="80"/>
      <c r="Y750" s="80"/>
      <c r="Z750" s="80"/>
      <c r="AA750" s="80"/>
      <c r="AF750" s="80"/>
      <c r="AG750" s="80"/>
    </row>
    <row r="751" spans="2:33" x14ac:dyDescent="0.15">
      <c r="B751" s="80" t="s">
        <v>1720</v>
      </c>
      <c r="C751" s="81" t="s">
        <v>1693</v>
      </c>
      <c r="N751" s="80" t="s">
        <v>1708</v>
      </c>
      <c r="P751" s="80"/>
      <c r="Q751" s="80"/>
      <c r="R751" s="80"/>
      <c r="S751" s="80"/>
      <c r="T751" s="80"/>
      <c r="U751" s="80"/>
      <c r="V751" s="80"/>
      <c r="W751" s="80"/>
      <c r="X751" s="80"/>
      <c r="Y751" s="80"/>
      <c r="Z751" s="80"/>
      <c r="AA751" s="80"/>
      <c r="AF751" s="80"/>
      <c r="AG751" s="80"/>
    </row>
    <row r="752" spans="2:33" x14ac:dyDescent="0.15">
      <c r="B752" s="80" t="s">
        <v>1719</v>
      </c>
      <c r="C752" s="81" t="s">
        <v>1693</v>
      </c>
      <c r="N752" s="80" t="s">
        <v>1708</v>
      </c>
      <c r="P752" s="80"/>
      <c r="Q752" s="80"/>
      <c r="R752" s="80"/>
      <c r="S752" s="80"/>
      <c r="T752" s="80"/>
      <c r="U752" s="80"/>
      <c r="V752" s="80"/>
      <c r="W752" s="80"/>
      <c r="X752" s="80"/>
      <c r="Y752" s="80"/>
      <c r="Z752" s="80"/>
      <c r="AA752" s="80"/>
      <c r="AF752" s="80"/>
      <c r="AG752" s="80"/>
    </row>
    <row r="753" spans="2:33" x14ac:dyDescent="0.15">
      <c r="B753" s="80" t="s">
        <v>1718</v>
      </c>
      <c r="C753" s="81" t="s">
        <v>1693</v>
      </c>
      <c r="N753" s="80" t="s">
        <v>1708</v>
      </c>
      <c r="P753" s="80"/>
      <c r="Q753" s="80"/>
      <c r="R753" s="80"/>
      <c r="S753" s="80"/>
      <c r="T753" s="80"/>
      <c r="U753" s="80"/>
      <c r="V753" s="80"/>
      <c r="W753" s="80"/>
      <c r="X753" s="80"/>
      <c r="Y753" s="80"/>
      <c r="Z753" s="80"/>
      <c r="AA753" s="80"/>
      <c r="AF753" s="80"/>
      <c r="AG753" s="80"/>
    </row>
    <row r="754" spans="2:33" x14ac:dyDescent="0.15">
      <c r="B754" s="80" t="s">
        <v>1717</v>
      </c>
      <c r="C754" s="81" t="s">
        <v>1693</v>
      </c>
      <c r="N754" s="80" t="s">
        <v>1708</v>
      </c>
      <c r="P754" s="80"/>
      <c r="Q754" s="80"/>
      <c r="R754" s="80"/>
      <c r="S754" s="80"/>
      <c r="T754" s="80"/>
      <c r="U754" s="80"/>
      <c r="V754" s="80"/>
      <c r="W754" s="80"/>
      <c r="X754" s="80"/>
      <c r="Y754" s="80"/>
      <c r="Z754" s="80"/>
      <c r="AA754" s="80"/>
      <c r="AF754" s="80"/>
      <c r="AG754" s="80"/>
    </row>
    <row r="755" spans="2:33" x14ac:dyDescent="0.15">
      <c r="B755" s="80" t="s">
        <v>1716</v>
      </c>
      <c r="C755" s="81" t="s">
        <v>1693</v>
      </c>
      <c r="N755" s="80" t="s">
        <v>1708</v>
      </c>
      <c r="P755" s="80"/>
      <c r="Q755" s="80"/>
      <c r="R755" s="80"/>
      <c r="S755" s="80"/>
      <c r="T755" s="80"/>
      <c r="U755" s="80"/>
      <c r="V755" s="80"/>
      <c r="W755" s="80"/>
      <c r="X755" s="80"/>
      <c r="Y755" s="80"/>
      <c r="Z755" s="80"/>
      <c r="AA755" s="80"/>
      <c r="AF755" s="80"/>
      <c r="AG755" s="80"/>
    </row>
    <row r="756" spans="2:33" x14ac:dyDescent="0.15">
      <c r="B756" s="80" t="s">
        <v>1715</v>
      </c>
      <c r="C756" s="81" t="s">
        <v>1693</v>
      </c>
      <c r="N756" s="80" t="s">
        <v>1708</v>
      </c>
      <c r="P756" s="80"/>
      <c r="Q756" s="80"/>
      <c r="R756" s="80"/>
      <c r="S756" s="80"/>
      <c r="T756" s="80"/>
      <c r="U756" s="80"/>
      <c r="V756" s="80"/>
      <c r="W756" s="80"/>
      <c r="X756" s="80"/>
      <c r="Y756" s="80"/>
      <c r="Z756" s="80"/>
      <c r="AA756" s="80"/>
      <c r="AF756" s="80"/>
      <c r="AG756" s="80"/>
    </row>
    <row r="757" spans="2:33" x14ac:dyDescent="0.15">
      <c r="B757" s="80" t="s">
        <v>1434</v>
      </c>
      <c r="C757" s="81" t="s">
        <v>1693</v>
      </c>
      <c r="N757" s="80" t="s">
        <v>1708</v>
      </c>
      <c r="P757" s="80"/>
      <c r="Q757" s="80"/>
      <c r="R757" s="80"/>
      <c r="S757" s="80"/>
      <c r="T757" s="80"/>
      <c r="U757" s="80"/>
      <c r="V757" s="80"/>
      <c r="W757" s="80"/>
      <c r="X757" s="80"/>
      <c r="Y757" s="80"/>
      <c r="Z757" s="80"/>
      <c r="AA757" s="80"/>
      <c r="AF757" s="80"/>
      <c r="AG757" s="80"/>
    </row>
    <row r="758" spans="2:33" x14ac:dyDescent="0.15">
      <c r="B758" s="80" t="s">
        <v>1714</v>
      </c>
      <c r="C758" s="81" t="s">
        <v>1693</v>
      </c>
      <c r="N758" s="80" t="s">
        <v>1708</v>
      </c>
      <c r="P758" s="80"/>
      <c r="Q758" s="80"/>
      <c r="R758" s="80"/>
      <c r="S758" s="80"/>
      <c r="T758" s="80"/>
      <c r="U758" s="80"/>
      <c r="V758" s="80"/>
      <c r="W758" s="80"/>
      <c r="X758" s="80"/>
      <c r="Y758" s="80"/>
      <c r="Z758" s="80"/>
      <c r="AA758" s="80"/>
      <c r="AF758" s="80"/>
      <c r="AG758" s="80"/>
    </row>
    <row r="759" spans="2:33" x14ac:dyDescent="0.15">
      <c r="B759" s="80" t="s">
        <v>1713</v>
      </c>
      <c r="C759" s="81" t="s">
        <v>1693</v>
      </c>
      <c r="N759" s="80" t="s">
        <v>1708</v>
      </c>
      <c r="P759" s="80"/>
      <c r="Q759" s="80"/>
      <c r="R759" s="80"/>
      <c r="S759" s="80"/>
      <c r="T759" s="80"/>
      <c r="U759" s="80"/>
      <c r="V759" s="80"/>
      <c r="W759" s="80"/>
      <c r="X759" s="80"/>
      <c r="Y759" s="80"/>
      <c r="Z759" s="80"/>
      <c r="AA759" s="80"/>
      <c r="AF759" s="80"/>
      <c r="AG759" s="80"/>
    </row>
    <row r="760" spans="2:33" x14ac:dyDescent="0.15">
      <c r="B760" s="80" t="s">
        <v>1712</v>
      </c>
      <c r="C760" s="81" t="s">
        <v>1693</v>
      </c>
      <c r="N760" s="80" t="s">
        <v>1708</v>
      </c>
      <c r="P760" s="80"/>
      <c r="Q760" s="80"/>
      <c r="R760" s="80"/>
      <c r="S760" s="80"/>
      <c r="T760" s="80"/>
      <c r="U760" s="80"/>
      <c r="V760" s="80"/>
      <c r="W760" s="80"/>
      <c r="X760" s="80"/>
      <c r="Y760" s="80"/>
      <c r="Z760" s="80"/>
      <c r="AA760" s="80"/>
      <c r="AF760" s="80"/>
      <c r="AG760" s="80"/>
    </row>
    <row r="761" spans="2:33" x14ac:dyDescent="0.15">
      <c r="B761" s="80" t="s">
        <v>1711</v>
      </c>
      <c r="C761" s="81" t="s">
        <v>1693</v>
      </c>
      <c r="N761" s="80" t="s">
        <v>1708</v>
      </c>
      <c r="P761" s="80"/>
      <c r="Q761" s="80"/>
      <c r="R761" s="80"/>
      <c r="S761" s="80"/>
      <c r="T761" s="80"/>
      <c r="U761" s="80"/>
      <c r="V761" s="80"/>
      <c r="W761" s="80"/>
      <c r="X761" s="80"/>
      <c r="Y761" s="80"/>
      <c r="Z761" s="80"/>
      <c r="AA761" s="80"/>
      <c r="AF761" s="80"/>
      <c r="AG761" s="80"/>
    </row>
    <row r="762" spans="2:33" x14ac:dyDescent="0.15">
      <c r="B762" s="80" t="s">
        <v>1710</v>
      </c>
      <c r="C762" s="81" t="s">
        <v>1693</v>
      </c>
      <c r="N762" s="80" t="s">
        <v>1708</v>
      </c>
      <c r="P762" s="80"/>
      <c r="Q762" s="80"/>
      <c r="R762" s="80"/>
      <c r="S762" s="80"/>
      <c r="T762" s="80"/>
      <c r="U762" s="80"/>
      <c r="V762" s="80"/>
      <c r="W762" s="80"/>
      <c r="X762" s="80"/>
      <c r="Y762" s="80"/>
      <c r="Z762" s="80"/>
      <c r="AA762" s="80"/>
      <c r="AF762" s="80"/>
      <c r="AG762" s="80"/>
    </row>
    <row r="763" spans="2:33" x14ac:dyDescent="0.15">
      <c r="B763" s="80" t="s">
        <v>1709</v>
      </c>
      <c r="C763" s="81" t="s">
        <v>1693</v>
      </c>
      <c r="N763" s="80" t="s">
        <v>1708</v>
      </c>
      <c r="P763" s="80"/>
      <c r="Q763" s="80"/>
      <c r="R763" s="80"/>
      <c r="S763" s="80"/>
      <c r="T763" s="80"/>
      <c r="U763" s="80"/>
      <c r="V763" s="80"/>
      <c r="W763" s="80"/>
      <c r="X763" s="80"/>
      <c r="Y763" s="80"/>
      <c r="Z763" s="80"/>
      <c r="AA763" s="80"/>
      <c r="AF763" s="80"/>
      <c r="AG763" s="80"/>
    </row>
    <row r="764" spans="2:33" x14ac:dyDescent="0.15">
      <c r="B764" s="80" t="s">
        <v>1707</v>
      </c>
      <c r="C764" s="81" t="s">
        <v>1693</v>
      </c>
      <c r="P764" s="80"/>
      <c r="Q764" s="80"/>
      <c r="R764" s="80"/>
      <c r="S764" s="80"/>
      <c r="T764" s="80"/>
      <c r="U764" s="80"/>
      <c r="V764" s="80"/>
      <c r="W764" s="80"/>
      <c r="X764" s="80"/>
      <c r="Y764" s="80"/>
      <c r="Z764" s="80"/>
      <c r="AA764" s="80"/>
      <c r="AF764" s="80"/>
      <c r="AG764" s="80"/>
    </row>
    <row r="765" spans="2:33" x14ac:dyDescent="0.15">
      <c r="B765" s="80" t="s">
        <v>1706</v>
      </c>
      <c r="C765" s="81" t="s">
        <v>1693</v>
      </c>
      <c r="P765" s="80"/>
      <c r="Q765" s="80"/>
      <c r="R765" s="80"/>
      <c r="S765" s="80"/>
      <c r="T765" s="80"/>
      <c r="U765" s="80"/>
      <c r="V765" s="80"/>
      <c r="W765" s="80"/>
      <c r="X765" s="80"/>
      <c r="Y765" s="80"/>
      <c r="Z765" s="80"/>
      <c r="AA765" s="80"/>
      <c r="AF765" s="80"/>
      <c r="AG765" s="80"/>
    </row>
    <row r="766" spans="2:33" x14ac:dyDescent="0.15">
      <c r="B766" s="80" t="s">
        <v>1705</v>
      </c>
      <c r="C766" s="81" t="s">
        <v>1693</v>
      </c>
      <c r="P766" s="80"/>
      <c r="Q766" s="80"/>
      <c r="R766" s="80"/>
      <c r="S766" s="80"/>
      <c r="T766" s="80"/>
      <c r="U766" s="80"/>
      <c r="V766" s="80"/>
      <c r="W766" s="80"/>
      <c r="X766" s="80"/>
      <c r="Y766" s="80"/>
      <c r="Z766" s="80"/>
      <c r="AA766" s="80"/>
      <c r="AF766" s="80"/>
      <c r="AG766" s="80"/>
    </row>
    <row r="767" spans="2:33" x14ac:dyDescent="0.15">
      <c r="B767" s="80" t="s">
        <v>1704</v>
      </c>
      <c r="C767" s="81" t="s">
        <v>1693</v>
      </c>
      <c r="P767" s="80"/>
      <c r="Q767" s="80"/>
      <c r="R767" s="80"/>
      <c r="S767" s="80"/>
      <c r="T767" s="80"/>
      <c r="U767" s="80"/>
      <c r="V767" s="80"/>
      <c r="W767" s="80"/>
      <c r="X767" s="80"/>
      <c r="Y767" s="80"/>
      <c r="Z767" s="80"/>
      <c r="AA767" s="80"/>
      <c r="AF767" s="80"/>
      <c r="AG767" s="80"/>
    </row>
    <row r="768" spans="2:33" x14ac:dyDescent="0.15">
      <c r="B768" s="80" t="s">
        <v>1703</v>
      </c>
      <c r="C768" s="81" t="s">
        <v>1693</v>
      </c>
      <c r="P768" s="80"/>
      <c r="Q768" s="80"/>
      <c r="R768" s="80"/>
      <c r="S768" s="80"/>
      <c r="T768" s="80"/>
      <c r="U768" s="80"/>
      <c r="V768" s="80"/>
      <c r="W768" s="80"/>
      <c r="X768" s="80"/>
      <c r="Y768" s="80"/>
      <c r="Z768" s="80"/>
      <c r="AA768" s="80"/>
      <c r="AF768" s="80"/>
      <c r="AG768" s="80"/>
    </row>
    <row r="769" spans="2:33" x14ac:dyDescent="0.15">
      <c r="B769" s="80" t="s">
        <v>1702</v>
      </c>
      <c r="C769" s="81" t="s">
        <v>1693</v>
      </c>
      <c r="P769" s="80"/>
      <c r="Q769" s="80"/>
      <c r="R769" s="80"/>
      <c r="S769" s="80"/>
      <c r="T769" s="80"/>
      <c r="U769" s="80"/>
      <c r="V769" s="80"/>
      <c r="W769" s="80"/>
      <c r="X769" s="80"/>
      <c r="Y769" s="80"/>
      <c r="Z769" s="80"/>
      <c r="AA769" s="80"/>
      <c r="AF769" s="80"/>
      <c r="AG769" s="80"/>
    </row>
    <row r="770" spans="2:33" x14ac:dyDescent="0.15">
      <c r="B770" s="80" t="s">
        <v>1701</v>
      </c>
      <c r="C770" s="81" t="s">
        <v>1693</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1700</v>
      </c>
      <c r="C771" s="81" t="s">
        <v>1693</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1699</v>
      </c>
      <c r="C772" s="81" t="s">
        <v>1693</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1698</v>
      </c>
      <c r="C773" s="81" t="s">
        <v>1693</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1697</v>
      </c>
      <c r="C774" s="81" t="s">
        <v>1693</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1696</v>
      </c>
      <c r="C775" s="81" t="s">
        <v>1693</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1695</v>
      </c>
      <c r="C776" s="81" t="s">
        <v>1693</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1694</v>
      </c>
      <c r="C777" s="81" t="s">
        <v>1693</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1692</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1691</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1690</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1689</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1688</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1687</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1686</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1685</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1684</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1683</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1682</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1681</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1680</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1679</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1678</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1677</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1676</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1675</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1674</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1673</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1672</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1671</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1670</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1669</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1668</v>
      </c>
      <c r="AF802" s="80"/>
      <c r="AG802" s="80"/>
    </row>
    <row r="803" spans="2:33" x14ac:dyDescent="0.15">
      <c r="B803" s="80" t="s">
        <v>1667</v>
      </c>
      <c r="AF803" s="80"/>
      <c r="AG803" s="80"/>
    </row>
    <row r="804" spans="2:33" x14ac:dyDescent="0.15">
      <c r="B804" s="80" t="s">
        <v>1666</v>
      </c>
      <c r="AF804" s="80"/>
      <c r="AG804" s="80"/>
    </row>
    <row r="805" spans="2:33" x14ac:dyDescent="0.15">
      <c r="B805" s="80" t="s">
        <v>1665</v>
      </c>
      <c r="AF805" s="80"/>
      <c r="AG805" s="80"/>
    </row>
    <row r="806" spans="2:33" x14ac:dyDescent="0.15">
      <c r="B806" s="80" t="s">
        <v>1664</v>
      </c>
      <c r="AF806" s="80"/>
      <c r="AG806" s="80"/>
    </row>
    <row r="807" spans="2:33" x14ac:dyDescent="0.15">
      <c r="B807" s="80" t="s">
        <v>1663</v>
      </c>
      <c r="AF807" s="80"/>
      <c r="AG807" s="80"/>
    </row>
    <row r="808" spans="2:33" x14ac:dyDescent="0.15">
      <c r="B808" s="80" t="s">
        <v>1662</v>
      </c>
      <c r="AF808" s="80"/>
      <c r="AG808" s="80"/>
    </row>
    <row r="809" spans="2:33" x14ac:dyDescent="0.15">
      <c r="B809" s="80" t="s">
        <v>1661</v>
      </c>
      <c r="AF809" s="80"/>
      <c r="AG809" s="80"/>
    </row>
    <row r="810" spans="2:33" x14ac:dyDescent="0.15">
      <c r="B810" s="80" t="s">
        <v>1660</v>
      </c>
      <c r="AF810" s="80"/>
      <c r="AG810" s="80"/>
    </row>
    <row r="811" spans="2:33" x14ac:dyDescent="0.15">
      <c r="B811" s="80" t="s">
        <v>1659</v>
      </c>
      <c r="AF811" s="80"/>
      <c r="AG811" s="80"/>
    </row>
    <row r="812" spans="2:33" x14ac:dyDescent="0.15">
      <c r="B812" s="80" t="s">
        <v>1658</v>
      </c>
      <c r="AF812" s="80"/>
      <c r="AG812" s="80"/>
    </row>
    <row r="813" spans="2:33" x14ac:dyDescent="0.15">
      <c r="B813" s="80" t="s">
        <v>1657</v>
      </c>
      <c r="AF813" s="80"/>
      <c r="AG813" s="80"/>
    </row>
    <row r="814" spans="2:33" x14ac:dyDescent="0.15">
      <c r="B814" s="80" t="s">
        <v>1656</v>
      </c>
      <c r="AF814" s="80"/>
      <c r="AG814" s="80"/>
    </row>
    <row r="815" spans="2:33" x14ac:dyDescent="0.15">
      <c r="B815" s="80" t="s">
        <v>1655</v>
      </c>
      <c r="AF815" s="80"/>
      <c r="AG815" s="80"/>
    </row>
    <row r="816" spans="2:33" x14ac:dyDescent="0.15">
      <c r="B816" s="80" t="s">
        <v>1654</v>
      </c>
      <c r="AF816" s="80"/>
      <c r="AG816" s="80"/>
    </row>
    <row r="817" spans="2:33" x14ac:dyDescent="0.15">
      <c r="B817" s="80" t="s">
        <v>1653</v>
      </c>
      <c r="AE817" s="99" t="s">
        <v>5500</v>
      </c>
      <c r="AF817" s="80"/>
      <c r="AG817" s="80"/>
    </row>
    <row r="818" spans="2:33" x14ac:dyDescent="0.15">
      <c r="B818" s="80" t="s">
        <v>1652</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1651</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1650</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1649</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1648</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1647</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1646</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1645</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1644</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1643</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1642</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1641</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1640</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1639</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1638</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6780</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1637</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1636</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1635</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1634</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1633</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1632</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1631</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1630</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1629</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1628</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1627</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1626</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1625</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1624</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1623</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1622</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1621</v>
      </c>
      <c r="P850" s="80"/>
      <c r="Q850" s="80"/>
      <c r="R850" s="80"/>
      <c r="S850" s="80"/>
      <c r="T850" s="80"/>
      <c r="U850" s="80"/>
      <c r="V850" s="80"/>
      <c r="W850" s="80"/>
      <c r="X850" s="80"/>
      <c r="Y850" s="80"/>
      <c r="Z850" s="80"/>
      <c r="AA850" s="80"/>
      <c r="AF850" s="80"/>
      <c r="AG850" s="80"/>
    </row>
    <row r="851" spans="2:33" x14ac:dyDescent="0.15">
      <c r="B851" s="80" t="s">
        <v>1620</v>
      </c>
      <c r="P851" s="80"/>
      <c r="Q851" s="80"/>
      <c r="R851" s="80"/>
      <c r="S851" s="80"/>
      <c r="T851" s="80"/>
      <c r="U851" s="80"/>
      <c r="V851" s="80"/>
      <c r="W851" s="80"/>
      <c r="X851" s="80"/>
      <c r="Y851" s="80"/>
      <c r="Z851" s="80"/>
      <c r="AA851" s="80"/>
      <c r="AF851" s="80"/>
      <c r="AG851" s="80"/>
    </row>
    <row r="852" spans="2:33" x14ac:dyDescent="0.15">
      <c r="B852" s="80" t="s">
        <v>1619</v>
      </c>
      <c r="P852" s="80"/>
      <c r="Q852" s="80"/>
      <c r="R852" s="80"/>
      <c r="S852" s="80"/>
      <c r="T852" s="80"/>
      <c r="U852" s="80"/>
      <c r="V852" s="80"/>
      <c r="W852" s="80"/>
      <c r="X852" s="80"/>
      <c r="Y852" s="80"/>
      <c r="Z852" s="80"/>
      <c r="AA852" s="80"/>
      <c r="AF852" s="80"/>
      <c r="AG852" s="80"/>
    </row>
    <row r="853" spans="2:33" x14ac:dyDescent="0.15">
      <c r="B853" s="80" t="s">
        <v>1618</v>
      </c>
      <c r="P853" s="80"/>
      <c r="Q853" s="80"/>
      <c r="R853" s="80"/>
      <c r="S853" s="80"/>
      <c r="T853" s="80"/>
      <c r="U853" s="80"/>
      <c r="V853" s="80"/>
      <c r="W853" s="80"/>
      <c r="X853" s="80"/>
      <c r="Y853" s="80"/>
      <c r="Z853" s="80"/>
      <c r="AA853" s="80"/>
      <c r="AF853" s="80"/>
      <c r="AG853" s="80"/>
    </row>
    <row r="854" spans="2:33" x14ac:dyDescent="0.15">
      <c r="B854" s="80" t="s">
        <v>1617</v>
      </c>
      <c r="P854" s="80"/>
      <c r="Q854" s="80"/>
      <c r="R854" s="80"/>
      <c r="S854" s="80"/>
      <c r="T854" s="80"/>
      <c r="U854" s="80"/>
      <c r="V854" s="80"/>
      <c r="W854" s="80"/>
      <c r="X854" s="80"/>
      <c r="Y854" s="80"/>
      <c r="Z854" s="80"/>
      <c r="AA854" s="80"/>
      <c r="AF854" s="80"/>
      <c r="AG854" s="80"/>
    </row>
    <row r="855" spans="2:33" x14ac:dyDescent="0.15">
      <c r="B855" s="80" t="s">
        <v>1616</v>
      </c>
      <c r="P855" s="80"/>
      <c r="Q855" s="80"/>
      <c r="R855" s="80"/>
      <c r="S855" s="80"/>
      <c r="T855" s="80"/>
      <c r="U855" s="80"/>
      <c r="V855" s="80"/>
      <c r="W855" s="80"/>
      <c r="X855" s="80"/>
      <c r="Y855" s="80"/>
      <c r="Z855" s="80"/>
      <c r="AA855" s="80"/>
      <c r="AF855" s="80"/>
      <c r="AG855" s="80"/>
    </row>
    <row r="856" spans="2:33" x14ac:dyDescent="0.15">
      <c r="B856" s="80" t="s">
        <v>1615</v>
      </c>
      <c r="P856" s="80"/>
      <c r="Q856" s="80"/>
      <c r="R856" s="80"/>
      <c r="S856" s="80"/>
      <c r="T856" s="80"/>
      <c r="U856" s="80"/>
      <c r="V856" s="80"/>
      <c r="W856" s="80"/>
      <c r="X856" s="80"/>
      <c r="Y856" s="80"/>
      <c r="Z856" s="80"/>
      <c r="AA856" s="80"/>
      <c r="AF856" s="80"/>
      <c r="AG856" s="80"/>
    </row>
    <row r="857" spans="2:33" x14ac:dyDescent="0.15">
      <c r="B857" s="80" t="s">
        <v>1614</v>
      </c>
      <c r="P857" s="80"/>
      <c r="Q857" s="80"/>
      <c r="R857" s="80"/>
      <c r="S857" s="80"/>
      <c r="T857" s="80"/>
      <c r="U857" s="80"/>
      <c r="V857" s="80"/>
      <c r="W857" s="80"/>
      <c r="X857" s="80"/>
      <c r="Y857" s="80"/>
      <c r="Z857" s="80"/>
      <c r="AA857" s="80"/>
      <c r="AF857" s="80"/>
      <c r="AG857" s="80"/>
    </row>
    <row r="858" spans="2:33" x14ac:dyDescent="0.15">
      <c r="B858" s="80" t="s">
        <v>1613</v>
      </c>
      <c r="P858" s="80"/>
      <c r="Q858" s="80"/>
      <c r="R858" s="80"/>
      <c r="S858" s="80"/>
      <c r="T858" s="80"/>
      <c r="U858" s="80"/>
      <c r="V858" s="80"/>
      <c r="W858" s="80"/>
      <c r="X858" s="80"/>
      <c r="Y858" s="80"/>
      <c r="Z858" s="80"/>
      <c r="AA858" s="80"/>
      <c r="AF858" s="80"/>
      <c r="AG858" s="80"/>
    </row>
    <row r="859" spans="2:33" x14ac:dyDescent="0.15">
      <c r="B859" s="80" t="s">
        <v>1612</v>
      </c>
      <c r="I859" s="192" t="s">
        <v>2463</v>
      </c>
      <c r="P859" s="80"/>
      <c r="Q859" s="80"/>
      <c r="R859" s="80"/>
      <c r="S859" s="80"/>
      <c r="T859" s="80"/>
      <c r="U859" s="80"/>
      <c r="V859" s="80"/>
      <c r="W859" s="80"/>
      <c r="X859" s="80"/>
      <c r="Y859" s="80"/>
      <c r="Z859" s="80"/>
      <c r="AA859" s="80"/>
      <c r="AF859" s="80"/>
      <c r="AG859" s="80"/>
    </row>
    <row r="860" spans="2:33" x14ac:dyDescent="0.15">
      <c r="B860" s="80" t="s">
        <v>1611</v>
      </c>
      <c r="P860" s="80"/>
      <c r="Q860" s="80"/>
      <c r="R860" s="80"/>
      <c r="S860" s="80"/>
      <c r="T860" s="80"/>
      <c r="U860" s="80"/>
      <c r="V860" s="80"/>
      <c r="W860" s="80"/>
      <c r="X860" s="80"/>
      <c r="Y860" s="80"/>
      <c r="Z860" s="80"/>
      <c r="AA860" s="80"/>
      <c r="AF860" s="80"/>
      <c r="AG860" s="80"/>
    </row>
    <row r="861" spans="2:33" x14ac:dyDescent="0.15">
      <c r="B861" s="80" t="s">
        <v>1610</v>
      </c>
      <c r="P861" s="80"/>
      <c r="Q861" s="80"/>
      <c r="R861" s="80"/>
      <c r="S861" s="80"/>
      <c r="T861" s="80"/>
      <c r="U861" s="80"/>
      <c r="V861" s="80"/>
      <c r="W861" s="80"/>
      <c r="X861" s="80"/>
      <c r="Y861" s="80"/>
      <c r="Z861" s="80"/>
      <c r="AA861" s="80"/>
      <c r="AF861" s="80"/>
      <c r="AG861" s="80"/>
    </row>
    <row r="862" spans="2:33" x14ac:dyDescent="0.15">
      <c r="B862" s="80" t="s">
        <v>1609</v>
      </c>
      <c r="P862" s="80"/>
      <c r="Q862" s="80"/>
      <c r="R862" s="80"/>
      <c r="S862" s="80"/>
      <c r="T862" s="80"/>
      <c r="U862" s="80"/>
      <c r="V862" s="80"/>
      <c r="W862" s="80"/>
      <c r="X862" s="80"/>
      <c r="Y862" s="80"/>
      <c r="Z862" s="80"/>
      <c r="AA862" s="80"/>
      <c r="AF862" s="80"/>
      <c r="AG862" s="80"/>
    </row>
    <row r="863" spans="2:33" x14ac:dyDescent="0.15">
      <c r="B863" s="80" t="s">
        <v>1608</v>
      </c>
      <c r="P863" s="80"/>
      <c r="Q863" s="80"/>
      <c r="R863" s="80"/>
      <c r="S863" s="80"/>
      <c r="T863" s="80"/>
      <c r="U863" s="80"/>
      <c r="V863" s="80"/>
      <c r="W863" s="80"/>
      <c r="X863" s="80"/>
      <c r="Y863" s="80"/>
      <c r="Z863" s="80"/>
      <c r="AA863" s="80"/>
      <c r="AF863" s="80"/>
      <c r="AG863" s="80"/>
    </row>
    <row r="864" spans="2:33" x14ac:dyDescent="0.15">
      <c r="B864" s="80" t="s">
        <v>1607</v>
      </c>
      <c r="P864" s="80"/>
      <c r="Q864" s="80"/>
      <c r="R864" s="80"/>
      <c r="S864" s="80"/>
      <c r="T864" s="80"/>
      <c r="U864" s="80"/>
      <c r="V864" s="80"/>
      <c r="W864" s="80"/>
      <c r="X864" s="80"/>
      <c r="Y864" s="80"/>
      <c r="Z864" s="80"/>
      <c r="AA864" s="80"/>
      <c r="AF864" s="80"/>
      <c r="AG864" s="80"/>
    </row>
    <row r="865" spans="2:33" x14ac:dyDescent="0.15">
      <c r="B865" s="80" t="s">
        <v>1606</v>
      </c>
      <c r="P865" s="80"/>
      <c r="Q865" s="80"/>
      <c r="R865" s="80"/>
      <c r="S865" s="80"/>
      <c r="T865" s="80"/>
      <c r="U865" s="80"/>
      <c r="V865" s="80"/>
      <c r="W865" s="80"/>
      <c r="X865" s="80"/>
      <c r="Y865" s="80"/>
      <c r="Z865" s="80"/>
      <c r="AA865" s="80"/>
      <c r="AF865" s="80"/>
      <c r="AG865" s="80"/>
    </row>
    <row r="866" spans="2:33" x14ac:dyDescent="0.15">
      <c r="B866" s="80" t="s">
        <v>1605</v>
      </c>
      <c r="P866" s="80"/>
      <c r="Q866" s="80"/>
      <c r="R866" s="80"/>
      <c r="S866" s="80"/>
      <c r="T866" s="80"/>
      <c r="U866" s="80"/>
      <c r="V866" s="80"/>
      <c r="W866" s="80"/>
      <c r="X866" s="80"/>
      <c r="Y866" s="80"/>
      <c r="Z866" s="80"/>
      <c r="AA866" s="80"/>
      <c r="AF866" s="80"/>
      <c r="AG866" s="80"/>
    </row>
    <row r="867" spans="2:33" x14ac:dyDescent="0.15">
      <c r="B867" s="80" t="s">
        <v>1604</v>
      </c>
      <c r="P867" s="80"/>
      <c r="Q867" s="80"/>
      <c r="R867" s="80"/>
      <c r="S867" s="80"/>
      <c r="T867" s="80"/>
      <c r="U867" s="80"/>
      <c r="V867" s="80"/>
      <c r="W867" s="80"/>
      <c r="X867" s="80"/>
      <c r="Y867" s="80"/>
      <c r="Z867" s="80"/>
      <c r="AA867" s="80"/>
      <c r="AF867" s="80"/>
      <c r="AG867" s="80"/>
    </row>
    <row r="868" spans="2:33" x14ac:dyDescent="0.15">
      <c r="B868" s="80" t="s">
        <v>1603</v>
      </c>
      <c r="P868" s="80"/>
      <c r="Q868" s="80"/>
      <c r="R868" s="80"/>
      <c r="S868" s="80"/>
      <c r="T868" s="80"/>
      <c r="U868" s="80"/>
      <c r="V868" s="80"/>
      <c r="W868" s="80"/>
      <c r="X868" s="80"/>
      <c r="Y868" s="80"/>
      <c r="Z868" s="80"/>
      <c r="AA868" s="80"/>
      <c r="AF868" s="80"/>
      <c r="AG868" s="80"/>
    </row>
    <row r="869" spans="2:33" x14ac:dyDescent="0.15">
      <c r="B869" s="80" t="s">
        <v>1602</v>
      </c>
      <c r="P869" s="80"/>
      <c r="Q869" s="80"/>
      <c r="R869" s="80"/>
      <c r="S869" s="80"/>
      <c r="T869" s="80"/>
      <c r="U869" s="80"/>
      <c r="V869" s="80"/>
      <c r="W869" s="80"/>
      <c r="X869" s="80"/>
      <c r="Y869" s="80"/>
      <c r="Z869" s="80"/>
      <c r="AA869" s="80"/>
      <c r="AF869" s="80"/>
      <c r="AG869" s="80"/>
    </row>
    <row r="870" spans="2:33" x14ac:dyDescent="0.15">
      <c r="B870" s="80" t="s">
        <v>1601</v>
      </c>
      <c r="K870" s="80" t="s">
        <v>3338</v>
      </c>
      <c r="L870" s="80" t="s">
        <v>5212</v>
      </c>
      <c r="P870" s="80"/>
      <c r="Q870" s="80"/>
      <c r="R870" s="80"/>
      <c r="S870" s="80"/>
      <c r="T870" s="80"/>
      <c r="U870" s="80"/>
      <c r="V870" s="80"/>
      <c r="W870" s="80"/>
      <c r="X870" s="80"/>
      <c r="Y870" s="80"/>
      <c r="Z870" s="80"/>
      <c r="AA870" s="80"/>
      <c r="AF870" s="80"/>
      <c r="AG870" s="80"/>
    </row>
    <row r="871" spans="2:33" x14ac:dyDescent="0.15">
      <c r="B871" s="80" t="s">
        <v>1600</v>
      </c>
      <c r="P871" s="80"/>
      <c r="Q871" s="80"/>
      <c r="R871" s="80"/>
      <c r="S871" s="80"/>
      <c r="T871" s="80"/>
      <c r="U871" s="80"/>
      <c r="V871" s="80"/>
      <c r="W871" s="80"/>
      <c r="X871" s="80"/>
      <c r="Y871" s="80"/>
      <c r="Z871" s="80"/>
      <c r="AA871" s="80"/>
      <c r="AF871" s="80"/>
      <c r="AG871" s="80"/>
    </row>
    <row r="872" spans="2:33" x14ac:dyDescent="0.15">
      <c r="B872" s="80" t="s">
        <v>1599</v>
      </c>
      <c r="P872" s="80"/>
      <c r="Q872" s="80"/>
      <c r="R872" s="80"/>
      <c r="S872" s="80"/>
      <c r="T872" s="80"/>
      <c r="U872" s="80"/>
      <c r="V872" s="80"/>
      <c r="W872" s="80"/>
      <c r="X872" s="80"/>
      <c r="Y872" s="80"/>
      <c r="Z872" s="80"/>
      <c r="AA872" s="80"/>
      <c r="AF872" s="80"/>
      <c r="AG872" s="80"/>
    </row>
    <row r="873" spans="2:33" x14ac:dyDescent="0.15">
      <c r="B873" s="80" t="s">
        <v>1598</v>
      </c>
      <c r="P873" s="80"/>
      <c r="Q873" s="80"/>
      <c r="R873" s="80"/>
      <c r="S873" s="80"/>
      <c r="T873" s="80"/>
      <c r="U873" s="80"/>
      <c r="V873" s="80"/>
      <c r="W873" s="80"/>
      <c r="X873" s="80"/>
      <c r="Y873" s="80"/>
      <c r="Z873" s="80"/>
      <c r="AA873" s="80"/>
      <c r="AF873" s="80"/>
      <c r="AG873" s="80"/>
    </row>
    <row r="874" spans="2:33" x14ac:dyDescent="0.15">
      <c r="B874" s="80" t="s">
        <v>1597</v>
      </c>
      <c r="P874" s="80"/>
      <c r="Q874" s="80"/>
      <c r="R874" s="80"/>
      <c r="S874" s="80"/>
      <c r="T874" s="80"/>
      <c r="U874" s="80"/>
      <c r="V874" s="80"/>
      <c r="W874" s="80"/>
      <c r="X874" s="80"/>
      <c r="Y874" s="80"/>
      <c r="Z874" s="80"/>
      <c r="AA874" s="80"/>
      <c r="AF874" s="80"/>
      <c r="AG874" s="80"/>
    </row>
    <row r="875" spans="2:33" x14ac:dyDescent="0.15">
      <c r="B875" s="80" t="s">
        <v>1596</v>
      </c>
      <c r="P875" s="80"/>
      <c r="Q875" s="80"/>
      <c r="R875" s="80"/>
      <c r="S875" s="80"/>
      <c r="T875" s="80"/>
      <c r="U875" s="80"/>
      <c r="V875" s="80"/>
      <c r="W875" s="80"/>
      <c r="X875" s="80"/>
      <c r="Y875" s="80"/>
      <c r="Z875" s="80"/>
      <c r="AA875" s="80"/>
      <c r="AF875" s="80"/>
      <c r="AG875" s="80"/>
    </row>
    <row r="876" spans="2:33" x14ac:dyDescent="0.15">
      <c r="B876" s="80" t="s">
        <v>1595</v>
      </c>
      <c r="P876" s="80"/>
      <c r="Q876" s="80"/>
      <c r="R876" s="80"/>
      <c r="S876" s="80"/>
      <c r="T876" s="80"/>
      <c r="U876" s="80"/>
      <c r="V876" s="80"/>
      <c r="W876" s="80"/>
      <c r="X876" s="80"/>
      <c r="Y876" s="80"/>
      <c r="Z876" s="80"/>
      <c r="AA876" s="80"/>
      <c r="AF876" s="80"/>
      <c r="AG876" s="80"/>
    </row>
    <row r="877" spans="2:33" x14ac:dyDescent="0.15">
      <c r="B877" s="80" t="s">
        <v>1594</v>
      </c>
      <c r="P877" s="80"/>
      <c r="Q877" s="80"/>
      <c r="R877" s="80"/>
      <c r="S877" s="80"/>
      <c r="T877" s="80"/>
      <c r="U877" s="80"/>
      <c r="V877" s="80"/>
      <c r="W877" s="80"/>
      <c r="X877" s="80"/>
      <c r="Y877" s="80"/>
      <c r="Z877" s="80"/>
      <c r="AA877" s="80"/>
      <c r="AF877" s="80"/>
      <c r="AG877" s="80"/>
    </row>
    <row r="878" spans="2:33" x14ac:dyDescent="0.15">
      <c r="B878" s="80" t="s">
        <v>1593</v>
      </c>
      <c r="P878" s="80"/>
      <c r="Q878" s="80"/>
      <c r="R878" s="80"/>
      <c r="S878" s="80"/>
      <c r="T878" s="80"/>
      <c r="U878" s="80"/>
      <c r="V878" s="80"/>
      <c r="W878" s="80"/>
      <c r="X878" s="80"/>
      <c r="Y878" s="80"/>
      <c r="Z878" s="80"/>
      <c r="AA878" s="80"/>
      <c r="AF878" s="80"/>
      <c r="AG878" s="80"/>
    </row>
    <row r="879" spans="2:33" x14ac:dyDescent="0.15">
      <c r="B879" s="80" t="s">
        <v>1592</v>
      </c>
      <c r="P879" s="80"/>
      <c r="Q879" s="80"/>
      <c r="R879" s="80"/>
      <c r="S879" s="80"/>
      <c r="T879" s="80"/>
      <c r="U879" s="80"/>
      <c r="V879" s="80"/>
      <c r="W879" s="80"/>
      <c r="X879" s="80"/>
      <c r="Y879" s="80"/>
      <c r="Z879" s="80"/>
      <c r="AA879" s="80"/>
      <c r="AF879" s="80"/>
      <c r="AG879" s="80"/>
    </row>
    <row r="880" spans="2:33" x14ac:dyDescent="0.15">
      <c r="B880" s="80" t="s">
        <v>1591</v>
      </c>
      <c r="P880" s="80"/>
      <c r="Q880" s="80"/>
      <c r="R880" s="80"/>
      <c r="S880" s="80"/>
      <c r="T880" s="80"/>
      <c r="U880" s="80"/>
      <c r="V880" s="80"/>
      <c r="W880" s="80"/>
      <c r="X880" s="80"/>
      <c r="Y880" s="80"/>
      <c r="Z880" s="80"/>
      <c r="AA880" s="80"/>
      <c r="AF880" s="80"/>
      <c r="AG880" s="80"/>
    </row>
    <row r="881" spans="2:33" x14ac:dyDescent="0.15">
      <c r="B881" s="80" t="s">
        <v>1590</v>
      </c>
      <c r="P881" s="80"/>
      <c r="Q881" s="80"/>
      <c r="R881" s="80"/>
      <c r="S881" s="80"/>
      <c r="T881" s="80"/>
      <c r="U881" s="80"/>
      <c r="V881" s="80"/>
      <c r="W881" s="80"/>
      <c r="X881" s="80"/>
      <c r="Y881" s="80"/>
      <c r="Z881" s="80"/>
      <c r="AA881" s="80"/>
      <c r="AF881" s="80"/>
      <c r="AG881" s="80"/>
    </row>
    <row r="882" spans="2:33" x14ac:dyDescent="0.15">
      <c r="B882" s="80" t="s">
        <v>4330</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1589</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1588</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1587</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1586</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1585</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1584</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1583</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1582</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1581</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1580</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1579</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1578</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1577</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1576</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1575</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1574</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1573</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1572</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1571</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1570</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1569</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1568</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1567</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1566</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1565</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1564</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1563</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1562</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1561</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1560</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4341</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1559</v>
      </c>
    </row>
    <row r="915" spans="2:33" x14ac:dyDescent="0.15">
      <c r="B915" s="80" t="s">
        <v>1558</v>
      </c>
    </row>
    <row r="916" spans="2:33" x14ac:dyDescent="0.15">
      <c r="B916" s="80" t="s">
        <v>1557</v>
      </c>
    </row>
    <row r="917" spans="2:33" x14ac:dyDescent="0.15">
      <c r="B917" s="80" t="s">
        <v>1556</v>
      </c>
    </row>
    <row r="918" spans="2:33" x14ac:dyDescent="0.15">
      <c r="B918" s="80" t="s">
        <v>1555</v>
      </c>
    </row>
    <row r="919" spans="2:33" x14ac:dyDescent="0.15">
      <c r="B919" s="80" t="s">
        <v>1554</v>
      </c>
    </row>
    <row r="920" spans="2:33" x14ac:dyDescent="0.15">
      <c r="B920" s="80" t="s">
        <v>1553</v>
      </c>
    </row>
    <row r="921" spans="2:33" x14ac:dyDescent="0.15">
      <c r="B921" s="80" t="s">
        <v>1552</v>
      </c>
    </row>
    <row r="922" spans="2:33" x14ac:dyDescent="0.15">
      <c r="B922" s="80" t="s">
        <v>1551</v>
      </c>
    </row>
    <row r="923" spans="2:33" x14ac:dyDescent="0.15">
      <c r="B923" s="80" t="s">
        <v>1550</v>
      </c>
    </row>
    <row r="924" spans="2:33" x14ac:dyDescent="0.15">
      <c r="B924" s="12" t="s">
        <v>1549</v>
      </c>
    </row>
    <row r="925" spans="2:33" x14ac:dyDescent="0.15">
      <c r="B925" s="80" t="s">
        <v>1548</v>
      </c>
    </row>
    <row r="926" spans="2:33" x14ac:dyDescent="0.15">
      <c r="B926" s="80" t="s">
        <v>1547</v>
      </c>
    </row>
    <row r="927" spans="2:33" x14ac:dyDescent="0.15">
      <c r="B927" s="80" t="s">
        <v>1546</v>
      </c>
    </row>
    <row r="928" spans="2:33" x14ac:dyDescent="0.15">
      <c r="B928" s="80" t="s">
        <v>1545</v>
      </c>
    </row>
    <row r="929" spans="1:33" s="12" customFormat="1" x14ac:dyDescent="0.15">
      <c r="A929" s="80"/>
      <c r="B929" s="12" t="s">
        <v>1544</v>
      </c>
      <c r="C929" s="29"/>
      <c r="D929" s="15"/>
      <c r="F929" s="15"/>
      <c r="G929" s="15"/>
      <c r="H929" s="13"/>
      <c r="K929" s="12" t="s">
        <v>3338</v>
      </c>
      <c r="L929" s="12" t="s">
        <v>3338</v>
      </c>
      <c r="P929" s="24"/>
      <c r="Q929" s="24"/>
      <c r="R929" s="24"/>
      <c r="S929" s="24"/>
      <c r="T929" s="24"/>
      <c r="U929" s="24"/>
      <c r="V929" s="24"/>
      <c r="W929" s="24"/>
      <c r="X929" s="24"/>
      <c r="Y929" s="24"/>
      <c r="Z929" s="24"/>
      <c r="AA929" s="24"/>
      <c r="AF929" s="72"/>
      <c r="AG929" s="67"/>
    </row>
    <row r="930" spans="1:33" x14ac:dyDescent="0.15">
      <c r="B930" s="80" t="s">
        <v>1543</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1542</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1541</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1540</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1539</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1538</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1537</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1536</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1535</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1534</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1533</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1532</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1531</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1530</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1529</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1528</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1527</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1526</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1525</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1524</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1523</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1522</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1521</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1520</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1519</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1518</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1517</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1516</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1515</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1514</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1513</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1512</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1511</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1510</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1509</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1508</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1507</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1506</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1505</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1504</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1503</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1502</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1501</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1500</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1499</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1498</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1497</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1496</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1495</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1494</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1493</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1492</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1491</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1490</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1489</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1488</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1487</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1486</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1485</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1484</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1483</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1482</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1481</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1480</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1479</v>
      </c>
    </row>
    <row r="995" spans="2:33" x14ac:dyDescent="0.15">
      <c r="B995" s="80" t="s">
        <v>1478</v>
      </c>
    </row>
    <row r="996" spans="2:33" x14ac:dyDescent="0.15">
      <c r="B996" s="80" t="s">
        <v>1477</v>
      </c>
    </row>
    <row r="997" spans="2:33" x14ac:dyDescent="0.15">
      <c r="B997" s="80" t="s">
        <v>1476</v>
      </c>
    </row>
    <row r="998" spans="2:33" x14ac:dyDescent="0.15">
      <c r="B998" s="80" t="s">
        <v>1475</v>
      </c>
    </row>
    <row r="999" spans="2:33" x14ac:dyDescent="0.15">
      <c r="B999" s="80" t="s">
        <v>1474</v>
      </c>
    </row>
    <row r="1000" spans="2:33" x14ac:dyDescent="0.15">
      <c r="B1000" s="80" t="s">
        <v>1473</v>
      </c>
    </row>
    <row r="1001" spans="2:33" x14ac:dyDescent="0.15">
      <c r="B1001" s="80" t="s">
        <v>1472</v>
      </c>
    </row>
    <row r="1002" spans="2:33" x14ac:dyDescent="0.15">
      <c r="B1002" s="80" t="s">
        <v>1471</v>
      </c>
      <c r="AE1002" s="25" t="s">
        <v>4329</v>
      </c>
      <c r="AF1002" s="71"/>
      <c r="AG1002" s="66"/>
    </row>
    <row r="1003" spans="2:33" x14ac:dyDescent="0.15">
      <c r="B1003" s="80" t="s">
        <v>1470</v>
      </c>
    </row>
    <row r="1004" spans="2:33" x14ac:dyDescent="0.15">
      <c r="B1004" s="80" t="s">
        <v>1469</v>
      </c>
    </row>
    <row r="1005" spans="2:33" x14ac:dyDescent="0.15">
      <c r="B1005" s="80" t="s">
        <v>1468</v>
      </c>
    </row>
    <row r="1006" spans="2:33" x14ac:dyDescent="0.15">
      <c r="B1006" s="80" t="s">
        <v>1467</v>
      </c>
    </row>
    <row r="1007" spans="2:33" x14ac:dyDescent="0.15">
      <c r="B1007" s="80" t="s">
        <v>1466</v>
      </c>
    </row>
    <row r="1008" spans="2:33" x14ac:dyDescent="0.15">
      <c r="B1008" s="80" t="s">
        <v>1465</v>
      </c>
    </row>
    <row r="1009" spans="2:33" x14ac:dyDescent="0.15">
      <c r="B1009" s="80" t="s">
        <v>1464</v>
      </c>
    </row>
    <row r="1010" spans="2:33" x14ac:dyDescent="0.15">
      <c r="B1010" s="80" t="s">
        <v>1463</v>
      </c>
      <c r="AF1010" s="80"/>
      <c r="AG1010" s="80"/>
    </row>
    <row r="1011" spans="2:33" x14ac:dyDescent="0.15">
      <c r="B1011" s="80" t="s">
        <v>1462</v>
      </c>
      <c r="AE1011" s="97"/>
      <c r="AF1011" s="80"/>
      <c r="AG1011" s="80"/>
    </row>
    <row r="1012" spans="2:33" x14ac:dyDescent="0.15">
      <c r="B1012" s="80" t="s">
        <v>1461</v>
      </c>
      <c r="AF1012" s="80"/>
      <c r="AG1012" s="80"/>
    </row>
    <row r="1013" spans="2:33" x14ac:dyDescent="0.15">
      <c r="B1013" s="80" t="s">
        <v>1460</v>
      </c>
      <c r="AF1013" s="80"/>
      <c r="AG1013" s="80"/>
    </row>
    <row r="1014" spans="2:33" x14ac:dyDescent="0.15">
      <c r="B1014" s="80" t="s">
        <v>1459</v>
      </c>
      <c r="AF1014" s="80"/>
      <c r="AG1014" s="80"/>
    </row>
    <row r="1015" spans="2:33" x14ac:dyDescent="0.15">
      <c r="B1015" s="80" t="s">
        <v>1458</v>
      </c>
      <c r="AF1015" s="80"/>
      <c r="AG1015" s="80"/>
    </row>
    <row r="1016" spans="2:33" x14ac:dyDescent="0.15">
      <c r="B1016" s="80" t="s">
        <v>1457</v>
      </c>
      <c r="AF1016" s="80"/>
      <c r="AG1016" s="80"/>
    </row>
    <row r="1017" spans="2:33" x14ac:dyDescent="0.15">
      <c r="B1017" s="80" t="s">
        <v>1456</v>
      </c>
      <c r="AF1017" s="80"/>
      <c r="AG1017" s="80"/>
    </row>
    <row r="1018" spans="2:33" x14ac:dyDescent="0.15">
      <c r="B1018" s="80" t="s">
        <v>1455</v>
      </c>
      <c r="AF1018" s="80"/>
      <c r="AG1018" s="80"/>
    </row>
    <row r="1019" spans="2:33" x14ac:dyDescent="0.15">
      <c r="B1019" s="80" t="s">
        <v>1454</v>
      </c>
      <c r="AF1019" s="80"/>
      <c r="AG1019" s="80"/>
    </row>
    <row r="1020" spans="2:33" x14ac:dyDescent="0.15">
      <c r="B1020" s="80" t="s">
        <v>1453</v>
      </c>
      <c r="AF1020" s="80"/>
      <c r="AG1020" s="80"/>
    </row>
    <row r="1021" spans="2:33" x14ac:dyDescent="0.15">
      <c r="B1021" s="80" t="s">
        <v>1452</v>
      </c>
      <c r="C1021" s="81" t="s">
        <v>2145</v>
      </c>
      <c r="AF1021" s="80"/>
      <c r="AG1021" s="80"/>
    </row>
    <row r="1022" spans="2:33" x14ac:dyDescent="0.15">
      <c r="B1022" s="80" t="s">
        <v>1451</v>
      </c>
      <c r="AF1022" s="80"/>
      <c r="AG1022" s="80"/>
    </row>
    <row r="1023" spans="2:33" x14ac:dyDescent="0.15">
      <c r="B1023" s="80" t="s">
        <v>1450</v>
      </c>
      <c r="AF1023" s="80"/>
      <c r="AG1023" s="80"/>
    </row>
    <row r="1024" spans="2:33" x14ac:dyDescent="0.15">
      <c r="B1024" s="80" t="s">
        <v>1449</v>
      </c>
      <c r="AF1024" s="80"/>
      <c r="AG1024" s="80"/>
    </row>
    <row r="1025" spans="2:33" x14ac:dyDescent="0.15">
      <c r="B1025" s="80" t="s">
        <v>1448</v>
      </c>
      <c r="AF1025" s="80"/>
      <c r="AG1025" s="80"/>
    </row>
    <row r="1026" spans="2:33" x14ac:dyDescent="0.15">
      <c r="B1026" s="80" t="s">
        <v>1447</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1446</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1445</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1444</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1443</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1442</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1441</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1440</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1439</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1438</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1437</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1436</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1435</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1434</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1433</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1432</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1431</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1430</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1429</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1428</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1427</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1426</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1425</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1424</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1423</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1422</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1421</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1420</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1419</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1418</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1417</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1416</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1415</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1414</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1413</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1412</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1411</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1410</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1409</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1408</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1407</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1406</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1405</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1404</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1403</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1402</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1401</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1400</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1399</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1398</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1397</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1396</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1395</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1394</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1393</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1392</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1391</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1390</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1389</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1388</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1387</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1386</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1385</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1384</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1383</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1382</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1381</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1380</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1379</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1378</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1377</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1376</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1375</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1374</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1373</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1372</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1371</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1370</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1369</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1368</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1367</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1366</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1365</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1364</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1363</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1362</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1361</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1360</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1359</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1358</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1357</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1356</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1355</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1354</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1353</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1352</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1351</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1350</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1349</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1348</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1347</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1346</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1345</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1344</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1343</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1342</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1341</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1340</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1339</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1338</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1337</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1336</v>
      </c>
      <c r="P1138" s="80"/>
      <c r="Q1138" s="80"/>
      <c r="R1138" s="80"/>
      <c r="S1138" s="80"/>
      <c r="T1138" s="80"/>
      <c r="U1138" s="80"/>
      <c r="V1138" s="80"/>
      <c r="W1138" s="80"/>
      <c r="X1138" s="80"/>
      <c r="Y1138" s="80"/>
      <c r="Z1138" s="80"/>
      <c r="AA1138" s="80"/>
      <c r="AF1138" s="80"/>
      <c r="AG1138" s="80"/>
    </row>
    <row r="1139" spans="2:33" x14ac:dyDescent="0.15">
      <c r="B1139" s="80" t="s">
        <v>1335</v>
      </c>
      <c r="P1139" s="80"/>
      <c r="Q1139" s="80"/>
      <c r="R1139" s="80"/>
      <c r="S1139" s="80"/>
      <c r="T1139" s="80"/>
      <c r="U1139" s="80"/>
      <c r="V1139" s="80"/>
      <c r="W1139" s="80"/>
      <c r="X1139" s="80"/>
      <c r="Y1139" s="80"/>
      <c r="Z1139" s="80"/>
      <c r="AA1139" s="80"/>
      <c r="AF1139" s="80"/>
      <c r="AG1139" s="80"/>
    </row>
    <row r="1140" spans="2:33" x14ac:dyDescent="0.15">
      <c r="B1140" s="80" t="s">
        <v>1334</v>
      </c>
      <c r="P1140" s="80"/>
      <c r="Q1140" s="80"/>
      <c r="R1140" s="80"/>
      <c r="S1140" s="80"/>
      <c r="T1140" s="80"/>
      <c r="U1140" s="80"/>
      <c r="V1140" s="80"/>
      <c r="W1140" s="80"/>
      <c r="X1140" s="80"/>
      <c r="Y1140" s="80"/>
      <c r="Z1140" s="80"/>
      <c r="AA1140" s="80"/>
      <c r="AF1140" s="80"/>
      <c r="AG1140" s="80"/>
    </row>
    <row r="1141" spans="2:33" x14ac:dyDescent="0.15">
      <c r="B1141" s="80" t="s">
        <v>1333</v>
      </c>
      <c r="P1141" s="80"/>
      <c r="Q1141" s="80"/>
      <c r="R1141" s="80"/>
      <c r="S1141" s="80"/>
      <c r="T1141" s="80"/>
      <c r="U1141" s="80"/>
      <c r="V1141" s="80"/>
      <c r="W1141" s="80"/>
      <c r="X1141" s="80"/>
      <c r="Y1141" s="80"/>
      <c r="Z1141" s="80"/>
      <c r="AA1141" s="80"/>
      <c r="AF1141" s="80"/>
      <c r="AG1141" s="80"/>
    </row>
    <row r="1142" spans="2:33" x14ac:dyDescent="0.15">
      <c r="B1142" s="80" t="s">
        <v>1332</v>
      </c>
      <c r="P1142" s="80"/>
      <c r="Q1142" s="80"/>
      <c r="R1142" s="80"/>
      <c r="S1142" s="80"/>
      <c r="T1142" s="80"/>
      <c r="U1142" s="80"/>
      <c r="V1142" s="80"/>
      <c r="W1142" s="80"/>
      <c r="X1142" s="80"/>
      <c r="Y1142" s="80"/>
      <c r="Z1142" s="80"/>
      <c r="AA1142" s="80"/>
      <c r="AF1142" s="80"/>
      <c r="AG1142" s="80"/>
    </row>
    <row r="1143" spans="2:33" x14ac:dyDescent="0.15">
      <c r="B1143" s="80" t="s">
        <v>1331</v>
      </c>
      <c r="K1143" s="80" t="s">
        <v>3338</v>
      </c>
      <c r="L1143" s="80" t="s">
        <v>3338</v>
      </c>
      <c r="P1143" s="80"/>
      <c r="Q1143" s="80"/>
      <c r="R1143" s="80"/>
      <c r="S1143" s="80"/>
      <c r="T1143" s="80"/>
      <c r="U1143" s="80"/>
      <c r="V1143" s="80"/>
      <c r="W1143" s="80"/>
      <c r="X1143" s="80"/>
      <c r="Y1143" s="80"/>
      <c r="Z1143" s="80"/>
      <c r="AA1143" s="80"/>
      <c r="AF1143" s="80"/>
      <c r="AG1143" s="80"/>
    </row>
    <row r="1144" spans="2:33" x14ac:dyDescent="0.15">
      <c r="B1144" s="80" t="s">
        <v>1330</v>
      </c>
      <c r="P1144" s="80"/>
      <c r="Q1144" s="80"/>
      <c r="R1144" s="80"/>
      <c r="S1144" s="80"/>
      <c r="T1144" s="80"/>
      <c r="U1144" s="80"/>
      <c r="V1144" s="80"/>
      <c r="W1144" s="80"/>
      <c r="X1144" s="80"/>
      <c r="Y1144" s="80"/>
      <c r="Z1144" s="80"/>
      <c r="AA1144" s="80"/>
      <c r="AF1144" s="80"/>
      <c r="AG1144" s="80"/>
    </row>
    <row r="1145" spans="2:33" x14ac:dyDescent="0.15">
      <c r="B1145" s="80" t="s">
        <v>1329</v>
      </c>
      <c r="P1145" s="80"/>
      <c r="Q1145" s="80"/>
      <c r="R1145" s="80"/>
      <c r="S1145" s="80"/>
      <c r="T1145" s="80"/>
      <c r="U1145" s="80"/>
      <c r="V1145" s="80"/>
      <c r="W1145" s="80"/>
      <c r="X1145" s="80"/>
      <c r="Y1145" s="80"/>
      <c r="Z1145" s="80"/>
      <c r="AA1145" s="80"/>
      <c r="AF1145" s="80"/>
      <c r="AG1145" s="80"/>
    </row>
    <row r="1146" spans="2:33" x14ac:dyDescent="0.15">
      <c r="B1146" s="80" t="s">
        <v>1328</v>
      </c>
      <c r="P1146" s="80"/>
      <c r="Q1146" s="80"/>
      <c r="R1146" s="80"/>
      <c r="S1146" s="80"/>
      <c r="T1146" s="80"/>
      <c r="U1146" s="80"/>
      <c r="V1146" s="80"/>
      <c r="W1146" s="80"/>
      <c r="X1146" s="80"/>
      <c r="Y1146" s="80"/>
      <c r="Z1146" s="80"/>
      <c r="AA1146" s="80"/>
      <c r="AF1146" s="80"/>
      <c r="AG1146" s="80"/>
    </row>
    <row r="1147" spans="2:33" x14ac:dyDescent="0.15">
      <c r="B1147" s="80" t="s">
        <v>1327</v>
      </c>
      <c r="P1147" s="80"/>
      <c r="Q1147" s="80"/>
      <c r="R1147" s="80"/>
      <c r="S1147" s="80"/>
      <c r="T1147" s="80"/>
      <c r="U1147" s="80"/>
      <c r="V1147" s="80"/>
      <c r="W1147" s="80"/>
      <c r="X1147" s="80"/>
      <c r="Y1147" s="80"/>
      <c r="Z1147" s="80"/>
      <c r="AA1147" s="80"/>
      <c r="AF1147" s="80"/>
      <c r="AG1147" s="80"/>
    </row>
    <row r="1148" spans="2:33" x14ac:dyDescent="0.15">
      <c r="B1148" s="80" t="s">
        <v>1326</v>
      </c>
      <c r="P1148" s="80"/>
      <c r="Q1148" s="80"/>
      <c r="R1148" s="80"/>
      <c r="S1148" s="80"/>
      <c r="T1148" s="80"/>
      <c r="U1148" s="80"/>
      <c r="V1148" s="80"/>
      <c r="W1148" s="80"/>
      <c r="X1148" s="80"/>
      <c r="Y1148" s="80"/>
      <c r="Z1148" s="80"/>
      <c r="AA1148" s="80"/>
      <c r="AF1148" s="80"/>
      <c r="AG1148" s="80"/>
    </row>
    <row r="1149" spans="2:33" x14ac:dyDescent="0.15">
      <c r="B1149" s="80" t="s">
        <v>1325</v>
      </c>
      <c r="P1149" s="80"/>
      <c r="Q1149" s="80"/>
      <c r="R1149" s="80"/>
      <c r="S1149" s="80"/>
      <c r="T1149" s="80"/>
      <c r="U1149" s="80"/>
      <c r="V1149" s="80"/>
      <c r="W1149" s="80"/>
      <c r="X1149" s="80"/>
      <c r="Y1149" s="80"/>
      <c r="Z1149" s="80"/>
      <c r="AA1149" s="80"/>
      <c r="AF1149" s="80"/>
      <c r="AG1149" s="80"/>
    </row>
    <row r="1150" spans="2:33" x14ac:dyDescent="0.15">
      <c r="B1150" s="80" t="s">
        <v>1324</v>
      </c>
      <c r="P1150" s="80"/>
      <c r="Q1150" s="80"/>
      <c r="R1150" s="80"/>
      <c r="S1150" s="80"/>
      <c r="T1150" s="80"/>
      <c r="U1150" s="80"/>
      <c r="V1150" s="80"/>
      <c r="W1150" s="80"/>
      <c r="X1150" s="80"/>
      <c r="Y1150" s="80"/>
      <c r="Z1150" s="80"/>
      <c r="AA1150" s="80"/>
      <c r="AF1150" s="80"/>
      <c r="AG1150" s="80"/>
    </row>
    <row r="1151" spans="2:33" x14ac:dyDescent="0.15">
      <c r="B1151" s="80" t="s">
        <v>1323</v>
      </c>
      <c r="P1151" s="80"/>
      <c r="Q1151" s="80"/>
      <c r="R1151" s="80"/>
      <c r="S1151" s="80"/>
      <c r="T1151" s="80"/>
      <c r="U1151" s="80"/>
      <c r="V1151" s="80"/>
      <c r="W1151" s="80"/>
      <c r="X1151" s="80"/>
      <c r="Y1151" s="80"/>
      <c r="Z1151" s="80"/>
      <c r="AA1151" s="80"/>
      <c r="AF1151" s="80"/>
      <c r="AG1151" s="80"/>
    </row>
    <row r="1152" spans="2:33" x14ac:dyDescent="0.15">
      <c r="B1152" s="80" t="s">
        <v>1322</v>
      </c>
      <c r="P1152" s="80"/>
      <c r="Q1152" s="80"/>
      <c r="R1152" s="80"/>
      <c r="S1152" s="80"/>
      <c r="T1152" s="80"/>
      <c r="U1152" s="80"/>
      <c r="V1152" s="80"/>
      <c r="W1152" s="80"/>
      <c r="X1152" s="80"/>
      <c r="Y1152" s="80"/>
      <c r="Z1152" s="80"/>
      <c r="AA1152" s="80"/>
      <c r="AF1152" s="80"/>
      <c r="AG1152" s="80"/>
    </row>
    <row r="1153" spans="2:33" x14ac:dyDescent="0.15">
      <c r="B1153" s="80" t="s">
        <v>1321</v>
      </c>
      <c r="P1153" s="80"/>
      <c r="Q1153" s="80"/>
      <c r="R1153" s="80"/>
      <c r="S1153" s="80"/>
      <c r="T1153" s="80"/>
      <c r="U1153" s="80"/>
      <c r="V1153" s="80"/>
      <c r="W1153" s="80"/>
      <c r="X1153" s="80"/>
      <c r="Y1153" s="80"/>
      <c r="Z1153" s="80"/>
      <c r="AA1153" s="80"/>
      <c r="AF1153" s="80"/>
      <c r="AG1153" s="80"/>
    </row>
    <row r="1154" spans="2:33" x14ac:dyDescent="0.15">
      <c r="B1154" s="80" t="s">
        <v>1320</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1319</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1318</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1317</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1316</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1315</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1314</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1313</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1312</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1311</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1310</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1309</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1308</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1307</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1306</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4328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1305</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1304</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1303</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1302</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1301</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1300</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1299</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1298</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1297</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1296</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1295</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1294</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1293</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1292</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1291</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1290</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1289</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1288</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1287</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1286</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1285</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1284</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1283</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1282</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1281</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1280</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1279</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1278</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1277</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1276</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1275</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1274</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1273</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1272</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1271</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1270</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1269</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1268</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1267</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1266</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1265</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1264</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1263</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1262</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1261</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1260</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1259</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1258</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1257</v>
      </c>
    </row>
    <row r="1219" spans="2:33" x14ac:dyDescent="0.15">
      <c r="B1219" s="80" t="s">
        <v>1256</v>
      </c>
    </row>
    <row r="1220" spans="2:33" x14ac:dyDescent="0.15">
      <c r="B1220" s="80" t="s">
        <v>1255</v>
      </c>
    </row>
    <row r="1221" spans="2:33" x14ac:dyDescent="0.15">
      <c r="B1221" s="80" t="s">
        <v>1254</v>
      </c>
    </row>
    <row r="1222" spans="2:33" x14ac:dyDescent="0.15">
      <c r="B1222" s="80" t="s">
        <v>1253</v>
      </c>
    </row>
    <row r="1223" spans="2:33" x14ac:dyDescent="0.15">
      <c r="B1223" s="80" t="s">
        <v>4339</v>
      </c>
    </row>
    <row r="1224" spans="2:33" x14ac:dyDescent="0.15">
      <c r="B1224" s="80" t="s">
        <v>1252</v>
      </c>
    </row>
    <row r="1225" spans="2:33" x14ac:dyDescent="0.15">
      <c r="B1225" s="80" t="s">
        <v>1251</v>
      </c>
    </row>
    <row r="1226" spans="2:33" x14ac:dyDescent="0.15">
      <c r="B1226" s="80" t="s">
        <v>1250</v>
      </c>
    </row>
    <row r="1227" spans="2:33" x14ac:dyDescent="0.15">
      <c r="B1227" s="80" t="s">
        <v>1249</v>
      </c>
    </row>
    <row r="1228" spans="2:33" x14ac:dyDescent="0.15">
      <c r="B1228" s="80" t="s">
        <v>4340</v>
      </c>
    </row>
    <row r="1229" spans="2:33" x14ac:dyDescent="0.15">
      <c r="B1229" s="80" t="s">
        <v>1248</v>
      </c>
    </row>
    <row r="1230" spans="2:33" x14ac:dyDescent="0.15">
      <c r="B1230" s="80" t="s">
        <v>1247</v>
      </c>
    </row>
    <row r="1231" spans="2:33" x14ac:dyDescent="0.15">
      <c r="B1231" s="80" t="s">
        <v>1246</v>
      </c>
      <c r="AF1231" s="70">
        <v>0.149258</v>
      </c>
      <c r="AG1231" s="76">
        <v>0.11944444444444445</v>
      </c>
    </row>
    <row r="1232" spans="2:33" x14ac:dyDescent="0.15">
      <c r="B1232" s="80" t="s">
        <v>1245</v>
      </c>
    </row>
    <row r="1233" spans="2:33" x14ac:dyDescent="0.15">
      <c r="B1233" s="80" t="s">
        <v>1244</v>
      </c>
    </row>
    <row r="1234" spans="2:33" x14ac:dyDescent="0.15">
      <c r="B1234" s="80" t="s">
        <v>1243</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1242</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1241</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1240</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1239</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1238</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1237</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1236</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1235</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1234</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1233</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1232</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1231</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1230</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1229</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1228</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1227</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1226</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1225</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1224</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1223</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1222</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1221</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1220</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1219</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1218</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1217</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1216</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1215</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1214</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1213</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1212</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1211</v>
      </c>
    </row>
    <row r="1267" spans="2:35" x14ac:dyDescent="0.15">
      <c r="B1267" s="80" t="s">
        <v>1210</v>
      </c>
    </row>
    <row r="1268" spans="2:35" x14ac:dyDescent="0.15">
      <c r="B1268" s="80" t="s">
        <v>1209</v>
      </c>
    </row>
    <row r="1269" spans="2:35" x14ac:dyDescent="0.15">
      <c r="B1269" s="80" t="s">
        <v>1208</v>
      </c>
    </row>
    <row r="1270" spans="2:35" x14ac:dyDescent="0.15">
      <c r="B1270" s="80" t="s">
        <v>1207</v>
      </c>
    </row>
    <row r="1271" spans="2:35" x14ac:dyDescent="0.15">
      <c r="B1271" s="80" t="s">
        <v>161</v>
      </c>
    </row>
    <row r="1272" spans="2:35" x14ac:dyDescent="0.15">
      <c r="B1272" s="80" t="s">
        <v>1206</v>
      </c>
      <c r="AI1272" s="97"/>
    </row>
    <row r="1273" spans="2:35" x14ac:dyDescent="0.15">
      <c r="B1273" s="80" t="s">
        <v>1205</v>
      </c>
    </row>
    <row r="1274" spans="2:35" x14ac:dyDescent="0.15">
      <c r="B1274" s="80" t="s">
        <v>1204</v>
      </c>
    </row>
    <row r="1275" spans="2:35" x14ac:dyDescent="0.15">
      <c r="B1275" s="80" t="s">
        <v>1203</v>
      </c>
    </row>
    <row r="1276" spans="2:35" x14ac:dyDescent="0.15">
      <c r="B1276" s="80" t="s">
        <v>1202</v>
      </c>
    </row>
    <row r="1277" spans="2:35" x14ac:dyDescent="0.15">
      <c r="B1277" s="80" t="s">
        <v>1201</v>
      </c>
    </row>
    <row r="1278" spans="2:35" x14ac:dyDescent="0.15">
      <c r="B1278" s="80" t="s">
        <v>1200</v>
      </c>
    </row>
    <row r="1279" spans="2:35" x14ac:dyDescent="0.15">
      <c r="B1279" s="80" t="s">
        <v>1199</v>
      </c>
    </row>
    <row r="1280" spans="2:35" x14ac:dyDescent="0.15">
      <c r="B1280" s="80" t="s">
        <v>1198</v>
      </c>
    </row>
    <row r="1281" spans="2:33" x14ac:dyDescent="0.15">
      <c r="B1281" s="80" t="s">
        <v>1197</v>
      </c>
    </row>
    <row r="1282" spans="2:33" x14ac:dyDescent="0.15">
      <c r="B1282" s="80" t="s">
        <v>1196</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1195</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1194</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1193</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1192</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1191</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1190</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1189</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1188</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1187</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1186</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1185</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1184</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1183</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1182</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1181</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1180</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1179</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1178</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1177</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1176</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1175</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1174</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1173</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1172</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1171</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1170</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7579</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1169</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1168</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4304</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4308</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4317</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4319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4325</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4331</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4332</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4333</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4334</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1949</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4335</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4336</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4337</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4338</v>
      </c>
      <c r="C1337" s="81" t="s">
        <v>2145</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4342</v>
      </c>
      <c r="C1338" s="81" t="s">
        <v>4343</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4345</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4346</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4347</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4348</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4350</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4351</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4388</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4417</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4418</v>
      </c>
    </row>
    <row r="1348" spans="2:33" x14ac:dyDescent="0.15">
      <c r="B1348" s="80" t="s">
        <v>4420</v>
      </c>
    </row>
    <row r="1349" spans="2:33" x14ac:dyDescent="0.15">
      <c r="B1349" s="80" t="s">
        <v>4502</v>
      </c>
      <c r="J1349" s="80" t="s">
        <v>4504</v>
      </c>
      <c r="M1349" s="80">
        <v>2020</v>
      </c>
      <c r="AB1349" s="80" t="s">
        <v>2053</v>
      </c>
      <c r="AE1349" s="25" t="s">
        <v>4503</v>
      </c>
      <c r="AF1349" s="71"/>
      <c r="AG1349" s="66"/>
    </row>
    <row r="1350" spans="2:33" x14ac:dyDescent="0.15">
      <c r="B1350" s="80" t="s">
        <v>4881</v>
      </c>
    </row>
    <row r="1351" spans="2:33" x14ac:dyDescent="0.15">
      <c r="B1351" s="80" t="s">
        <v>4924</v>
      </c>
    </row>
    <row r="1352" spans="2:33" x14ac:dyDescent="0.15">
      <c r="B1352" s="80" t="s">
        <v>5023</v>
      </c>
    </row>
    <row r="1353" spans="2:33" x14ac:dyDescent="0.15">
      <c r="B1353" s="80" t="s">
        <v>5057</v>
      </c>
    </row>
    <row r="1354" spans="2:33" x14ac:dyDescent="0.15">
      <c r="B1354" s="80" t="s">
        <v>5059</v>
      </c>
    </row>
    <row r="1355" spans="2:33" x14ac:dyDescent="0.15">
      <c r="B1355" s="80" t="s">
        <v>5113</v>
      </c>
    </row>
    <row r="1356" spans="2:33" x14ac:dyDescent="0.15">
      <c r="B1356" s="80" t="s">
        <v>5114</v>
      </c>
    </row>
    <row r="1357" spans="2:33" x14ac:dyDescent="0.15">
      <c r="B1357" s="80" t="s">
        <v>5126</v>
      </c>
    </row>
    <row r="1358" spans="2:33" x14ac:dyDescent="0.15">
      <c r="B1358" s="80" t="s">
        <v>5138</v>
      </c>
    </row>
    <row r="1359" spans="2:33" x14ac:dyDescent="0.15">
      <c r="B1359" s="80" t="s">
        <v>5140</v>
      </c>
    </row>
    <row r="1360" spans="2:33" x14ac:dyDescent="0.15">
      <c r="B1360" s="80" t="s">
        <v>5141</v>
      </c>
    </row>
    <row r="1361" spans="2:33" x14ac:dyDescent="0.15">
      <c r="B1361" s="80" t="s">
        <v>5161</v>
      </c>
    </row>
    <row r="1362" spans="2:33" x14ac:dyDescent="0.15">
      <c r="B1362" s="80" t="s">
        <v>5162</v>
      </c>
    </row>
    <row r="1363" spans="2:33" x14ac:dyDescent="0.15">
      <c r="B1363" s="80" t="s">
        <v>5164</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5170</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5171</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5176</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5177</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5178</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5179</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5182</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5194</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5209</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5213</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5214</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5215</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5216</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5217</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5218</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5219</v>
      </c>
      <c r="AF1379" s="80"/>
      <c r="AG1379" s="80"/>
    </row>
    <row r="1380" spans="2:33" x14ac:dyDescent="0.15">
      <c r="B1380" s="80" t="s">
        <v>5220</v>
      </c>
      <c r="AF1380" s="80"/>
      <c r="AG1380" s="80"/>
    </row>
    <row r="1381" spans="2:33" x14ac:dyDescent="0.15">
      <c r="B1381" s="80" t="s">
        <v>5223</v>
      </c>
      <c r="AF1381" s="80"/>
      <c r="AG1381" s="80"/>
    </row>
    <row r="1382" spans="2:33" x14ac:dyDescent="0.15">
      <c r="B1382" s="80" t="s">
        <v>5264</v>
      </c>
      <c r="AF1382" s="80"/>
      <c r="AG1382" s="80"/>
    </row>
    <row r="1383" spans="2:33" x14ac:dyDescent="0.15">
      <c r="B1383" s="99" t="s">
        <v>5278</v>
      </c>
      <c r="AF1383" s="80"/>
      <c r="AG1383" s="80"/>
    </row>
    <row r="1384" spans="2:33" x14ac:dyDescent="0.15">
      <c r="B1384" s="99" t="s">
        <v>5340</v>
      </c>
      <c r="AF1384" s="80"/>
      <c r="AG1384" s="80"/>
    </row>
    <row r="1385" spans="2:33" x14ac:dyDescent="0.15">
      <c r="B1385" s="99" t="s">
        <v>5453</v>
      </c>
      <c r="AF1385" s="80"/>
      <c r="AG1385" s="80"/>
    </row>
    <row r="1386" spans="2:33" x14ac:dyDescent="0.15">
      <c r="B1386" s="99" t="s">
        <v>5492</v>
      </c>
      <c r="C1386" s="104" t="s">
        <v>1693</v>
      </c>
      <c r="F1386" s="82">
        <v>6.6</v>
      </c>
      <c r="J1386" s="99" t="s">
        <v>5494</v>
      </c>
      <c r="M1386" s="80">
        <v>2022</v>
      </c>
      <c r="AB1386" s="99" t="s">
        <v>2159</v>
      </c>
      <c r="AC1386" s="99"/>
      <c r="AD1386" s="99"/>
      <c r="AE1386" s="99" t="s">
        <v>5493</v>
      </c>
      <c r="AF1386" s="80"/>
      <c r="AG1386" s="80"/>
    </row>
    <row r="1387" spans="2:33" x14ac:dyDescent="0.15">
      <c r="B1387" s="99" t="s">
        <v>5495</v>
      </c>
      <c r="AB1387" s="99" t="s">
        <v>2053</v>
      </c>
      <c r="AC1387" s="99"/>
      <c r="AD1387" s="99"/>
      <c r="AE1387" s="99" t="s">
        <v>5496</v>
      </c>
      <c r="AF1387" s="80"/>
      <c r="AG1387" s="80"/>
    </row>
    <row r="1388" spans="2:33" x14ac:dyDescent="0.15">
      <c r="B1388" s="99" t="s">
        <v>5497</v>
      </c>
      <c r="C1388" s="104" t="s">
        <v>1693</v>
      </c>
      <c r="J1388" s="99" t="s">
        <v>5498</v>
      </c>
      <c r="M1388" s="80">
        <v>2021</v>
      </c>
      <c r="AB1388" s="99" t="s">
        <v>2060</v>
      </c>
      <c r="AC1388" s="99"/>
      <c r="AD1388" s="99"/>
      <c r="AE1388" s="99" t="s">
        <v>5499</v>
      </c>
      <c r="AF1388" s="80"/>
      <c r="AG1388" s="80"/>
    </row>
    <row r="1389" spans="2:33" x14ac:dyDescent="0.15">
      <c r="B1389" s="99" t="s">
        <v>5692</v>
      </c>
      <c r="AF1389" s="80"/>
      <c r="AG1389" s="80"/>
    </row>
    <row r="1390" spans="2:33" x14ac:dyDescent="0.15">
      <c r="B1390" s="99" t="s">
        <v>5836</v>
      </c>
      <c r="AF1390" s="80"/>
      <c r="AG1390" s="80"/>
    </row>
    <row r="1391" spans="2:33" x14ac:dyDescent="0.15">
      <c r="B1391" s="99" t="s">
        <v>5943</v>
      </c>
      <c r="AF1391" s="80"/>
      <c r="AG1391" s="80"/>
    </row>
    <row r="1392" spans="2:33" x14ac:dyDescent="0.15">
      <c r="B1392" s="115" t="s">
        <v>6070</v>
      </c>
      <c r="I1392" s="115" t="s">
        <v>6071</v>
      </c>
      <c r="AF1392" s="80"/>
      <c r="AG1392" s="80"/>
    </row>
    <row r="1393" spans="2:33" x14ac:dyDescent="0.15">
      <c r="B1393" s="143" t="s">
        <v>6211</v>
      </c>
      <c r="AF1393" s="80"/>
      <c r="AG1393" s="80"/>
    </row>
    <row r="1394" spans="2:33" x14ac:dyDescent="0.15">
      <c r="B1394" s="143" t="s">
        <v>6258</v>
      </c>
      <c r="AF1394" s="80"/>
      <c r="AG1394" s="80"/>
    </row>
    <row r="1395" spans="2:33" x14ac:dyDescent="0.15">
      <c r="B1395" s="143" t="s">
        <v>6261</v>
      </c>
      <c r="P1395" s="80"/>
      <c r="Q1395" s="80"/>
      <c r="R1395" s="80"/>
      <c r="S1395" s="80"/>
      <c r="T1395" s="80"/>
      <c r="U1395" s="80"/>
      <c r="V1395" s="80"/>
      <c r="W1395" s="80"/>
      <c r="X1395" s="80"/>
      <c r="Y1395" s="80"/>
      <c r="Z1395" s="80"/>
      <c r="AA1395" s="80"/>
      <c r="AF1395" s="80"/>
      <c r="AG1395" s="80"/>
    </row>
    <row r="1396" spans="2:33" x14ac:dyDescent="0.15">
      <c r="B1396" s="143" t="s">
        <v>6288</v>
      </c>
      <c r="I1396" s="143" t="s">
        <v>6289</v>
      </c>
      <c r="P1396" s="80"/>
      <c r="Q1396" s="80"/>
      <c r="R1396" s="80"/>
      <c r="S1396" s="80"/>
      <c r="T1396" s="80"/>
      <c r="U1396" s="80"/>
      <c r="V1396" s="80"/>
      <c r="W1396" s="80"/>
      <c r="X1396" s="80"/>
      <c r="Y1396" s="80"/>
      <c r="Z1396" s="80"/>
      <c r="AA1396" s="80"/>
      <c r="AF1396" s="80"/>
      <c r="AG1396" s="80"/>
    </row>
    <row r="1397" spans="2:33" x14ac:dyDescent="0.15">
      <c r="B1397" s="143" t="s">
        <v>6350</v>
      </c>
      <c r="P1397" s="80"/>
      <c r="Q1397" s="80"/>
      <c r="R1397" s="80"/>
      <c r="S1397" s="80"/>
      <c r="T1397" s="80"/>
      <c r="U1397" s="80"/>
      <c r="V1397" s="80"/>
      <c r="W1397" s="80"/>
      <c r="X1397" s="80"/>
      <c r="Y1397" s="80"/>
      <c r="Z1397" s="80"/>
      <c r="AA1397" s="80"/>
      <c r="AF1397" s="80"/>
      <c r="AG1397" s="80"/>
    </row>
    <row r="1398" spans="2:33" x14ac:dyDescent="0.15">
      <c r="B1398" s="143" t="s">
        <v>6373</v>
      </c>
      <c r="I1398" s="143" t="s">
        <v>6374</v>
      </c>
      <c r="P1398" s="80"/>
      <c r="Q1398" s="80"/>
      <c r="R1398" s="80"/>
      <c r="S1398" s="80"/>
      <c r="T1398" s="80"/>
      <c r="U1398" s="80"/>
      <c r="V1398" s="80"/>
      <c r="W1398" s="80"/>
      <c r="X1398" s="80"/>
      <c r="Y1398" s="80"/>
      <c r="Z1398" s="80"/>
      <c r="AA1398" s="80"/>
      <c r="AF1398" s="80"/>
      <c r="AG1398" s="80"/>
    </row>
    <row r="1399" spans="2:33" x14ac:dyDescent="0.15">
      <c r="B1399" s="168" t="s">
        <v>6415</v>
      </c>
      <c r="P1399" s="80"/>
      <c r="Q1399" s="80"/>
      <c r="R1399" s="80"/>
      <c r="S1399" s="80"/>
      <c r="T1399" s="80"/>
      <c r="U1399" s="80"/>
      <c r="V1399" s="80"/>
      <c r="W1399" s="80"/>
      <c r="X1399" s="80"/>
      <c r="Y1399" s="80"/>
      <c r="Z1399" s="80"/>
      <c r="AA1399" s="80"/>
      <c r="AF1399" s="80"/>
      <c r="AG1399" s="80"/>
    </row>
    <row r="1400" spans="2:33" x14ac:dyDescent="0.15">
      <c r="B1400" s="168" t="s">
        <v>6416</v>
      </c>
      <c r="P1400" s="80"/>
      <c r="Q1400" s="80"/>
      <c r="R1400" s="80"/>
      <c r="S1400" s="80"/>
      <c r="T1400" s="80"/>
      <c r="U1400" s="80"/>
      <c r="V1400" s="80"/>
      <c r="W1400" s="80"/>
      <c r="X1400" s="80"/>
      <c r="Y1400" s="80"/>
      <c r="Z1400" s="80"/>
      <c r="AA1400" s="80"/>
      <c r="AF1400" s="80"/>
      <c r="AG1400" s="80"/>
    </row>
    <row r="1401" spans="2:33" x14ac:dyDescent="0.15">
      <c r="B1401" s="168" t="s">
        <v>6418</v>
      </c>
      <c r="P1401" s="80"/>
      <c r="Q1401" s="80"/>
      <c r="R1401" s="80"/>
      <c r="S1401" s="80"/>
      <c r="T1401" s="80"/>
      <c r="U1401" s="80"/>
      <c r="V1401" s="80"/>
      <c r="W1401" s="80"/>
      <c r="X1401" s="80"/>
      <c r="Y1401" s="80"/>
      <c r="Z1401" s="80"/>
      <c r="AA1401" s="80"/>
      <c r="AF1401" s="80"/>
      <c r="AG1401" s="80"/>
    </row>
    <row r="1402" spans="2:33" x14ac:dyDescent="0.15">
      <c r="B1402" s="168" t="s">
        <v>6579</v>
      </c>
      <c r="P1402" s="80"/>
      <c r="Q1402" s="80"/>
      <c r="R1402" s="80"/>
      <c r="S1402" s="80"/>
      <c r="T1402" s="80"/>
      <c r="U1402" s="80"/>
      <c r="V1402" s="80"/>
      <c r="W1402" s="80"/>
      <c r="X1402" s="80"/>
      <c r="Y1402" s="80"/>
      <c r="Z1402" s="80"/>
      <c r="AA1402" s="80"/>
      <c r="AF1402" s="80"/>
      <c r="AG1402" s="80"/>
    </row>
    <row r="1403" spans="2:33" x14ac:dyDescent="0.15">
      <c r="B1403" s="168" t="s">
        <v>6614</v>
      </c>
      <c r="P1403" s="80"/>
      <c r="Q1403" s="80"/>
      <c r="R1403" s="80"/>
      <c r="S1403" s="80"/>
      <c r="T1403" s="80"/>
      <c r="U1403" s="80"/>
      <c r="V1403" s="80"/>
      <c r="W1403" s="80"/>
      <c r="X1403" s="80"/>
      <c r="Y1403" s="80"/>
      <c r="Z1403" s="80"/>
      <c r="AA1403" s="80"/>
      <c r="AF1403" s="80"/>
      <c r="AG1403" s="80"/>
    </row>
    <row r="1404" spans="2:33" x14ac:dyDescent="0.15">
      <c r="B1404" s="168" t="s">
        <v>6646</v>
      </c>
      <c r="I1404" s="168" t="s">
        <v>6647</v>
      </c>
      <c r="P1404" s="80"/>
      <c r="Q1404" s="80"/>
      <c r="R1404" s="80"/>
      <c r="S1404" s="80"/>
      <c r="T1404" s="80"/>
      <c r="U1404" s="80"/>
      <c r="V1404" s="80"/>
      <c r="W1404" s="80"/>
      <c r="X1404" s="80"/>
      <c r="Y1404" s="80"/>
      <c r="Z1404" s="80"/>
      <c r="AA1404" s="80"/>
      <c r="AF1404" s="80"/>
      <c r="AG1404" s="80"/>
    </row>
    <row r="1405" spans="2:33" x14ac:dyDescent="0.15">
      <c r="B1405" s="168" t="s">
        <v>6649</v>
      </c>
      <c r="P1405" s="80"/>
      <c r="Q1405" s="80"/>
      <c r="R1405" s="80"/>
      <c r="S1405" s="80"/>
      <c r="T1405" s="80"/>
      <c r="U1405" s="80"/>
      <c r="V1405" s="80"/>
      <c r="W1405" s="80"/>
      <c r="X1405" s="80"/>
      <c r="Y1405" s="80"/>
      <c r="Z1405" s="80"/>
      <c r="AA1405" s="80"/>
      <c r="AF1405" s="80"/>
      <c r="AG1405" s="80"/>
    </row>
    <row r="1406" spans="2:33" x14ac:dyDescent="0.15">
      <c r="B1406" s="192" t="s">
        <v>6740</v>
      </c>
      <c r="P1406" s="80"/>
      <c r="Q1406" s="80"/>
      <c r="R1406" s="80"/>
      <c r="S1406" s="80"/>
      <c r="T1406" s="80"/>
      <c r="U1406" s="80"/>
      <c r="V1406" s="80"/>
      <c r="W1406" s="80"/>
      <c r="X1406" s="80"/>
      <c r="Y1406" s="80"/>
      <c r="Z1406" s="80"/>
      <c r="AA1406" s="80"/>
      <c r="AF1406" s="80"/>
      <c r="AG1406" s="80"/>
    </row>
    <row r="1407" spans="2:33" x14ac:dyDescent="0.15">
      <c r="B1407" s="192" t="s">
        <v>6765</v>
      </c>
      <c r="P1407" s="80"/>
      <c r="Q1407" s="80"/>
      <c r="R1407" s="80"/>
      <c r="S1407" s="80"/>
      <c r="T1407" s="80"/>
      <c r="U1407" s="80"/>
      <c r="V1407" s="80"/>
      <c r="W1407" s="80"/>
      <c r="X1407" s="80"/>
      <c r="Y1407" s="80"/>
      <c r="Z1407" s="80"/>
      <c r="AA1407" s="80"/>
      <c r="AF1407" s="80"/>
      <c r="AG1407" s="80"/>
    </row>
    <row r="1408" spans="2:33" x14ac:dyDescent="0.15">
      <c r="B1408" s="192" t="s">
        <v>6766</v>
      </c>
      <c r="P1408" s="80"/>
      <c r="Q1408" s="80"/>
      <c r="R1408" s="80"/>
      <c r="S1408" s="80"/>
      <c r="T1408" s="80"/>
      <c r="U1408" s="80"/>
      <c r="V1408" s="80"/>
      <c r="W1408" s="80"/>
      <c r="X1408" s="80"/>
      <c r="Y1408" s="80"/>
      <c r="Z1408" s="80"/>
      <c r="AA1408" s="80"/>
      <c r="AF1408" s="80"/>
      <c r="AG1408" s="80"/>
    </row>
    <row r="1409" spans="2:33" x14ac:dyDescent="0.15">
      <c r="B1409" s="192" t="s">
        <v>6775</v>
      </c>
      <c r="P1409" s="80"/>
      <c r="Q1409" s="80"/>
      <c r="R1409" s="80"/>
      <c r="S1409" s="80"/>
      <c r="T1409" s="80"/>
      <c r="U1409" s="80"/>
      <c r="V1409" s="80"/>
      <c r="W1409" s="80"/>
      <c r="X1409" s="80"/>
      <c r="Y1409" s="80"/>
      <c r="Z1409" s="80"/>
      <c r="AA1409" s="80"/>
      <c r="AF1409" s="80"/>
      <c r="AG1409" s="80"/>
    </row>
    <row r="1410" spans="2:33" x14ac:dyDescent="0.15">
      <c r="B1410" s="192" t="s">
        <v>6808</v>
      </c>
      <c r="P1410" s="80"/>
      <c r="Q1410" s="80"/>
      <c r="R1410" s="80"/>
      <c r="S1410" s="80"/>
      <c r="T1410" s="80"/>
      <c r="U1410" s="80"/>
      <c r="V1410" s="80"/>
      <c r="W1410" s="80"/>
      <c r="X1410" s="80"/>
      <c r="Y1410" s="80"/>
      <c r="Z1410" s="80"/>
      <c r="AA1410" s="80"/>
      <c r="AF1410" s="80"/>
      <c r="AG1410" s="80"/>
    </row>
    <row r="1411" spans="2:33" x14ac:dyDescent="0.15">
      <c r="B1411" s="192" t="s">
        <v>6810</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6816</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6817</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7097</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7127</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7128</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7348</v>
      </c>
    </row>
    <row r="1418" spans="2:33" x14ac:dyDescent="0.15">
      <c r="B1418" s="80" t="s">
        <v>7349</v>
      </c>
    </row>
    <row r="1419" spans="2:33" x14ac:dyDescent="0.15">
      <c r="B1419" s="80" t="s">
        <v>7350</v>
      </c>
    </row>
    <row r="1420" spans="2:33" x14ac:dyDescent="0.15">
      <c r="B1420" s="258" t="s">
        <v>7436</v>
      </c>
    </row>
    <row r="1421" spans="2:33" x14ac:dyDescent="0.15">
      <c r="B1421" s="258" t="s">
        <v>7459</v>
      </c>
      <c r="I1421" s="258" t="s">
        <v>7460</v>
      </c>
      <c r="AE1421" s="258" t="s">
        <v>7461</v>
      </c>
    </row>
    <row r="1422" spans="2:33" x14ac:dyDescent="0.15">
      <c r="B1422" s="258" t="s">
        <v>7464</v>
      </c>
    </row>
    <row r="1423" spans="2:33" x14ac:dyDescent="0.15">
      <c r="B1423" s="258" t="s">
        <v>7465</v>
      </c>
    </row>
    <row r="1424" spans="2:33" x14ac:dyDescent="0.15">
      <c r="B1424" s="258" t="s">
        <v>7475</v>
      </c>
    </row>
    <row r="1425" spans="2:2" x14ac:dyDescent="0.15">
      <c r="B1425" s="258" t="s">
        <v>7476</v>
      </c>
    </row>
    <row r="1426" spans="2:2" x14ac:dyDescent="0.15">
      <c r="B1426" s="258" t="s">
        <v>7477</v>
      </c>
    </row>
    <row r="1427" spans="2:2" x14ac:dyDescent="0.15">
      <c r="B1427" s="258" t="s">
        <v>7506</v>
      </c>
    </row>
    <row r="1428" spans="2:2" x14ac:dyDescent="0.15">
      <c r="B1428" s="258" t="s">
        <v>7573</v>
      </c>
    </row>
    <row r="1429" spans="2:2" x14ac:dyDescent="0.15">
      <c r="B1429" s="258" t="s">
        <v>7574</v>
      </c>
    </row>
    <row r="1430" spans="2:2" x14ac:dyDescent="0.15">
      <c r="B1430" s="258" t="s">
        <v>7575</v>
      </c>
    </row>
    <row r="1431" spans="2:2" x14ac:dyDescent="0.15">
      <c r="B1431" s="258" t="s">
        <v>7576</v>
      </c>
    </row>
    <row r="1432" spans="2:2" x14ac:dyDescent="0.15">
      <c r="B1432" s="258" t="s">
        <v>7577</v>
      </c>
    </row>
    <row r="1433" spans="2:2" x14ac:dyDescent="0.15">
      <c r="B1433" s="258" t="s">
        <v>7578</v>
      </c>
    </row>
    <row r="1434" spans="2:2" x14ac:dyDescent="0.15">
      <c r="B1434" s="258" t="s">
        <v>7580</v>
      </c>
    </row>
    <row r="1435" spans="2:2" x14ac:dyDescent="0.15">
      <c r="B1435" s="258" t="s">
        <v>7581</v>
      </c>
    </row>
    <row r="1436" spans="2:2" x14ac:dyDescent="0.15">
      <c r="B1436" s="258" t="s">
        <v>7582</v>
      </c>
    </row>
    <row r="1437" spans="2:2" x14ac:dyDescent="0.15">
      <c r="B1437" s="258" t="s">
        <v>7588</v>
      </c>
    </row>
    <row r="1438" spans="2:2" x14ac:dyDescent="0.15">
      <c r="B1438" s="258" t="s">
        <v>7591</v>
      </c>
    </row>
    <row r="1439" spans="2:2" x14ac:dyDescent="0.15">
      <c r="B1439" s="258" t="s">
        <v>7592</v>
      </c>
    </row>
    <row r="1440" spans="2:2" x14ac:dyDescent="0.15">
      <c r="B1440" s="258" t="s">
        <v>7593</v>
      </c>
    </row>
    <row r="1441" spans="2:9" x14ac:dyDescent="0.15">
      <c r="B1441" s="258" t="s">
        <v>7711</v>
      </c>
      <c r="I1441" s="258" t="s">
        <v>7651</v>
      </c>
    </row>
    <row r="1442" spans="2:9" x14ac:dyDescent="0.15">
      <c r="B1442" s="258" t="s">
        <v>7733</v>
      </c>
    </row>
    <row r="1443" spans="2:9" x14ac:dyDescent="0.15">
      <c r="B1443" s="258" t="s">
        <v>7734</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4" r:id="rId10" xr:uid="{8C90E27D-4F9D-5D4E-8EA0-BE3C7413319F}"/>
    <hyperlink ref="AE33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1" r:id="rId26" xr:uid="{F6F3BAEB-0D08-9A41-AA5D-8FC4FAEE90C4}"/>
    <hyperlink ref="AE180" r:id="rId27" xr:uid="{AF414F64-2DC8-B34A-A112-4B02EDC8CC31}"/>
    <hyperlink ref="AE392" r:id="rId28" xr:uid="{1443711D-B9DB-714F-ADE4-0E99FF7F5888}"/>
    <hyperlink ref="AE34"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62" r:id="rId35" xr:uid="{78942238-C074-2F4E-993D-1790D1BAB63C}"/>
    <hyperlink ref="AE128" r:id="rId36" xr:uid="{171EBBA1-AB06-4341-B724-8DD665D29B80}"/>
    <hyperlink ref="AE9" r:id="rId37" xr:uid="{EBFFA5AE-9580-C441-8CBA-814F45F518A6}"/>
    <hyperlink ref="AE396"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90" r:id="rId46" xr:uid="{4E63B0C1-3987-4D40-9857-B61C3A4446FD}"/>
    <hyperlink ref="AE39" r:id="rId47" xr:uid="{8B81CD89-B13C-E246-A976-CBFA55B11F26}"/>
    <hyperlink ref="AE77" r:id="rId48" xr:uid="{E698049E-CA87-2440-A514-617669A5F2DE}"/>
    <hyperlink ref="AE387"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400" r:id="rId55" xr:uid="{CC40D851-813C-B745-BB91-B1FBA1A75411}"/>
    <hyperlink ref="AE372" r:id="rId56" xr:uid="{718F0717-0D80-D749-AFAC-503136FD614D}"/>
    <hyperlink ref="AE41" r:id="rId57" xr:uid="{3B3A7990-C704-2F48-8F13-639726F48493}"/>
    <hyperlink ref="AE51" r:id="rId58" xr:uid="{8D834950-57B6-1C42-9BD8-9A11223A1EE7}"/>
    <hyperlink ref="AE380" r:id="rId59" xr:uid="{6DEE1342-B5DE-8A4A-9202-3E064FA3552E}"/>
    <hyperlink ref="AE367"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14" r:id="rId67" xr:uid="{2F3CAC6A-88CD-4446-B4C7-33F81E485CD2}"/>
    <hyperlink ref="AE365" r:id="rId68" xr:uid="{B2CA3E12-3DD8-8042-A982-B5CC5EFFFF91}"/>
    <hyperlink ref="AE89" r:id="rId69" xr:uid="{6C539E22-DAF2-5E4E-9D5C-1E03772465DA}"/>
    <hyperlink ref="AE399"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44" r:id="rId115" xr:uid="{FCCC7729-ED5B-3F4E-B1A2-05F6FE381007}"/>
    <hyperlink ref="AE59"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2" r:id="rId251" xr:uid="{467F8089-B1B9-0F49-AF05-F9D8796B98B3}"/>
    <hyperlink ref="AE281" r:id="rId252" xr:uid="{47FAD4DB-533D-A141-8D7D-AA7FF92DFCF4}"/>
    <hyperlink ref="AE451"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67"/>
  <sheetViews>
    <sheetView zoomScale="130" zoomScaleNormal="130" workbookViewId="0">
      <pane xSplit="2" ySplit="2" topLeftCell="C3208" activePane="bottomRight" state="frozen"/>
      <selection pane="topRight" activeCell="C1" sqref="C1"/>
      <selection pane="bottomLeft" activeCell="A3" sqref="A3"/>
      <selection pane="bottomRight" activeCell="B3039" sqref="B3039"/>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1167</v>
      </c>
      <c r="B1" s="99"/>
      <c r="I1" s="1" t="s">
        <v>1166</v>
      </c>
      <c r="J1" s="1" t="s">
        <v>1165</v>
      </c>
      <c r="K1" s="1" t="s">
        <v>1164</v>
      </c>
    </row>
    <row r="2" spans="1:19" x14ac:dyDescent="0.15">
      <c r="B2" s="1" t="s">
        <v>1163</v>
      </c>
      <c r="C2" s="2" t="s">
        <v>1162</v>
      </c>
      <c r="D2" s="2" t="s">
        <v>1161</v>
      </c>
      <c r="E2" s="3" t="s">
        <v>1160</v>
      </c>
      <c r="F2" s="3" t="s">
        <v>1159</v>
      </c>
      <c r="G2" s="2" t="s">
        <v>1158</v>
      </c>
      <c r="I2" s="1" t="s">
        <v>1157</v>
      </c>
      <c r="J2" s="1" t="s">
        <v>1156</v>
      </c>
      <c r="K2" s="1" t="s">
        <v>1155</v>
      </c>
      <c r="L2" s="1" t="s">
        <v>1154</v>
      </c>
      <c r="M2" s="2" t="s">
        <v>278</v>
      </c>
      <c r="N2" s="2" t="s">
        <v>4</v>
      </c>
      <c r="O2" s="2" t="s">
        <v>5</v>
      </c>
      <c r="P2" s="2" t="s">
        <v>7</v>
      </c>
      <c r="Q2" s="2" t="s">
        <v>18</v>
      </c>
      <c r="R2" s="2" t="s">
        <v>1153</v>
      </c>
      <c r="S2" s="1" t="s">
        <v>1152</v>
      </c>
    </row>
    <row r="3" spans="1:19" x14ac:dyDescent="0.15">
      <c r="A3" s="1">
        <v>1</v>
      </c>
      <c r="B3" s="12" t="s">
        <v>1151</v>
      </c>
      <c r="C3" s="13" t="s">
        <v>970</v>
      </c>
      <c r="D3" s="13" t="s">
        <v>969</v>
      </c>
      <c r="E3" s="15"/>
      <c r="F3" s="15">
        <f>SUM(F4:F19)</f>
        <v>1839</v>
      </c>
      <c r="G3" s="14">
        <f>+G6</f>
        <v>44663</v>
      </c>
      <c r="I3" s="24" t="s">
        <v>1</v>
      </c>
      <c r="J3" s="13" t="s">
        <v>1</v>
      </c>
      <c r="K3" s="13" t="s">
        <v>1</v>
      </c>
    </row>
    <row r="4" spans="1:19" x14ac:dyDescent="0.15">
      <c r="B4" s="196" t="s">
        <v>7130</v>
      </c>
      <c r="C4" s="2" t="s">
        <v>7</v>
      </c>
      <c r="D4" s="2" t="s">
        <v>1150</v>
      </c>
      <c r="E4" s="3">
        <v>140</v>
      </c>
      <c r="F4" s="3">
        <v>100</v>
      </c>
      <c r="G4" s="4">
        <v>44363</v>
      </c>
      <c r="I4" s="192" t="s">
        <v>7125</v>
      </c>
      <c r="J4" s="192" t="s">
        <v>7133</v>
      </c>
    </row>
    <row r="5" spans="1:19" x14ac:dyDescent="0.15">
      <c r="B5" s="258" t="s">
        <v>7703</v>
      </c>
      <c r="C5" s="2" t="s">
        <v>4</v>
      </c>
      <c r="D5" s="2" t="s">
        <v>633</v>
      </c>
      <c r="E5" s="3">
        <v>3</v>
      </c>
      <c r="F5" s="3">
        <v>1</v>
      </c>
      <c r="G5" s="4">
        <v>44539</v>
      </c>
      <c r="I5" s="192" t="s">
        <v>7126</v>
      </c>
      <c r="J5" s="192" t="s">
        <v>7134</v>
      </c>
    </row>
    <row r="6" spans="1:19" x14ac:dyDescent="0.15">
      <c r="C6" s="2" t="s">
        <v>18</v>
      </c>
      <c r="D6" s="2" t="s">
        <v>600</v>
      </c>
      <c r="E6" s="3">
        <v>125</v>
      </c>
      <c r="F6" s="3">
        <v>50</v>
      </c>
      <c r="G6" s="4">
        <v>44663</v>
      </c>
      <c r="I6" s="192" t="s">
        <v>7129</v>
      </c>
      <c r="J6" s="192" t="s">
        <v>7135</v>
      </c>
    </row>
    <row r="7" spans="1:19" x14ac:dyDescent="0.15">
      <c r="C7" s="2" t="s">
        <v>4</v>
      </c>
      <c r="D7" s="2" t="s">
        <v>440</v>
      </c>
      <c r="E7" s="3">
        <v>7</v>
      </c>
      <c r="F7" s="3">
        <v>1.5</v>
      </c>
      <c r="G7" s="4">
        <v>44602</v>
      </c>
      <c r="I7" s="192" t="s">
        <v>7131</v>
      </c>
      <c r="J7" s="192" t="s">
        <v>7136</v>
      </c>
    </row>
    <row r="8" spans="1:19" x14ac:dyDescent="0.15">
      <c r="C8" s="2" t="s">
        <v>7</v>
      </c>
      <c r="D8" s="2" t="s">
        <v>432</v>
      </c>
      <c r="E8" s="3">
        <v>93</v>
      </c>
      <c r="F8" s="3">
        <v>83</v>
      </c>
      <c r="G8" s="4">
        <v>43018</v>
      </c>
      <c r="I8" s="192" t="s">
        <v>7132</v>
      </c>
      <c r="J8" s="192" t="s">
        <v>7137</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1048</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2114</v>
      </c>
      <c r="E17" s="3">
        <v>110</v>
      </c>
      <c r="F17" s="6">
        <v>40</v>
      </c>
      <c r="G17" s="4">
        <v>44567</v>
      </c>
      <c r="I17" s="1">
        <v>790</v>
      </c>
      <c r="J17" s="1">
        <v>790</v>
      </c>
    </row>
    <row r="18" spans="1:18" x14ac:dyDescent="0.15">
      <c r="C18" s="100" t="s">
        <v>18</v>
      </c>
      <c r="D18" s="100" t="s">
        <v>5280</v>
      </c>
      <c r="E18" s="3">
        <v>115</v>
      </c>
      <c r="F18" s="6">
        <v>100</v>
      </c>
      <c r="G18" s="4">
        <v>44469</v>
      </c>
    </row>
    <row r="19" spans="1:18" x14ac:dyDescent="0.15">
      <c r="C19" s="100" t="s">
        <v>18</v>
      </c>
      <c r="D19" s="100" t="s">
        <v>2077</v>
      </c>
      <c r="E19" s="3">
        <v>65</v>
      </c>
      <c r="F19" s="6">
        <v>35</v>
      </c>
      <c r="G19" s="4">
        <v>44644</v>
      </c>
      <c r="I19" s="1">
        <v>500</v>
      </c>
      <c r="J19" s="1">
        <v>500</v>
      </c>
    </row>
    <row r="20" spans="1:18" x14ac:dyDescent="0.15">
      <c r="G20" s="4"/>
    </row>
    <row r="21" spans="1:18" s="12" customFormat="1" x14ac:dyDescent="0.15">
      <c r="A21" s="12">
        <v>2</v>
      </c>
      <c r="B21" s="12" t="s">
        <v>1149</v>
      </c>
      <c r="C21" s="13" t="s">
        <v>970</v>
      </c>
      <c r="D21" s="13" t="s">
        <v>969</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B22" s="258" t="s">
        <v>7703</v>
      </c>
      <c r="C22" s="2" t="s">
        <v>18</v>
      </c>
      <c r="D22" s="2" t="s">
        <v>965</v>
      </c>
      <c r="E22" s="3">
        <v>450</v>
      </c>
      <c r="F22" s="3">
        <f>300/5</f>
        <v>60</v>
      </c>
      <c r="G22" s="4">
        <v>45069</v>
      </c>
    </row>
    <row r="23" spans="1:18" x14ac:dyDescent="0.15">
      <c r="C23" s="2" t="s">
        <v>1091</v>
      </c>
      <c r="D23" s="2" t="s">
        <v>965</v>
      </c>
      <c r="E23" s="3">
        <v>300</v>
      </c>
      <c r="F23" s="3">
        <v>300</v>
      </c>
      <c r="G23" s="4">
        <v>44960</v>
      </c>
    </row>
    <row r="24" spans="1:18" x14ac:dyDescent="0.15">
      <c r="C24" s="2" t="s">
        <v>8</v>
      </c>
      <c r="D24" s="2" t="s">
        <v>958</v>
      </c>
      <c r="E24" s="3">
        <v>100</v>
      </c>
      <c r="F24" s="3">
        <v>75</v>
      </c>
      <c r="G24" s="4">
        <v>45051</v>
      </c>
    </row>
    <row r="25" spans="1:18" x14ac:dyDescent="0.15">
      <c r="C25" s="2" t="s">
        <v>18</v>
      </c>
      <c r="D25" s="2" t="s">
        <v>878</v>
      </c>
      <c r="E25" s="3">
        <v>85</v>
      </c>
      <c r="F25" s="3">
        <v>6</v>
      </c>
      <c r="G25" s="4">
        <v>44417</v>
      </c>
    </row>
    <row r="26" spans="1:18" x14ac:dyDescent="0.15">
      <c r="C26" s="2" t="s">
        <v>7</v>
      </c>
      <c r="D26" s="2" t="s">
        <v>878</v>
      </c>
      <c r="E26" s="3">
        <v>35</v>
      </c>
      <c r="F26" s="3">
        <f>25/6</f>
        <v>4.166666666666667</v>
      </c>
      <c r="G26" s="4">
        <v>44293</v>
      </c>
    </row>
    <row r="27" spans="1:18" x14ac:dyDescent="0.15">
      <c r="C27" s="2" t="s">
        <v>5</v>
      </c>
      <c r="D27" s="2" t="s">
        <v>878</v>
      </c>
      <c r="E27" s="3">
        <v>12</v>
      </c>
      <c r="F27" s="3">
        <v>3</v>
      </c>
      <c r="G27" s="4">
        <v>44026</v>
      </c>
    </row>
    <row r="28" spans="1:18" x14ac:dyDescent="0.15">
      <c r="C28" s="2" t="s">
        <v>4</v>
      </c>
      <c r="D28" s="2" t="s">
        <v>878</v>
      </c>
      <c r="E28" s="3">
        <v>3.3</v>
      </c>
      <c r="F28" s="3">
        <v>1</v>
      </c>
      <c r="G28" s="4">
        <v>44026</v>
      </c>
    </row>
    <row r="29" spans="1:18" x14ac:dyDescent="0.15">
      <c r="C29" s="2" t="s">
        <v>7</v>
      </c>
      <c r="D29" s="2" t="s">
        <v>1127</v>
      </c>
      <c r="E29" s="3">
        <v>2500</v>
      </c>
      <c r="F29" s="3">
        <v>500</v>
      </c>
      <c r="G29" s="4">
        <v>44363</v>
      </c>
    </row>
    <row r="30" spans="1:18" x14ac:dyDescent="0.15">
      <c r="C30" s="2" t="s">
        <v>5</v>
      </c>
      <c r="D30" s="2" t="s">
        <v>1127</v>
      </c>
      <c r="E30" s="3">
        <v>3000</v>
      </c>
      <c r="F30" s="3">
        <f>800/4</f>
        <v>200</v>
      </c>
      <c r="G30" s="4">
        <v>43892</v>
      </c>
      <c r="H30" s="4"/>
    </row>
    <row r="31" spans="1:18" x14ac:dyDescent="0.15">
      <c r="C31" s="2" t="s">
        <v>5</v>
      </c>
      <c r="D31" s="2" t="s">
        <v>1064</v>
      </c>
      <c r="E31" s="3">
        <v>65</v>
      </c>
      <c r="F31" s="3">
        <v>10</v>
      </c>
      <c r="G31" s="4">
        <v>44984</v>
      </c>
      <c r="H31" s="4"/>
    </row>
    <row r="32" spans="1:18" x14ac:dyDescent="0.15">
      <c r="C32" s="2" t="s">
        <v>5</v>
      </c>
      <c r="D32" s="2" t="s">
        <v>995</v>
      </c>
      <c r="E32" s="3">
        <v>23</v>
      </c>
      <c r="F32" s="3">
        <v>13</v>
      </c>
      <c r="G32" s="4">
        <v>44963</v>
      </c>
      <c r="H32" s="4"/>
    </row>
    <row r="33" spans="3:10" x14ac:dyDescent="0.15">
      <c r="C33" s="2" t="s">
        <v>4</v>
      </c>
      <c r="D33" s="2" t="s">
        <v>691</v>
      </c>
      <c r="E33" s="3">
        <v>30</v>
      </c>
      <c r="F33" s="3">
        <v>15</v>
      </c>
      <c r="G33" s="4">
        <v>44742</v>
      </c>
      <c r="H33" s="4"/>
    </row>
    <row r="34" spans="3:10" x14ac:dyDescent="0.15">
      <c r="C34" s="2" t="s">
        <v>7</v>
      </c>
      <c r="D34" s="2" t="s">
        <v>872</v>
      </c>
      <c r="E34" s="3">
        <v>30</v>
      </c>
      <c r="F34" s="3">
        <v>10</v>
      </c>
      <c r="G34" s="4">
        <v>44510</v>
      </c>
      <c r="H34" s="4"/>
    </row>
    <row r="35" spans="3:10" x14ac:dyDescent="0.15">
      <c r="C35" s="2" t="s">
        <v>278</v>
      </c>
      <c r="D35" s="2" t="s">
        <v>777</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1057</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1064</v>
      </c>
      <c r="E47" s="3">
        <v>100</v>
      </c>
      <c r="F47" s="3">
        <v>15</v>
      </c>
      <c r="G47" s="4">
        <v>45106</v>
      </c>
      <c r="H47" s="4"/>
    </row>
    <row r="48" spans="3:10" x14ac:dyDescent="0.15">
      <c r="C48" s="100" t="s">
        <v>18</v>
      </c>
      <c r="D48" s="100" t="s">
        <v>2077</v>
      </c>
      <c r="E48" s="3">
        <v>65</v>
      </c>
      <c r="F48" s="3">
        <v>10</v>
      </c>
      <c r="G48" s="4">
        <v>44644</v>
      </c>
      <c r="H48" s="4"/>
      <c r="I48" s="1">
        <v>500</v>
      </c>
      <c r="J48" s="1">
        <v>500</v>
      </c>
    </row>
    <row r="49" spans="1:18" x14ac:dyDescent="0.15">
      <c r="C49" s="100" t="s">
        <v>7</v>
      </c>
      <c r="D49" s="100" t="s">
        <v>2077</v>
      </c>
      <c r="E49" s="3">
        <v>22</v>
      </c>
      <c r="F49" s="3">
        <v>12</v>
      </c>
      <c r="G49" s="4">
        <v>43944</v>
      </c>
      <c r="H49" s="4"/>
      <c r="J49" s="1">
        <v>500</v>
      </c>
    </row>
    <row r="50" spans="1:18" x14ac:dyDescent="0.15">
      <c r="G50" s="4"/>
    </row>
    <row r="51" spans="1:18" s="12" customFormat="1" x14ac:dyDescent="0.15">
      <c r="A51" s="12">
        <v>3</v>
      </c>
      <c r="B51" s="12" t="s">
        <v>7447</v>
      </c>
      <c r="C51" s="13" t="s">
        <v>970</v>
      </c>
      <c r="D51" s="13" t="s">
        <v>969</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936</v>
      </c>
      <c r="E52" s="3">
        <v>150</v>
      </c>
      <c r="F52" s="3">
        <v>90</v>
      </c>
      <c r="G52" s="4">
        <v>45008</v>
      </c>
      <c r="K52" s="99" t="s">
        <v>5964</v>
      </c>
    </row>
    <row r="53" spans="1:18" x14ac:dyDescent="0.15">
      <c r="C53" s="2" t="s">
        <v>7</v>
      </c>
      <c r="D53" s="2" t="s">
        <v>1088</v>
      </c>
      <c r="E53" s="3">
        <v>100</v>
      </c>
      <c r="F53" s="3">
        <v>85</v>
      </c>
      <c r="G53" s="4">
        <v>45042</v>
      </c>
      <c r="K53" s="99" t="s">
        <v>5965</v>
      </c>
    </row>
    <row r="54" spans="1:18" x14ac:dyDescent="0.15">
      <c r="C54" s="2" t="s">
        <v>7</v>
      </c>
      <c r="D54" s="2" t="s">
        <v>1127</v>
      </c>
      <c r="E54" s="3">
        <v>2500</v>
      </c>
      <c r="F54" s="3">
        <v>182</v>
      </c>
      <c r="G54" s="4">
        <v>44363</v>
      </c>
      <c r="K54" s="99" t="s">
        <v>5966</v>
      </c>
    </row>
    <row r="55" spans="1:18" x14ac:dyDescent="0.15">
      <c r="C55" s="2" t="s">
        <v>5</v>
      </c>
      <c r="D55" s="2" t="s">
        <v>1127</v>
      </c>
      <c r="E55" s="3">
        <v>3000</v>
      </c>
      <c r="F55" s="3">
        <f>800/4</f>
        <v>200</v>
      </c>
      <c r="G55" s="4">
        <v>43892</v>
      </c>
      <c r="K55" s="192" t="s">
        <v>7138</v>
      </c>
    </row>
    <row r="56" spans="1:18" x14ac:dyDescent="0.15">
      <c r="C56" s="2" t="s">
        <v>18</v>
      </c>
      <c r="D56" s="2" t="s">
        <v>1006</v>
      </c>
      <c r="E56" s="3">
        <v>100</v>
      </c>
      <c r="F56" s="3">
        <v>10</v>
      </c>
      <c r="G56" s="4">
        <v>44754</v>
      </c>
      <c r="K56" s="192" t="s">
        <v>7140</v>
      </c>
    </row>
    <row r="57" spans="1:18" x14ac:dyDescent="0.15">
      <c r="C57" s="2" t="s">
        <v>7</v>
      </c>
      <c r="D57" s="2" t="s">
        <v>1006</v>
      </c>
      <c r="E57" s="3">
        <v>35</v>
      </c>
      <c r="F57" s="3">
        <f>E57/2</f>
        <v>17.5</v>
      </c>
      <c r="G57" s="4">
        <v>44172</v>
      </c>
      <c r="K57" s="192" t="s">
        <v>7139</v>
      </c>
    </row>
    <row r="58" spans="1:18" x14ac:dyDescent="0.15">
      <c r="C58" s="2" t="s">
        <v>5</v>
      </c>
      <c r="D58" s="2" t="s">
        <v>1006</v>
      </c>
      <c r="E58" s="3">
        <v>20</v>
      </c>
      <c r="F58" s="3">
        <v>8</v>
      </c>
      <c r="G58" s="4">
        <v>43949</v>
      </c>
      <c r="K58" s="258" t="s">
        <v>7566</v>
      </c>
    </row>
    <row r="59" spans="1:18" x14ac:dyDescent="0.15">
      <c r="C59" s="2" t="s">
        <v>4</v>
      </c>
      <c r="D59" s="2" t="s">
        <v>1006</v>
      </c>
      <c r="E59" s="3">
        <v>5</v>
      </c>
      <c r="F59" s="3">
        <v>1</v>
      </c>
      <c r="G59" s="4">
        <v>43438</v>
      </c>
      <c r="L59" s="258" t="s">
        <v>7553</v>
      </c>
      <c r="M59" s="1"/>
      <c r="N59" s="1"/>
      <c r="O59" s="258" t="s">
        <v>7559</v>
      </c>
    </row>
    <row r="60" spans="1:18" x14ac:dyDescent="0.15">
      <c r="C60" s="2" t="s">
        <v>1118</v>
      </c>
      <c r="D60" s="2" t="s">
        <v>833</v>
      </c>
      <c r="E60" s="3">
        <v>100</v>
      </c>
      <c r="F60" s="3">
        <v>30</v>
      </c>
      <c r="G60" s="4">
        <v>44537</v>
      </c>
      <c r="L60" s="258" t="s">
        <v>7554</v>
      </c>
      <c r="M60" s="1"/>
      <c r="N60" s="1"/>
      <c r="O60" s="258" t="s">
        <v>7560</v>
      </c>
    </row>
    <row r="61" spans="1:18" x14ac:dyDescent="0.15">
      <c r="C61" s="2" t="s">
        <v>7</v>
      </c>
      <c r="D61" s="2" t="s">
        <v>833</v>
      </c>
      <c r="E61" s="3">
        <v>40</v>
      </c>
      <c r="F61" s="3">
        <v>8</v>
      </c>
      <c r="G61" s="4">
        <v>44125</v>
      </c>
      <c r="L61" s="258" t="s">
        <v>7555</v>
      </c>
      <c r="M61" s="1"/>
      <c r="N61" s="1"/>
      <c r="O61" s="258" t="s">
        <v>7561</v>
      </c>
    </row>
    <row r="62" spans="1:18" x14ac:dyDescent="0.15">
      <c r="C62" s="2" t="s">
        <v>5</v>
      </c>
      <c r="D62" s="2" t="s">
        <v>833</v>
      </c>
      <c r="E62" s="3">
        <v>20</v>
      </c>
      <c r="F62" s="3">
        <v>8</v>
      </c>
      <c r="G62" s="4">
        <v>43816</v>
      </c>
      <c r="L62" s="258" t="s">
        <v>7543</v>
      </c>
      <c r="M62" s="1"/>
      <c r="N62" s="1"/>
      <c r="O62" s="258" t="s">
        <v>7562</v>
      </c>
    </row>
    <row r="63" spans="1:18" x14ac:dyDescent="0.15">
      <c r="C63" s="2" t="s">
        <v>4</v>
      </c>
      <c r="D63" s="2" t="s">
        <v>1147</v>
      </c>
      <c r="E63" s="3">
        <v>50</v>
      </c>
      <c r="F63" s="3">
        <v>25</v>
      </c>
      <c r="G63" s="4">
        <v>45062</v>
      </c>
      <c r="L63" s="258" t="s">
        <v>7544</v>
      </c>
      <c r="M63" s="1"/>
      <c r="N63" s="1"/>
      <c r="O63" s="258" t="s">
        <v>7563</v>
      </c>
    </row>
    <row r="64" spans="1:18" x14ac:dyDescent="0.15">
      <c r="C64" s="2" t="s">
        <v>5</v>
      </c>
      <c r="D64" s="2" t="s">
        <v>1146</v>
      </c>
      <c r="E64" s="3">
        <v>19</v>
      </c>
      <c r="F64" s="3">
        <v>5</v>
      </c>
      <c r="G64" s="4">
        <v>45097</v>
      </c>
      <c r="I64" s="1">
        <v>100</v>
      </c>
      <c r="J64" s="1">
        <v>100</v>
      </c>
      <c r="L64" s="258" t="s">
        <v>7545</v>
      </c>
      <c r="M64" s="1"/>
      <c r="N64" s="1"/>
      <c r="O64" s="258" t="s">
        <v>7564</v>
      </c>
    </row>
    <row r="65" spans="3:15" x14ac:dyDescent="0.15">
      <c r="C65" s="2" t="s">
        <v>7</v>
      </c>
      <c r="D65" s="2" t="s">
        <v>908</v>
      </c>
      <c r="E65" s="3">
        <v>97.4</v>
      </c>
      <c r="F65" s="3">
        <v>50</v>
      </c>
      <c r="G65" s="4">
        <v>45041</v>
      </c>
      <c r="L65" s="258" t="s">
        <v>7547</v>
      </c>
      <c r="M65" s="1"/>
      <c r="N65" s="1"/>
      <c r="O65" s="258" t="s">
        <v>7565</v>
      </c>
    </row>
    <row r="66" spans="3:15" x14ac:dyDescent="0.15">
      <c r="C66" s="2" t="s">
        <v>5</v>
      </c>
      <c r="D66" s="2" t="s">
        <v>908</v>
      </c>
      <c r="E66" s="3">
        <v>80</v>
      </c>
      <c r="F66" s="3">
        <f>40/6</f>
        <v>6.666666666666667</v>
      </c>
      <c r="G66" s="4">
        <v>44539</v>
      </c>
      <c r="L66" s="258" t="s">
        <v>7542</v>
      </c>
      <c r="M66" s="1"/>
      <c r="N66" s="1"/>
      <c r="O66" s="1"/>
    </row>
    <row r="67" spans="3:15" x14ac:dyDescent="0.15">
      <c r="C67" s="2" t="s">
        <v>4</v>
      </c>
      <c r="D67" s="2" t="s">
        <v>908</v>
      </c>
      <c r="E67" s="3">
        <v>4.5</v>
      </c>
      <c r="F67" s="3">
        <v>4.5</v>
      </c>
      <c r="G67" s="4">
        <v>43395</v>
      </c>
      <c r="L67" s="258" t="s">
        <v>7548</v>
      </c>
      <c r="M67" s="1"/>
      <c r="N67" s="1"/>
      <c r="O67" s="258"/>
    </row>
    <row r="68" spans="3:15" x14ac:dyDescent="0.15">
      <c r="C68" s="2" t="s">
        <v>5</v>
      </c>
      <c r="D68" s="2" t="s">
        <v>698</v>
      </c>
      <c r="E68" s="3">
        <v>5.6</v>
      </c>
      <c r="F68" s="3">
        <v>3</v>
      </c>
      <c r="G68" s="4">
        <v>44292</v>
      </c>
      <c r="L68" s="258" t="s">
        <v>7549</v>
      </c>
      <c r="M68" s="1"/>
      <c r="N68" s="1"/>
      <c r="O68" s="1"/>
    </row>
    <row r="69" spans="3:15" x14ac:dyDescent="0.15">
      <c r="C69" s="2" t="s">
        <v>5</v>
      </c>
      <c r="D69" s="2" t="s">
        <v>1070</v>
      </c>
      <c r="E69" s="3">
        <v>12.5</v>
      </c>
      <c r="F69" s="3">
        <v>7</v>
      </c>
      <c r="G69" s="4">
        <v>44978</v>
      </c>
      <c r="L69" s="258" t="s">
        <v>7546</v>
      </c>
      <c r="M69" s="1"/>
      <c r="N69" s="1"/>
      <c r="O69" s="1"/>
    </row>
    <row r="70" spans="3:15" x14ac:dyDescent="0.15">
      <c r="C70" s="2" t="s">
        <v>18</v>
      </c>
      <c r="D70" s="2" t="s">
        <v>521</v>
      </c>
      <c r="E70" s="3">
        <v>60</v>
      </c>
      <c r="F70" s="3">
        <v>5</v>
      </c>
      <c r="G70" s="4">
        <v>43606</v>
      </c>
      <c r="L70" s="258" t="s">
        <v>7550</v>
      </c>
      <c r="M70" s="1"/>
      <c r="N70" s="1"/>
      <c r="O70" s="1"/>
    </row>
    <row r="71" spans="3:15" x14ac:dyDescent="0.15">
      <c r="C71" s="2" t="s">
        <v>7</v>
      </c>
      <c r="D71" s="2" t="s">
        <v>521</v>
      </c>
      <c r="E71" s="3">
        <v>30</v>
      </c>
      <c r="F71" s="3">
        <v>15</v>
      </c>
      <c r="G71" s="4">
        <v>43396</v>
      </c>
      <c r="L71" s="258" t="s">
        <v>7551</v>
      </c>
      <c r="M71" s="1"/>
      <c r="N71" s="1"/>
      <c r="O71" s="1"/>
    </row>
    <row r="72" spans="3:15" x14ac:dyDescent="0.15">
      <c r="C72" s="2" t="s">
        <v>5</v>
      </c>
      <c r="D72" s="2" t="s">
        <v>289</v>
      </c>
      <c r="E72" s="3">
        <v>30</v>
      </c>
      <c r="F72" s="3">
        <v>4</v>
      </c>
      <c r="G72" s="4">
        <v>44474</v>
      </c>
      <c r="L72" s="258" t="s">
        <v>7552</v>
      </c>
      <c r="M72" s="1"/>
      <c r="N72" s="1"/>
      <c r="O72" s="1"/>
    </row>
    <row r="73" spans="3:15" x14ac:dyDescent="0.15">
      <c r="C73" s="2" t="s">
        <v>4</v>
      </c>
      <c r="D73" s="2" t="s">
        <v>289</v>
      </c>
      <c r="E73" s="3">
        <v>15</v>
      </c>
      <c r="F73" s="3">
        <f>10/4</f>
        <v>2.5</v>
      </c>
      <c r="G73" s="4">
        <v>43775</v>
      </c>
      <c r="L73" s="258" t="s">
        <v>7556</v>
      </c>
      <c r="M73" s="1"/>
      <c r="N73" s="1"/>
      <c r="O73" s="1"/>
    </row>
    <row r="74" spans="3:15" x14ac:dyDescent="0.15">
      <c r="C74" s="2" t="s">
        <v>9</v>
      </c>
      <c r="D74" s="2" t="s">
        <v>39</v>
      </c>
      <c r="E74" s="3">
        <v>230</v>
      </c>
      <c r="F74" s="3">
        <v>24</v>
      </c>
      <c r="G74" s="4">
        <v>44984</v>
      </c>
      <c r="I74" s="1">
        <v>2000</v>
      </c>
      <c r="J74" s="1">
        <v>2000</v>
      </c>
      <c r="L74" s="258" t="s">
        <v>7557</v>
      </c>
      <c r="M74" s="1"/>
      <c r="N74" s="1"/>
      <c r="O74" s="1"/>
    </row>
    <row r="75" spans="3:15" x14ac:dyDescent="0.15">
      <c r="C75" s="2" t="s">
        <v>8</v>
      </c>
      <c r="D75" s="2" t="s">
        <v>39</v>
      </c>
      <c r="E75" s="3">
        <v>170</v>
      </c>
      <c r="F75" s="3">
        <v>60</v>
      </c>
      <c r="G75" s="4">
        <v>44255</v>
      </c>
      <c r="I75" s="1">
        <v>830</v>
      </c>
      <c r="J75" s="1">
        <v>2000</v>
      </c>
      <c r="L75" s="258" t="s">
        <v>7558</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7571</v>
      </c>
    </row>
    <row r="78" spans="3:15" x14ac:dyDescent="0.15">
      <c r="C78" s="2" t="s">
        <v>4</v>
      </c>
      <c r="D78" s="2" t="s">
        <v>39</v>
      </c>
      <c r="E78" s="3">
        <v>3</v>
      </c>
      <c r="F78" s="3">
        <v>2</v>
      </c>
      <c r="G78" s="4">
        <v>42019</v>
      </c>
      <c r="J78" s="1">
        <v>2000</v>
      </c>
      <c r="L78" s="258" t="s">
        <v>7570</v>
      </c>
    </row>
    <row r="79" spans="3:15" x14ac:dyDescent="0.15">
      <c r="C79" s="2" t="s">
        <v>9</v>
      </c>
      <c r="D79" s="2" t="s">
        <v>3</v>
      </c>
      <c r="E79" s="3">
        <v>90</v>
      </c>
      <c r="F79" s="3">
        <v>10</v>
      </c>
      <c r="G79" s="4">
        <v>44721</v>
      </c>
      <c r="I79" s="1">
        <v>2200</v>
      </c>
      <c r="J79" s="1">
        <v>2200</v>
      </c>
      <c r="L79" s="258" t="s">
        <v>7569</v>
      </c>
    </row>
    <row r="80" spans="3:15" x14ac:dyDescent="0.15">
      <c r="C80" s="2" t="s">
        <v>8</v>
      </c>
      <c r="D80" s="2" t="s">
        <v>3</v>
      </c>
      <c r="E80" s="3">
        <v>210</v>
      </c>
      <c r="F80" s="3">
        <v>33.333333333333336</v>
      </c>
      <c r="G80" s="4">
        <v>44432</v>
      </c>
      <c r="I80" s="1">
        <v>1000</v>
      </c>
      <c r="J80" s="1">
        <v>2200</v>
      </c>
      <c r="L80" s="258" t="s">
        <v>7568</v>
      </c>
    </row>
    <row r="81" spans="3:12" x14ac:dyDescent="0.15">
      <c r="C81" s="2" t="s">
        <v>7</v>
      </c>
      <c r="D81" s="2" t="s">
        <v>3</v>
      </c>
      <c r="E81" s="3">
        <v>25</v>
      </c>
      <c r="F81" s="3">
        <v>4</v>
      </c>
      <c r="G81" s="4">
        <v>43697</v>
      </c>
      <c r="J81" s="1">
        <v>2200</v>
      </c>
      <c r="L81" s="258" t="s">
        <v>7567</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2122</v>
      </c>
      <c r="E85" s="3">
        <v>175</v>
      </c>
      <c r="F85" s="3">
        <f>75/4</f>
        <v>18.75</v>
      </c>
      <c r="G85" s="4">
        <v>44511</v>
      </c>
      <c r="I85" s="1">
        <v>3400</v>
      </c>
      <c r="J85" s="1">
        <v>3400</v>
      </c>
    </row>
    <row r="86" spans="3:12" x14ac:dyDescent="0.15">
      <c r="C86" s="59" t="s">
        <v>18</v>
      </c>
      <c r="D86" s="59" t="s">
        <v>2122</v>
      </c>
      <c r="E86" s="3">
        <v>125</v>
      </c>
      <c r="F86" s="3">
        <v>35</v>
      </c>
      <c r="G86" s="4">
        <v>44126</v>
      </c>
      <c r="I86" s="1">
        <v>1100</v>
      </c>
      <c r="J86" s="1">
        <v>3400</v>
      </c>
    </row>
    <row r="87" spans="3:12" x14ac:dyDescent="0.15">
      <c r="C87" s="59" t="s">
        <v>7</v>
      </c>
      <c r="D87" s="59" t="s">
        <v>2122</v>
      </c>
      <c r="E87" s="3">
        <v>40</v>
      </c>
      <c r="F87" s="3">
        <v>3</v>
      </c>
      <c r="G87" s="4">
        <v>43720</v>
      </c>
      <c r="J87" s="1">
        <v>3400</v>
      </c>
    </row>
    <row r="88" spans="3:12" x14ac:dyDescent="0.15">
      <c r="C88" s="59" t="s">
        <v>5</v>
      </c>
      <c r="D88" s="59" t="s">
        <v>2122</v>
      </c>
      <c r="E88" s="3">
        <v>11.5</v>
      </c>
      <c r="F88" s="3">
        <v>3</v>
      </c>
      <c r="G88" s="4">
        <v>43355</v>
      </c>
      <c r="J88" s="1">
        <v>3400</v>
      </c>
    </row>
    <row r="89" spans="3:12" x14ac:dyDescent="0.15">
      <c r="C89" s="62" t="s">
        <v>8</v>
      </c>
      <c r="D89" s="62" t="s">
        <v>2114</v>
      </c>
      <c r="E89" s="3">
        <v>110</v>
      </c>
      <c r="F89" s="3">
        <f>70/4</f>
        <v>17.5</v>
      </c>
      <c r="G89" s="4">
        <v>44567</v>
      </c>
      <c r="I89" s="1">
        <v>790</v>
      </c>
      <c r="J89" s="1">
        <v>790</v>
      </c>
    </row>
    <row r="90" spans="3:12" x14ac:dyDescent="0.15">
      <c r="C90" s="62" t="s">
        <v>18</v>
      </c>
      <c r="D90" s="62" t="s">
        <v>2114</v>
      </c>
      <c r="E90" s="3">
        <v>40</v>
      </c>
      <c r="F90" s="3">
        <v>5</v>
      </c>
      <c r="G90" s="4">
        <v>44238</v>
      </c>
      <c r="J90" s="1">
        <v>790</v>
      </c>
    </row>
    <row r="91" spans="3:12" x14ac:dyDescent="0.15">
      <c r="C91" s="62" t="s">
        <v>7</v>
      </c>
      <c r="D91" s="62" t="s">
        <v>2114</v>
      </c>
      <c r="E91" s="3">
        <v>25</v>
      </c>
      <c r="F91" s="3">
        <v>10</v>
      </c>
      <c r="G91" s="4">
        <v>43865</v>
      </c>
      <c r="J91" s="1">
        <v>790</v>
      </c>
    </row>
    <row r="92" spans="3:12" x14ac:dyDescent="0.15">
      <c r="C92" s="100" t="s">
        <v>18</v>
      </c>
      <c r="D92" s="100" t="s">
        <v>2095</v>
      </c>
      <c r="E92" s="3">
        <v>80</v>
      </c>
      <c r="F92" s="3">
        <v>7</v>
      </c>
      <c r="G92" s="4">
        <v>44637</v>
      </c>
      <c r="I92" s="1">
        <v>1500</v>
      </c>
      <c r="J92" s="1">
        <v>1500</v>
      </c>
    </row>
    <row r="93" spans="3:12" x14ac:dyDescent="0.15">
      <c r="C93" s="100" t="s">
        <v>7</v>
      </c>
      <c r="D93" s="100" t="s">
        <v>2095</v>
      </c>
      <c r="E93" s="3">
        <v>50</v>
      </c>
      <c r="F93" s="3">
        <f>35/4</f>
        <v>8.75</v>
      </c>
      <c r="G93" s="4">
        <v>44286</v>
      </c>
      <c r="J93" s="1">
        <v>1500</v>
      </c>
    </row>
    <row r="94" spans="3:12" x14ac:dyDescent="0.15">
      <c r="C94" s="100" t="s">
        <v>5</v>
      </c>
      <c r="D94" s="100" t="s">
        <v>2095</v>
      </c>
      <c r="E94" s="3">
        <v>15</v>
      </c>
      <c r="F94" s="3">
        <f>E94/4</f>
        <v>3.75</v>
      </c>
      <c r="G94" s="4">
        <v>43864</v>
      </c>
      <c r="J94" s="1">
        <v>1500</v>
      </c>
    </row>
    <row r="95" spans="3:12" x14ac:dyDescent="0.15">
      <c r="C95" s="100" t="s">
        <v>4</v>
      </c>
      <c r="D95" s="100" t="s">
        <v>2095</v>
      </c>
      <c r="E95" s="3">
        <v>6</v>
      </c>
      <c r="F95" s="3">
        <v>6</v>
      </c>
      <c r="G95" s="4">
        <v>43863</v>
      </c>
      <c r="J95" s="1">
        <v>1500</v>
      </c>
    </row>
    <row r="96" spans="3:12" x14ac:dyDescent="0.15">
      <c r="C96" s="100" t="s">
        <v>7</v>
      </c>
      <c r="D96" s="100" t="s">
        <v>2074</v>
      </c>
      <c r="E96" s="3">
        <v>60</v>
      </c>
      <c r="F96" s="3">
        <v>20</v>
      </c>
      <c r="G96" s="4">
        <v>44278</v>
      </c>
    </row>
    <row r="97" spans="1:18" x14ac:dyDescent="0.15">
      <c r="C97" s="100" t="s">
        <v>5</v>
      </c>
      <c r="D97" s="100" t="s">
        <v>2074</v>
      </c>
      <c r="E97" s="3">
        <v>20</v>
      </c>
      <c r="F97" s="3">
        <v>15</v>
      </c>
      <c r="G97" s="4">
        <v>43992</v>
      </c>
    </row>
    <row r="98" spans="1:18" x14ac:dyDescent="0.15">
      <c r="C98" s="100" t="s">
        <v>4</v>
      </c>
      <c r="D98" s="100" t="s">
        <v>2074</v>
      </c>
      <c r="E98" s="3">
        <v>5</v>
      </c>
      <c r="F98" s="3">
        <v>3</v>
      </c>
      <c r="G98" s="4">
        <v>43466</v>
      </c>
    </row>
    <row r="99" spans="1:18" x14ac:dyDescent="0.15">
      <c r="C99" s="193" t="s">
        <v>4</v>
      </c>
      <c r="D99" s="193" t="s">
        <v>6821</v>
      </c>
      <c r="E99" s="3">
        <v>10</v>
      </c>
      <c r="F99" s="3">
        <v>8</v>
      </c>
      <c r="G99" s="4">
        <v>44866</v>
      </c>
      <c r="I99" s="1">
        <v>65</v>
      </c>
      <c r="J99" s="1">
        <v>350</v>
      </c>
    </row>
    <row r="100" spans="1:18" x14ac:dyDescent="0.15">
      <c r="G100" s="4"/>
    </row>
    <row r="101" spans="1:18" s="12" customFormat="1" x14ac:dyDescent="0.15">
      <c r="A101" s="12">
        <v>4</v>
      </c>
      <c r="B101" s="12" t="s">
        <v>7448</v>
      </c>
      <c r="C101" s="13" t="s">
        <v>970</v>
      </c>
      <c r="D101" s="13" t="s">
        <v>969</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804</v>
      </c>
      <c r="E102" s="3">
        <v>325</v>
      </c>
      <c r="F102" s="3">
        <v>65</v>
      </c>
      <c r="G102" s="4">
        <v>44299</v>
      </c>
    </row>
    <row r="103" spans="1:18" x14ac:dyDescent="0.15">
      <c r="B103" s="258" t="s">
        <v>7572</v>
      </c>
      <c r="C103" s="2" t="s">
        <v>8</v>
      </c>
      <c r="D103" s="2" t="s">
        <v>804</v>
      </c>
      <c r="E103" s="3">
        <v>155</v>
      </c>
      <c r="F103" s="3">
        <v>50</v>
      </c>
      <c r="G103" s="4">
        <v>44166</v>
      </c>
    </row>
    <row r="104" spans="1:18" x14ac:dyDescent="0.15">
      <c r="C104" s="2" t="s">
        <v>7</v>
      </c>
      <c r="D104" s="2" t="s">
        <v>953</v>
      </c>
      <c r="E104" s="3">
        <v>130</v>
      </c>
      <c r="F104" s="3">
        <v>60</v>
      </c>
      <c r="G104" s="4">
        <v>44607</v>
      </c>
      <c r="I104" s="99" t="s">
        <v>5971</v>
      </c>
      <c r="K104" s="1">
        <v>12700</v>
      </c>
      <c r="M104" s="99" t="s">
        <v>5963</v>
      </c>
    </row>
    <row r="105" spans="1:18" x14ac:dyDescent="0.15">
      <c r="C105" s="2" t="s">
        <v>5</v>
      </c>
      <c r="D105" s="2" t="s">
        <v>1088</v>
      </c>
      <c r="E105" s="3">
        <v>28</v>
      </c>
      <c r="F105" s="3">
        <v>6</v>
      </c>
      <c r="G105" s="4">
        <v>44649</v>
      </c>
      <c r="I105" s="99" t="s">
        <v>5974</v>
      </c>
      <c r="K105" s="1">
        <v>6700</v>
      </c>
      <c r="M105" s="258" t="s">
        <v>7583</v>
      </c>
    </row>
    <row r="106" spans="1:18" x14ac:dyDescent="0.15">
      <c r="C106" s="2" t="s">
        <v>18</v>
      </c>
      <c r="D106" s="2" t="s">
        <v>1065</v>
      </c>
      <c r="E106" s="3">
        <v>85</v>
      </c>
      <c r="F106" s="3">
        <v>55</v>
      </c>
      <c r="G106" s="4">
        <v>44501</v>
      </c>
      <c r="I106" s="99" t="s">
        <v>5970</v>
      </c>
      <c r="K106" s="1">
        <v>3750</v>
      </c>
      <c r="M106" s="260" t="s">
        <v>7667</v>
      </c>
    </row>
    <row r="107" spans="1:18" x14ac:dyDescent="0.15">
      <c r="C107" s="2" t="s">
        <v>7</v>
      </c>
      <c r="D107" s="2" t="s">
        <v>1127</v>
      </c>
      <c r="E107" s="3">
        <v>2500</v>
      </c>
      <c r="F107" s="3">
        <f>2000/11</f>
        <v>181.81818181818181</v>
      </c>
      <c r="G107" s="4">
        <v>44363</v>
      </c>
      <c r="I107" s="99" t="s">
        <v>5969</v>
      </c>
      <c r="J107" s="113">
        <v>0.09</v>
      </c>
      <c r="K107" s="1">
        <v>5000</v>
      </c>
    </row>
    <row r="108" spans="1:18" x14ac:dyDescent="0.15">
      <c r="C108" s="2" t="s">
        <v>18</v>
      </c>
      <c r="D108" s="2" t="s">
        <v>1006</v>
      </c>
      <c r="E108" s="3">
        <v>100</v>
      </c>
      <c r="F108" s="3">
        <v>10</v>
      </c>
      <c r="G108" s="4">
        <v>44754</v>
      </c>
      <c r="I108" s="99" t="s">
        <v>5972</v>
      </c>
      <c r="J108" s="19">
        <v>0.13</v>
      </c>
    </row>
    <row r="109" spans="1:18" x14ac:dyDescent="0.15">
      <c r="C109" s="2" t="s">
        <v>18</v>
      </c>
      <c r="D109" s="2" t="s">
        <v>799</v>
      </c>
      <c r="E109" s="3">
        <v>50</v>
      </c>
      <c r="F109" s="3">
        <v>25</v>
      </c>
      <c r="G109" s="4">
        <v>44496</v>
      </c>
      <c r="I109" s="99" t="s">
        <v>5973</v>
      </c>
      <c r="J109" s="19">
        <v>0.35</v>
      </c>
    </row>
    <row r="110" spans="1:18" x14ac:dyDescent="0.15">
      <c r="C110" s="2" t="s">
        <v>7</v>
      </c>
      <c r="D110" s="2" t="s">
        <v>865</v>
      </c>
      <c r="E110" s="3">
        <v>50</v>
      </c>
      <c r="F110" s="3">
        <v>7</v>
      </c>
      <c r="G110" s="4">
        <v>44628</v>
      </c>
      <c r="I110" s="99" t="s">
        <v>5975</v>
      </c>
    </row>
    <row r="111" spans="1:18" x14ac:dyDescent="0.15">
      <c r="C111" s="2" t="s">
        <v>7</v>
      </c>
      <c r="D111" s="2" t="s">
        <v>1009</v>
      </c>
      <c r="E111" s="3">
        <v>30</v>
      </c>
      <c r="F111" s="3">
        <v>12</v>
      </c>
      <c r="G111" s="4">
        <v>44539</v>
      </c>
    </row>
    <row r="112" spans="1:18" x14ac:dyDescent="0.15">
      <c r="C112" s="2" t="s">
        <v>5</v>
      </c>
      <c r="D112" s="2" t="s">
        <v>987</v>
      </c>
      <c r="E112" s="3">
        <v>25</v>
      </c>
      <c r="F112" s="3">
        <v>10</v>
      </c>
      <c r="G112" s="4">
        <v>44615</v>
      </c>
    </row>
    <row r="113" spans="3:10" x14ac:dyDescent="0.15">
      <c r="C113" s="2" t="s">
        <v>5</v>
      </c>
      <c r="D113" s="2" t="s">
        <v>670</v>
      </c>
      <c r="E113" s="3">
        <v>14</v>
      </c>
      <c r="F113" s="3">
        <v>5</v>
      </c>
      <c r="G113" s="4">
        <v>44705</v>
      </c>
    </row>
    <row r="114" spans="3:10" x14ac:dyDescent="0.15">
      <c r="C114" s="2" t="s">
        <v>18</v>
      </c>
      <c r="D114" s="2" t="s">
        <v>884</v>
      </c>
      <c r="E114" s="3">
        <v>200</v>
      </c>
      <c r="F114" s="3">
        <v>50</v>
      </c>
      <c r="G114" s="4">
        <v>44377</v>
      </c>
    </row>
    <row r="115" spans="3:10" x14ac:dyDescent="0.15">
      <c r="C115" s="2" t="s">
        <v>5</v>
      </c>
      <c r="D115" s="2" t="s">
        <v>720</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2124</v>
      </c>
      <c r="E125" s="3">
        <v>300</v>
      </c>
      <c r="F125" s="3">
        <v>50</v>
      </c>
      <c r="G125" s="4">
        <v>44300</v>
      </c>
      <c r="I125" s="1">
        <v>700</v>
      </c>
      <c r="J125" s="1">
        <v>700</v>
      </c>
    </row>
    <row r="126" spans="3:10" x14ac:dyDescent="0.15">
      <c r="C126" s="59" t="s">
        <v>8</v>
      </c>
      <c r="D126" s="59" t="s">
        <v>4926</v>
      </c>
      <c r="E126" s="3">
        <v>83</v>
      </c>
      <c r="F126" s="3">
        <v>15</v>
      </c>
      <c r="G126" s="4">
        <v>44320</v>
      </c>
      <c r="I126" s="1">
        <v>3600</v>
      </c>
      <c r="J126" s="1">
        <v>3600</v>
      </c>
    </row>
    <row r="127" spans="3:10" x14ac:dyDescent="0.15">
      <c r="C127" s="100" t="s">
        <v>18</v>
      </c>
      <c r="D127" s="100" t="s">
        <v>2106</v>
      </c>
      <c r="E127" s="3">
        <v>100</v>
      </c>
      <c r="F127" s="3">
        <v>60</v>
      </c>
      <c r="G127" s="4">
        <v>44397</v>
      </c>
    </row>
    <row r="128" spans="3:10" x14ac:dyDescent="0.15">
      <c r="C128" s="100" t="s">
        <v>18</v>
      </c>
      <c r="D128" s="100" t="s">
        <v>2095</v>
      </c>
      <c r="E128" s="3">
        <v>80</v>
      </c>
      <c r="F128" s="3">
        <v>10</v>
      </c>
      <c r="G128" s="4">
        <v>44637</v>
      </c>
      <c r="I128" s="1">
        <v>1500</v>
      </c>
      <c r="J128" s="1">
        <v>1500</v>
      </c>
    </row>
    <row r="129" spans="1:18" x14ac:dyDescent="0.15">
      <c r="C129" s="100" t="s">
        <v>7</v>
      </c>
      <c r="D129" s="100" t="s">
        <v>5491</v>
      </c>
      <c r="E129" s="3">
        <v>75</v>
      </c>
      <c r="F129" s="3">
        <v>25</v>
      </c>
      <c r="G129" s="4">
        <v>44677</v>
      </c>
    </row>
    <row r="130" spans="1:18" x14ac:dyDescent="0.15">
      <c r="C130" s="100" t="s">
        <v>5967</v>
      </c>
      <c r="D130" s="100" t="s">
        <v>0</v>
      </c>
      <c r="E130" s="3">
        <v>50</v>
      </c>
      <c r="F130" s="3">
        <v>50</v>
      </c>
      <c r="G130" s="112" t="s">
        <v>5968</v>
      </c>
    </row>
    <row r="131" spans="1:18" x14ac:dyDescent="0.15">
      <c r="C131" s="100" t="s">
        <v>18</v>
      </c>
      <c r="D131" s="100" t="s">
        <v>5700</v>
      </c>
      <c r="E131" s="3">
        <v>75</v>
      </c>
      <c r="F131" s="3">
        <v>25</v>
      </c>
      <c r="G131" s="4">
        <v>44627</v>
      </c>
    </row>
    <row r="132" spans="1:18" x14ac:dyDescent="0.15">
      <c r="G132" s="4"/>
    </row>
    <row r="133" spans="1:18" s="12" customFormat="1" x14ac:dyDescent="0.15">
      <c r="A133" s="12">
        <v>5</v>
      </c>
      <c r="B133" s="12" t="s">
        <v>1145</v>
      </c>
      <c r="C133" s="13" t="s">
        <v>970</v>
      </c>
      <c r="D133" s="13" t="s">
        <v>969</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7525</v>
      </c>
      <c r="C134" s="2" t="s">
        <v>7</v>
      </c>
      <c r="D134" s="2" t="s">
        <v>1127</v>
      </c>
      <c r="E134" s="3">
        <v>2500</v>
      </c>
      <c r="F134" s="3">
        <f>2000/11</f>
        <v>181.81818181818181</v>
      </c>
      <c r="G134" s="4">
        <v>44363</v>
      </c>
    </row>
    <row r="135" spans="1:18" x14ac:dyDescent="0.15">
      <c r="B135" s="258" t="s">
        <v>7598</v>
      </c>
      <c r="C135" s="2" t="s">
        <v>5</v>
      </c>
      <c r="D135" s="2" t="s">
        <v>1127</v>
      </c>
      <c r="E135" s="3">
        <v>3000</v>
      </c>
      <c r="F135" s="3">
        <v>500</v>
      </c>
      <c r="G135" s="4">
        <v>43892</v>
      </c>
    </row>
    <row r="136" spans="1:18" x14ac:dyDescent="0.15">
      <c r="B136" s="273" t="s">
        <v>7704</v>
      </c>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6042</v>
      </c>
      <c r="E139" s="3">
        <v>50</v>
      </c>
      <c r="F139" s="3">
        <v>7</v>
      </c>
      <c r="G139" s="4">
        <v>44670</v>
      </c>
      <c r="J139" s="1">
        <v>250</v>
      </c>
    </row>
    <row r="140" spans="1:18" x14ac:dyDescent="0.15">
      <c r="C140" s="100" t="s">
        <v>5</v>
      </c>
      <c r="D140" s="100" t="s">
        <v>6042</v>
      </c>
      <c r="E140" s="3">
        <v>12</v>
      </c>
      <c r="F140" s="3">
        <v>2</v>
      </c>
      <c r="G140" s="4">
        <v>43941</v>
      </c>
      <c r="J140" s="1">
        <v>250</v>
      </c>
    </row>
    <row r="141" spans="1:18" x14ac:dyDescent="0.15">
      <c r="G141" s="4"/>
    </row>
    <row r="142" spans="1:18" s="12" customFormat="1" x14ac:dyDescent="0.15">
      <c r="A142" s="12">
        <v>6</v>
      </c>
      <c r="B142" s="12" t="s">
        <v>1144</v>
      </c>
      <c r="C142" s="13" t="s">
        <v>970</v>
      </c>
      <c r="D142" s="13" t="s">
        <v>969</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7526</v>
      </c>
      <c r="C143" s="2" t="s">
        <v>7</v>
      </c>
      <c r="D143" s="2" t="s">
        <v>1127</v>
      </c>
      <c r="E143" s="3">
        <v>2500</v>
      </c>
      <c r="F143" s="3">
        <f>2000/11</f>
        <v>181.81818181818181</v>
      </c>
      <c r="G143" s="4">
        <v>44363</v>
      </c>
    </row>
    <row r="144" spans="1:18" x14ac:dyDescent="0.15">
      <c r="B144" s="274" t="s">
        <v>7703</v>
      </c>
      <c r="C144" s="2" t="s">
        <v>5</v>
      </c>
      <c r="D144" s="2" t="s">
        <v>1127</v>
      </c>
      <c r="E144" s="3">
        <v>3000</v>
      </c>
      <c r="F144" s="3">
        <v>500</v>
      </c>
      <c r="G144" s="4">
        <v>43892</v>
      </c>
    </row>
    <row r="145" spans="1:18" x14ac:dyDescent="0.15">
      <c r="C145" s="2" t="s">
        <v>5</v>
      </c>
      <c r="D145" s="2" t="s">
        <v>1018</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1143</v>
      </c>
      <c r="C149" s="13" t="s">
        <v>970</v>
      </c>
      <c r="D149" s="13" t="s">
        <v>969</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7597</v>
      </c>
      <c r="C150" s="2" t="s">
        <v>7</v>
      </c>
      <c r="D150" s="2" t="s">
        <v>1127</v>
      </c>
      <c r="E150" s="3">
        <v>2500</v>
      </c>
      <c r="F150" s="3">
        <f>2000/11</f>
        <v>181.81818181818181</v>
      </c>
      <c r="G150" s="4">
        <v>44363</v>
      </c>
    </row>
    <row r="151" spans="1:18" x14ac:dyDescent="0.15">
      <c r="B151" s="274" t="s">
        <v>7703</v>
      </c>
      <c r="C151" s="2" t="s">
        <v>5</v>
      </c>
      <c r="D151" s="2" t="s">
        <v>1127</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1142</v>
      </c>
      <c r="C156" s="13" t="s">
        <v>970</v>
      </c>
      <c r="D156" s="13" t="s">
        <v>969</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7527</v>
      </c>
      <c r="C157" s="2" t="s">
        <v>7</v>
      </c>
      <c r="D157" s="2" t="s">
        <v>1127</v>
      </c>
      <c r="E157" s="3">
        <v>2500</v>
      </c>
      <c r="F157" s="3">
        <f>2000/11</f>
        <v>181.81818181818181</v>
      </c>
      <c r="G157" s="4">
        <v>44363</v>
      </c>
    </row>
    <row r="158" spans="1:18" x14ac:dyDescent="0.15">
      <c r="B158" s="274" t="s">
        <v>7703</v>
      </c>
      <c r="C158" s="2" t="s">
        <v>5</v>
      </c>
      <c r="D158" s="2" t="s">
        <v>1127</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1141</v>
      </c>
      <c r="C163" s="13" t="s">
        <v>970</v>
      </c>
      <c r="D163" s="13" t="s">
        <v>969</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7597</v>
      </c>
      <c r="C164" s="2" t="s">
        <v>7</v>
      </c>
      <c r="D164" s="2" t="s">
        <v>1127</v>
      </c>
      <c r="E164" s="3">
        <v>2500</v>
      </c>
      <c r="F164" s="3">
        <f>2000/11</f>
        <v>181.81818181818181</v>
      </c>
      <c r="G164" s="4">
        <v>44363</v>
      </c>
    </row>
    <row r="165" spans="1:18" x14ac:dyDescent="0.15">
      <c r="B165" s="274" t="s">
        <v>7703</v>
      </c>
      <c r="C165" s="2" t="s">
        <v>5</v>
      </c>
      <c r="D165" s="2" t="s">
        <v>1127</v>
      </c>
      <c r="E165" s="3">
        <v>3000</v>
      </c>
      <c r="F165" s="3">
        <v>250</v>
      </c>
      <c r="G165" s="4">
        <v>43963</v>
      </c>
    </row>
    <row r="166" spans="1:18" x14ac:dyDescent="0.15">
      <c r="C166" s="2" t="s">
        <v>7</v>
      </c>
      <c r="D166" s="2" t="s">
        <v>1073</v>
      </c>
      <c r="E166" s="3">
        <v>37</v>
      </c>
      <c r="F166" s="3">
        <v>4</v>
      </c>
      <c r="G166" s="4">
        <v>44860</v>
      </c>
    </row>
    <row r="167" spans="1:18" x14ac:dyDescent="0.15">
      <c r="C167" s="2" t="s">
        <v>7</v>
      </c>
      <c r="D167" s="2" t="s">
        <v>1073</v>
      </c>
      <c r="E167" s="3">
        <v>30</v>
      </c>
      <c r="F167" s="3">
        <v>30</v>
      </c>
      <c r="G167" s="4">
        <v>44706</v>
      </c>
    </row>
    <row r="168" spans="1:18" x14ac:dyDescent="0.15">
      <c r="C168" s="2" t="s">
        <v>7</v>
      </c>
      <c r="D168" s="2" t="s">
        <v>1073</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7449</v>
      </c>
      <c r="C174" s="13" t="s">
        <v>970</v>
      </c>
      <c r="D174" s="13" t="s">
        <v>969</v>
      </c>
      <c r="F174" s="15">
        <f>SUM(F175:F211)</f>
        <v>564.19761904761913</v>
      </c>
      <c r="G174" s="14">
        <f>G182</f>
        <v>45090</v>
      </c>
      <c r="I174" s="12">
        <v>18000</v>
      </c>
      <c r="J174" s="22">
        <f>+F174/I174</f>
        <v>3.1344312169312175E-2</v>
      </c>
      <c r="K174" s="12">
        <v>2000</v>
      </c>
    </row>
    <row r="175" spans="1:18" x14ac:dyDescent="0.15">
      <c r="C175" s="2" t="s">
        <v>4</v>
      </c>
      <c r="D175" s="2" t="s">
        <v>937</v>
      </c>
      <c r="E175" s="3">
        <v>100</v>
      </c>
      <c r="F175" s="3">
        <v>25</v>
      </c>
      <c r="G175" s="4">
        <v>44846</v>
      </c>
    </row>
    <row r="176" spans="1:18" x14ac:dyDescent="0.15">
      <c r="C176" s="2" t="s">
        <v>18</v>
      </c>
      <c r="D176" s="2" t="s">
        <v>878</v>
      </c>
      <c r="E176" s="3">
        <v>85</v>
      </c>
      <c r="F176" s="3">
        <v>6</v>
      </c>
      <c r="G176" s="4">
        <v>44417</v>
      </c>
      <c r="I176" s="258" t="s">
        <v>7584</v>
      </c>
    </row>
    <row r="177" spans="3:9" x14ac:dyDescent="0.15">
      <c r="C177" s="2" t="s">
        <v>7</v>
      </c>
      <c r="D177" s="2" t="s">
        <v>878</v>
      </c>
      <c r="E177" s="3">
        <v>35</v>
      </c>
      <c r="F177" s="3">
        <v>10</v>
      </c>
      <c r="G177" s="4">
        <v>44293</v>
      </c>
      <c r="I177" s="258" t="s">
        <v>7585</v>
      </c>
    </row>
    <row r="178" spans="3:9" x14ac:dyDescent="0.15">
      <c r="C178" s="2" t="s">
        <v>18</v>
      </c>
      <c r="D178" s="2" t="s">
        <v>1044</v>
      </c>
      <c r="E178" s="3">
        <v>100</v>
      </c>
      <c r="F178" s="3">
        <v>15</v>
      </c>
      <c r="G178" s="4">
        <v>44699</v>
      </c>
      <c r="I178" s="258" t="s">
        <v>7594</v>
      </c>
    </row>
    <row r="179" spans="3:9" x14ac:dyDescent="0.15">
      <c r="C179" s="2" t="s">
        <v>7</v>
      </c>
      <c r="D179" s="2" t="s">
        <v>1044</v>
      </c>
      <c r="E179" s="3">
        <v>100</v>
      </c>
      <c r="F179" s="3">
        <f>25/3</f>
        <v>8.3333333333333339</v>
      </c>
      <c r="G179" s="4">
        <v>44286</v>
      </c>
      <c r="I179" s="258" t="s">
        <v>7586</v>
      </c>
    </row>
    <row r="180" spans="3:9" x14ac:dyDescent="0.15">
      <c r="C180" s="2" t="s">
        <v>5</v>
      </c>
      <c r="D180" s="2" t="s">
        <v>1064</v>
      </c>
      <c r="E180" s="3">
        <v>65</v>
      </c>
      <c r="F180" s="3">
        <v>35</v>
      </c>
      <c r="G180" s="4">
        <v>44984</v>
      </c>
      <c r="I180" s="258" t="s">
        <v>7587</v>
      </c>
    </row>
    <row r="181" spans="3:9" x14ac:dyDescent="0.15">
      <c r="C181" s="2" t="s">
        <v>7</v>
      </c>
      <c r="D181" s="2" t="s">
        <v>1012</v>
      </c>
      <c r="E181" s="3">
        <v>43</v>
      </c>
      <c r="F181" s="3">
        <v>13</v>
      </c>
      <c r="G181" s="4">
        <v>44978</v>
      </c>
      <c r="I181" s="258" t="s">
        <v>7589</v>
      </c>
    </row>
    <row r="182" spans="3:9" x14ac:dyDescent="0.15">
      <c r="C182" s="2" t="s">
        <v>4</v>
      </c>
      <c r="D182" s="2" t="s">
        <v>706</v>
      </c>
      <c r="E182" s="3">
        <v>113</v>
      </c>
      <c r="F182" s="3">
        <v>19</v>
      </c>
      <c r="G182" s="4">
        <v>45090</v>
      </c>
      <c r="I182" s="258" t="s">
        <v>7596</v>
      </c>
    </row>
    <row r="183" spans="3:9" x14ac:dyDescent="0.15">
      <c r="C183" s="2" t="s">
        <v>5</v>
      </c>
      <c r="D183" s="2" t="s">
        <v>683</v>
      </c>
      <c r="E183" s="3">
        <v>15</v>
      </c>
      <c r="F183" s="3">
        <v>3</v>
      </c>
      <c r="G183" s="4">
        <v>44838</v>
      </c>
      <c r="I183" s="258" t="s">
        <v>7590</v>
      </c>
    </row>
    <row r="184" spans="3:9" x14ac:dyDescent="0.15">
      <c r="C184" s="2" t="s">
        <v>18</v>
      </c>
      <c r="D184" s="2" t="s">
        <v>884</v>
      </c>
      <c r="E184" s="3">
        <v>200</v>
      </c>
      <c r="F184" s="3">
        <v>20</v>
      </c>
      <c r="G184" s="4">
        <v>44377</v>
      </c>
      <c r="I184" s="258" t="s">
        <v>7595</v>
      </c>
    </row>
    <row r="185" spans="3:9" x14ac:dyDescent="0.15">
      <c r="C185" s="2" t="s">
        <v>7</v>
      </c>
      <c r="D185" s="2" t="s">
        <v>884</v>
      </c>
      <c r="E185" s="3">
        <v>75</v>
      </c>
      <c r="F185" s="3">
        <v>5</v>
      </c>
      <c r="G185" s="4">
        <v>43783</v>
      </c>
      <c r="I185" s="258" t="s">
        <v>7599</v>
      </c>
    </row>
    <row r="186" spans="3:9" x14ac:dyDescent="0.15">
      <c r="C186" s="2" t="s">
        <v>5</v>
      </c>
      <c r="D186" s="2" t="s">
        <v>884</v>
      </c>
      <c r="E186" s="3">
        <v>30</v>
      </c>
      <c r="F186" s="3">
        <v>10</v>
      </c>
      <c r="G186" s="4">
        <v>43573</v>
      </c>
      <c r="I186" s="258" t="s">
        <v>7600</v>
      </c>
    </row>
    <row r="187" spans="3:9" x14ac:dyDescent="0.15">
      <c r="C187" s="2" t="s">
        <v>4</v>
      </c>
      <c r="D187" s="2" t="s">
        <v>1018</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1064</v>
      </c>
      <c r="E209" s="3">
        <v>100</v>
      </c>
      <c r="F209" s="3">
        <f>60/4</f>
        <v>15</v>
      </c>
      <c r="G209" s="4">
        <v>45106</v>
      </c>
      <c r="I209" s="5"/>
      <c r="J209" s="5"/>
    </row>
    <row r="210" spans="1:11" x14ac:dyDescent="0.15">
      <c r="C210" s="2" t="s">
        <v>8</v>
      </c>
      <c r="D210" s="2" t="s">
        <v>2141</v>
      </c>
      <c r="E210" s="3">
        <v>200</v>
      </c>
      <c r="F210" s="3">
        <v>20</v>
      </c>
      <c r="G210" s="4">
        <v>44237</v>
      </c>
      <c r="I210" s="5"/>
      <c r="J210" s="5"/>
    </row>
    <row r="211" spans="1:11" x14ac:dyDescent="0.15">
      <c r="C211" s="169" t="s">
        <v>7</v>
      </c>
      <c r="D211" s="169" t="s">
        <v>2041</v>
      </c>
      <c r="E211" s="3">
        <v>25</v>
      </c>
      <c r="F211" s="3">
        <v>7</v>
      </c>
      <c r="G211" s="4">
        <v>43528</v>
      </c>
      <c r="I211" s="5"/>
      <c r="J211" s="5"/>
    </row>
    <row r="212" spans="1:11" x14ac:dyDescent="0.15">
      <c r="G212" s="4"/>
    </row>
    <row r="213" spans="1:11" x14ac:dyDescent="0.15">
      <c r="A213" s="1">
        <v>11</v>
      </c>
      <c r="B213" s="12" t="s">
        <v>7450</v>
      </c>
      <c r="C213" s="13" t="s">
        <v>970</v>
      </c>
      <c r="D213" s="13" t="s">
        <v>969</v>
      </c>
      <c r="E213" s="15"/>
      <c r="F213" s="15">
        <f>SUM(F214:F243)</f>
        <v>486.16666666666669</v>
      </c>
      <c r="G213" s="14">
        <f>G231</f>
        <v>45041</v>
      </c>
      <c r="I213" s="1">
        <v>70000</v>
      </c>
      <c r="J213" s="20">
        <f>+F213/I213</f>
        <v>6.9452380952380955E-3</v>
      </c>
      <c r="K213" s="1">
        <v>1999</v>
      </c>
    </row>
    <row r="214" spans="1:11" x14ac:dyDescent="0.15">
      <c r="B214" s="258" t="s">
        <v>7528</v>
      </c>
      <c r="C214" s="2" t="s">
        <v>9</v>
      </c>
      <c r="D214" s="2" t="s">
        <v>804</v>
      </c>
      <c r="E214" s="3">
        <v>325</v>
      </c>
      <c r="F214" s="3">
        <v>18.5</v>
      </c>
      <c r="G214" s="4">
        <v>44299</v>
      </c>
    </row>
    <row r="215" spans="1:11" x14ac:dyDescent="0.15">
      <c r="B215" s="273" t="s">
        <v>7704</v>
      </c>
      <c r="C215" s="2" t="s">
        <v>18</v>
      </c>
      <c r="D215" s="2" t="s">
        <v>804</v>
      </c>
      <c r="E215" s="3">
        <v>100</v>
      </c>
      <c r="F215" s="3">
        <f>65/5</f>
        <v>13</v>
      </c>
      <c r="G215" s="4">
        <v>43682</v>
      </c>
      <c r="I215" s="258" t="s">
        <v>7668</v>
      </c>
    </row>
    <row r="216" spans="1:11" x14ac:dyDescent="0.15">
      <c r="C216" s="2" t="s">
        <v>4</v>
      </c>
      <c r="D216" s="2" t="s">
        <v>937</v>
      </c>
      <c r="E216" s="3">
        <v>100</v>
      </c>
      <c r="F216" s="3">
        <v>25</v>
      </c>
      <c r="G216" s="4">
        <v>44846</v>
      </c>
      <c r="I216" s="258" t="s">
        <v>7609</v>
      </c>
    </row>
    <row r="217" spans="1:11" x14ac:dyDescent="0.15">
      <c r="C217" s="2" t="s">
        <v>18</v>
      </c>
      <c r="D217" s="2" t="s">
        <v>927</v>
      </c>
      <c r="E217" s="3">
        <v>100</v>
      </c>
      <c r="F217" s="3">
        <v>9</v>
      </c>
      <c r="G217" s="4">
        <v>44690</v>
      </c>
      <c r="I217" s="1" t="s">
        <v>4326</v>
      </c>
      <c r="J217" s="1" t="s">
        <v>4327</v>
      </c>
    </row>
    <row r="218" spans="1:11" x14ac:dyDescent="0.15">
      <c r="C218" s="2" t="s">
        <v>5</v>
      </c>
      <c r="D218" s="2" t="s">
        <v>764</v>
      </c>
      <c r="E218" s="3">
        <v>125</v>
      </c>
      <c r="F218" s="3">
        <v>15</v>
      </c>
      <c r="G218" s="4">
        <v>44852</v>
      </c>
      <c r="I218" s="258" t="s">
        <v>7610</v>
      </c>
    </row>
    <row r="219" spans="1:11" x14ac:dyDescent="0.15">
      <c r="C219" s="2" t="s">
        <v>18</v>
      </c>
      <c r="D219" s="2" t="s">
        <v>963</v>
      </c>
      <c r="E219" s="3">
        <v>135</v>
      </c>
      <c r="F219" s="3">
        <v>25</v>
      </c>
      <c r="G219" s="4">
        <v>44500</v>
      </c>
      <c r="I219" s="258" t="s">
        <v>7611</v>
      </c>
    </row>
    <row r="220" spans="1:11" x14ac:dyDescent="0.15">
      <c r="C220" s="2" t="s">
        <v>7</v>
      </c>
      <c r="D220" s="2" t="s">
        <v>963</v>
      </c>
      <c r="E220" s="3">
        <v>45</v>
      </c>
      <c r="F220" s="3">
        <v>10</v>
      </c>
      <c r="G220" s="4">
        <v>44228</v>
      </c>
      <c r="I220" s="1" t="s">
        <v>7612</v>
      </c>
    </row>
    <row r="221" spans="1:11" x14ac:dyDescent="0.15">
      <c r="C221" s="2" t="s">
        <v>18</v>
      </c>
      <c r="D221" s="2" t="s">
        <v>958</v>
      </c>
      <c r="E221" s="3">
        <v>50</v>
      </c>
      <c r="F221" s="3">
        <v>6</v>
      </c>
      <c r="G221" s="4">
        <v>44900</v>
      </c>
    </row>
    <row r="222" spans="1:11" x14ac:dyDescent="0.15">
      <c r="C222" s="2" t="s">
        <v>7</v>
      </c>
      <c r="D222" s="2" t="s">
        <v>958</v>
      </c>
      <c r="E222" s="3">
        <v>35</v>
      </c>
      <c r="F222" s="3">
        <v>20</v>
      </c>
      <c r="G222" s="4">
        <v>44543</v>
      </c>
    </row>
    <row r="223" spans="1:11" x14ac:dyDescent="0.15">
      <c r="C223" s="2" t="s">
        <v>18</v>
      </c>
      <c r="D223" s="2" t="s">
        <v>799</v>
      </c>
      <c r="E223" s="3">
        <v>50</v>
      </c>
      <c r="F223" s="3">
        <v>8</v>
      </c>
      <c r="G223" s="4">
        <v>44496</v>
      </c>
    </row>
    <row r="224" spans="1:11" x14ac:dyDescent="0.15">
      <c r="C224" s="2" t="s">
        <v>7</v>
      </c>
      <c r="D224" s="2" t="s">
        <v>799</v>
      </c>
      <c r="E224" s="3">
        <v>22</v>
      </c>
      <c r="F224" s="3">
        <v>12</v>
      </c>
      <c r="G224" s="4">
        <v>44153</v>
      </c>
    </row>
    <row r="225" spans="3:10" x14ac:dyDescent="0.15">
      <c r="C225" s="2" t="s">
        <v>7</v>
      </c>
      <c r="D225" s="2" t="s">
        <v>865</v>
      </c>
      <c r="E225" s="3">
        <v>50</v>
      </c>
      <c r="F225" s="3">
        <v>7</v>
      </c>
      <c r="G225" s="4">
        <v>44628</v>
      </c>
    </row>
    <row r="226" spans="3:10" x14ac:dyDescent="0.15">
      <c r="C226" s="2" t="s">
        <v>7</v>
      </c>
      <c r="D226" s="2" t="s">
        <v>1012</v>
      </c>
      <c r="E226" s="3">
        <v>43</v>
      </c>
      <c r="F226" s="3">
        <v>6</v>
      </c>
      <c r="G226" s="4">
        <v>44978</v>
      </c>
    </row>
    <row r="227" spans="3:10" x14ac:dyDescent="0.15">
      <c r="C227" s="2" t="s">
        <v>5</v>
      </c>
      <c r="D227" s="2" t="s">
        <v>1012</v>
      </c>
      <c r="E227" s="3">
        <v>26</v>
      </c>
      <c r="F227" s="3">
        <v>13</v>
      </c>
      <c r="G227" s="4">
        <v>44453</v>
      </c>
    </row>
    <row r="228" spans="3:10" x14ac:dyDescent="0.15">
      <c r="C228" s="2" t="s">
        <v>7</v>
      </c>
      <c r="D228" s="2" t="s">
        <v>895</v>
      </c>
      <c r="E228" s="3">
        <v>40</v>
      </c>
      <c r="F228" s="3">
        <v>20</v>
      </c>
      <c r="G228" s="4">
        <v>44728</v>
      </c>
    </row>
    <row r="229" spans="3:10" x14ac:dyDescent="0.15">
      <c r="C229" s="2" t="s">
        <v>7</v>
      </c>
      <c r="D229" s="2" t="s">
        <v>872</v>
      </c>
      <c r="E229" s="3">
        <v>30</v>
      </c>
      <c r="F229" s="3">
        <f>20/3</f>
        <v>6.666666666666667</v>
      </c>
      <c r="G229" s="4">
        <v>44510</v>
      </c>
    </row>
    <row r="230" spans="3:10" x14ac:dyDescent="0.15">
      <c r="C230" s="2" t="s">
        <v>5</v>
      </c>
      <c r="D230" s="2" t="s">
        <v>872</v>
      </c>
      <c r="E230" s="3">
        <v>21.4</v>
      </c>
      <c r="F230" s="3">
        <v>5</v>
      </c>
      <c r="G230" s="4">
        <v>44232</v>
      </c>
    </row>
    <row r="231" spans="3:10" x14ac:dyDescent="0.15">
      <c r="C231" s="2" t="s">
        <v>7</v>
      </c>
      <c r="D231" s="2" t="s">
        <v>908</v>
      </c>
      <c r="E231" s="3">
        <v>97.4</v>
      </c>
      <c r="F231" s="3">
        <f>47/6</f>
        <v>7.833333333333333</v>
      </c>
      <c r="G231" s="4">
        <v>45041</v>
      </c>
    </row>
    <row r="232" spans="3:10" x14ac:dyDescent="0.15">
      <c r="C232" s="2" t="s">
        <v>7</v>
      </c>
      <c r="D232" s="2" t="s">
        <v>908</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2122</v>
      </c>
      <c r="E237" s="3">
        <v>175</v>
      </c>
      <c r="F237" s="3">
        <v>50</v>
      </c>
      <c r="G237" s="4">
        <v>44511</v>
      </c>
      <c r="I237" s="1">
        <v>3400</v>
      </c>
      <c r="J237" s="1">
        <v>3400</v>
      </c>
    </row>
    <row r="238" spans="3:10" x14ac:dyDescent="0.15">
      <c r="C238" s="62" t="s">
        <v>53</v>
      </c>
      <c r="D238" s="62" t="s">
        <v>5044</v>
      </c>
      <c r="E238" s="3">
        <v>100</v>
      </c>
      <c r="F238" s="3">
        <f>70/5</f>
        <v>14</v>
      </c>
      <c r="G238" s="4">
        <v>44474</v>
      </c>
    </row>
    <row r="239" spans="3:10" x14ac:dyDescent="0.15">
      <c r="C239" s="62" t="s">
        <v>9</v>
      </c>
      <c r="D239" s="62" t="s">
        <v>5044</v>
      </c>
      <c r="E239" s="3">
        <v>43</v>
      </c>
      <c r="F239" s="3">
        <f>23/3</f>
        <v>7.666666666666667</v>
      </c>
      <c r="G239" s="4">
        <v>43992</v>
      </c>
    </row>
    <row r="240" spans="3:10" x14ac:dyDescent="0.15">
      <c r="C240" s="62" t="s">
        <v>8</v>
      </c>
      <c r="D240" s="62" t="s">
        <v>5044</v>
      </c>
      <c r="E240" s="3">
        <v>40</v>
      </c>
      <c r="F240" s="3">
        <v>20</v>
      </c>
      <c r="G240" s="4">
        <v>43320</v>
      </c>
      <c r="I240" s="1">
        <v>210</v>
      </c>
      <c r="J240" s="1">
        <v>210</v>
      </c>
    </row>
    <row r="241" spans="1:11" x14ac:dyDescent="0.15">
      <c r="C241" s="62" t="s">
        <v>18</v>
      </c>
      <c r="D241" s="62" t="s">
        <v>5044</v>
      </c>
      <c r="E241" s="3">
        <v>27</v>
      </c>
      <c r="F241" s="3">
        <v>10</v>
      </c>
      <c r="G241" s="4">
        <v>42851</v>
      </c>
      <c r="J241" s="1">
        <v>210</v>
      </c>
    </row>
    <row r="242" spans="1:11" x14ac:dyDescent="0.15">
      <c r="C242" s="169" t="s">
        <v>7</v>
      </c>
      <c r="D242" s="169" t="s">
        <v>2041</v>
      </c>
      <c r="E242" s="3">
        <v>25</v>
      </c>
      <c r="F242" s="3">
        <v>7</v>
      </c>
      <c r="G242" s="4">
        <v>43528</v>
      </c>
    </row>
    <row r="243" spans="1:11" x14ac:dyDescent="0.15">
      <c r="C243" s="184" t="s">
        <v>5</v>
      </c>
      <c r="D243" s="184" t="s">
        <v>2036</v>
      </c>
      <c r="E243" s="3">
        <v>24</v>
      </c>
      <c r="F243" s="3">
        <f>E243/2</f>
        <v>12</v>
      </c>
      <c r="G243" s="4">
        <v>44719</v>
      </c>
    </row>
    <row r="244" spans="1:11" x14ac:dyDescent="0.15">
      <c r="G244" s="4"/>
      <c r="I244" s="12"/>
      <c r="J244" s="12"/>
      <c r="K244" s="12"/>
    </row>
    <row r="245" spans="1:11" x14ac:dyDescent="0.15">
      <c r="A245" s="1">
        <v>12</v>
      </c>
      <c r="B245" s="12" t="s">
        <v>7451</v>
      </c>
      <c r="C245" s="13" t="s">
        <v>970</v>
      </c>
      <c r="D245" s="13" t="s">
        <v>969</v>
      </c>
      <c r="E245" s="15"/>
      <c r="F245" s="15">
        <f>SUM(F246:F272)</f>
        <v>467.58500000000004</v>
      </c>
      <c r="G245" s="14">
        <f>G249</f>
        <v>45062</v>
      </c>
      <c r="I245" s="1">
        <v>8600</v>
      </c>
      <c r="J245" s="21">
        <f>+F245/I245</f>
        <v>5.4370348837209308E-2</v>
      </c>
      <c r="K245" s="1">
        <v>2000</v>
      </c>
    </row>
    <row r="246" spans="1:11" x14ac:dyDescent="0.15">
      <c r="B246" s="274" t="s">
        <v>7703</v>
      </c>
      <c r="C246" s="2" t="s">
        <v>7</v>
      </c>
      <c r="D246" s="2" t="s">
        <v>950</v>
      </c>
      <c r="E246" s="3">
        <v>350</v>
      </c>
      <c r="F246" s="3">
        <v>75</v>
      </c>
      <c r="G246" s="4">
        <v>44999</v>
      </c>
    </row>
    <row r="247" spans="1:11" x14ac:dyDescent="0.15">
      <c r="C247" s="2" t="s">
        <v>18</v>
      </c>
      <c r="D247" s="2" t="s">
        <v>1044</v>
      </c>
      <c r="E247" s="3">
        <v>100</v>
      </c>
      <c r="F247" s="3">
        <v>15</v>
      </c>
      <c r="G247" s="4">
        <v>44699</v>
      </c>
    </row>
    <row r="248" spans="1:11" x14ac:dyDescent="0.15">
      <c r="C248" s="2" t="s">
        <v>7</v>
      </c>
      <c r="D248" s="2" t="s">
        <v>1044</v>
      </c>
      <c r="E248" s="3">
        <v>40</v>
      </c>
      <c r="F248" s="3">
        <v>15</v>
      </c>
      <c r="G248" s="4">
        <v>44286</v>
      </c>
    </row>
    <row r="249" spans="1:11" x14ac:dyDescent="0.15">
      <c r="C249" s="2" t="s">
        <v>4</v>
      </c>
      <c r="D249" s="2" t="s">
        <v>1131</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2122</v>
      </c>
      <c r="E262" s="3">
        <v>175</v>
      </c>
      <c r="F262" s="3">
        <f>75/4</f>
        <v>18.75</v>
      </c>
      <c r="G262" s="4">
        <v>44511</v>
      </c>
      <c r="I262" s="1">
        <v>3400</v>
      </c>
      <c r="J262" s="1">
        <v>3400</v>
      </c>
    </row>
    <row r="263" spans="3:10" x14ac:dyDescent="0.15">
      <c r="C263" s="59" t="s">
        <v>18</v>
      </c>
      <c r="D263" s="59" t="s">
        <v>2122</v>
      </c>
      <c r="E263" s="3">
        <v>125</v>
      </c>
      <c r="F263" s="3">
        <v>35</v>
      </c>
      <c r="G263" s="60">
        <v>44126</v>
      </c>
      <c r="I263" s="1">
        <v>1100</v>
      </c>
      <c r="J263" s="1">
        <v>3400</v>
      </c>
    </row>
    <row r="264" spans="3:10" x14ac:dyDescent="0.15">
      <c r="C264" s="59" t="s">
        <v>7</v>
      </c>
      <c r="D264" s="59" t="s">
        <v>2122</v>
      </c>
      <c r="E264" s="3">
        <v>40</v>
      </c>
      <c r="F264" s="3">
        <v>10</v>
      </c>
      <c r="G264" s="60">
        <v>43720</v>
      </c>
      <c r="J264" s="1">
        <v>3400</v>
      </c>
    </row>
    <row r="265" spans="3:10" x14ac:dyDescent="0.15">
      <c r="C265" s="100" t="s">
        <v>8</v>
      </c>
      <c r="D265" s="100" t="s">
        <v>5458</v>
      </c>
      <c r="E265" s="3">
        <v>50</v>
      </c>
      <c r="F265" s="3">
        <f>30/4</f>
        <v>7.5</v>
      </c>
      <c r="G265" s="60">
        <v>44307</v>
      </c>
      <c r="I265" s="1">
        <v>2000</v>
      </c>
      <c r="J265" s="1">
        <v>2000</v>
      </c>
    </row>
    <row r="266" spans="3:10" x14ac:dyDescent="0.15">
      <c r="C266" s="100" t="s">
        <v>18</v>
      </c>
      <c r="D266" s="100" t="s">
        <v>5458</v>
      </c>
      <c r="E266" s="3">
        <v>37</v>
      </c>
      <c r="F266" s="3">
        <v>6</v>
      </c>
      <c r="G266" s="60">
        <v>43831</v>
      </c>
      <c r="J266" s="1">
        <v>2000</v>
      </c>
    </row>
    <row r="267" spans="3:10" x14ac:dyDescent="0.15">
      <c r="C267" s="100" t="s">
        <v>7</v>
      </c>
      <c r="D267" s="100" t="s">
        <v>5458</v>
      </c>
      <c r="E267" s="3">
        <v>13.5</v>
      </c>
      <c r="F267" s="3">
        <f>8/3</f>
        <v>2.6666666666666665</v>
      </c>
      <c r="G267" s="60">
        <v>43320</v>
      </c>
      <c r="J267" s="1">
        <v>2000</v>
      </c>
    </row>
    <row r="268" spans="3:10" x14ac:dyDescent="0.15">
      <c r="C268" s="100" t="s">
        <v>5</v>
      </c>
      <c r="D268" s="100" t="s">
        <v>5458</v>
      </c>
      <c r="E268" s="3">
        <v>18.100000000000001</v>
      </c>
      <c r="F268" s="3">
        <v>2</v>
      </c>
      <c r="G268" s="60">
        <v>42719</v>
      </c>
      <c r="J268" s="1">
        <v>2000</v>
      </c>
    </row>
    <row r="269" spans="3:10" x14ac:dyDescent="0.15">
      <c r="C269" s="100" t="s">
        <v>4</v>
      </c>
      <c r="D269" s="100" t="s">
        <v>5458</v>
      </c>
      <c r="E269" s="3">
        <v>2.1</v>
      </c>
      <c r="F269" s="3">
        <v>2.1</v>
      </c>
      <c r="G269" s="60">
        <v>41988</v>
      </c>
      <c r="J269" s="1">
        <v>2000</v>
      </c>
    </row>
    <row r="270" spans="3:10" x14ac:dyDescent="0.15">
      <c r="C270" s="169" t="s">
        <v>5</v>
      </c>
      <c r="D270" s="169" t="s">
        <v>2044</v>
      </c>
      <c r="E270" s="3">
        <v>18</v>
      </c>
      <c r="F270" s="3">
        <v>4</v>
      </c>
      <c r="G270" s="60">
        <v>43445</v>
      </c>
    </row>
    <row r="271" spans="3:10" x14ac:dyDescent="0.15">
      <c r="C271" s="169" t="s">
        <v>4</v>
      </c>
      <c r="D271" s="169" t="s">
        <v>2044</v>
      </c>
      <c r="E271" s="3">
        <v>4.3</v>
      </c>
      <c r="F271" s="3">
        <f>E271/5</f>
        <v>0.86</v>
      </c>
      <c r="G271" s="60">
        <v>43157</v>
      </c>
    </row>
    <row r="272" spans="3:10" x14ac:dyDescent="0.15">
      <c r="C272" s="169" t="s">
        <v>7</v>
      </c>
      <c r="D272" s="169" t="s">
        <v>2041</v>
      </c>
      <c r="E272" s="3">
        <v>25</v>
      </c>
      <c r="F272" s="3">
        <v>7</v>
      </c>
      <c r="G272" s="60">
        <v>43528</v>
      </c>
    </row>
    <row r="273" spans="1:11" x14ac:dyDescent="0.15">
      <c r="G273" s="4"/>
    </row>
    <row r="274" spans="1:11" x14ac:dyDescent="0.15">
      <c r="A274" s="1">
        <v>13</v>
      </c>
      <c r="B274" s="12" t="s">
        <v>7452</v>
      </c>
      <c r="C274" s="13" t="s">
        <v>970</v>
      </c>
      <c r="D274" s="13" t="s">
        <v>969</v>
      </c>
      <c r="E274" s="15"/>
      <c r="F274" s="15">
        <f>SUM(F275:F298)</f>
        <v>457.5</v>
      </c>
      <c r="G274" s="14">
        <f>G290</f>
        <v>45069</v>
      </c>
      <c r="I274" s="12">
        <v>90000</v>
      </c>
      <c r="J274" s="22">
        <f>+F274/I274</f>
        <v>5.0833333333333329E-3</v>
      </c>
      <c r="K274" s="12">
        <v>1995</v>
      </c>
    </row>
    <row r="275" spans="1:11" x14ac:dyDescent="0.15">
      <c r="B275" s="273" t="s">
        <v>7704</v>
      </c>
      <c r="C275" s="2" t="s">
        <v>5</v>
      </c>
      <c r="D275" s="2" t="s">
        <v>764</v>
      </c>
      <c r="E275" s="3">
        <v>125</v>
      </c>
      <c r="F275" s="3">
        <v>35</v>
      </c>
      <c r="G275" s="4">
        <v>44852</v>
      </c>
    </row>
    <row r="276" spans="1:11" x14ac:dyDescent="0.15">
      <c r="C276" s="2" t="s">
        <v>18</v>
      </c>
      <c r="D276" s="2" t="s">
        <v>963</v>
      </c>
      <c r="E276" s="3">
        <v>135</v>
      </c>
      <c r="F276" s="3">
        <v>25</v>
      </c>
      <c r="G276" s="4">
        <v>44482</v>
      </c>
      <c r="I276" s="99" t="s">
        <v>5705</v>
      </c>
    </row>
    <row r="277" spans="1:11" x14ac:dyDescent="0.15">
      <c r="C277" s="2" t="s">
        <v>7</v>
      </c>
      <c r="D277" s="2" t="s">
        <v>963</v>
      </c>
      <c r="E277" s="3">
        <v>45</v>
      </c>
      <c r="F277" s="3">
        <v>15</v>
      </c>
      <c r="G277" s="4">
        <v>44228</v>
      </c>
      <c r="I277" s="99" t="s">
        <v>6041</v>
      </c>
    </row>
    <row r="278" spans="1:11" x14ac:dyDescent="0.15">
      <c r="C278" s="2" t="s">
        <v>5</v>
      </c>
      <c r="D278" s="2" t="s">
        <v>933</v>
      </c>
      <c r="E278" s="3">
        <v>30</v>
      </c>
      <c r="F278" s="3">
        <v>10</v>
      </c>
      <c r="G278" s="4">
        <v>44656</v>
      </c>
      <c r="I278" s="192" t="s">
        <v>6789</v>
      </c>
    </row>
    <row r="279" spans="1:11" x14ac:dyDescent="0.15">
      <c r="C279" s="2" t="s">
        <v>7</v>
      </c>
      <c r="D279" s="2" t="s">
        <v>736</v>
      </c>
      <c r="E279" s="3">
        <v>25</v>
      </c>
      <c r="F279" s="3">
        <v>10</v>
      </c>
      <c r="G279" s="4">
        <v>44755</v>
      </c>
    </row>
    <row r="280" spans="1:11" x14ac:dyDescent="0.15">
      <c r="C280" s="2" t="s">
        <v>5</v>
      </c>
      <c r="D280" s="2" t="s">
        <v>736</v>
      </c>
      <c r="E280" s="3">
        <v>21</v>
      </c>
      <c r="F280" s="3">
        <v>7</v>
      </c>
      <c r="G280" s="4">
        <v>44489</v>
      </c>
    </row>
    <row r="281" spans="1:11" x14ac:dyDescent="0.15">
      <c r="C281" s="2" t="s">
        <v>5</v>
      </c>
      <c r="D281" s="2" t="s">
        <v>726</v>
      </c>
      <c r="E281" s="3">
        <v>20</v>
      </c>
      <c r="F281" s="3">
        <v>7</v>
      </c>
      <c r="G281" s="4">
        <v>44676</v>
      </c>
    </row>
    <row r="282" spans="1:11" x14ac:dyDescent="0.15">
      <c r="C282" s="2" t="s">
        <v>5</v>
      </c>
      <c r="D282" s="2" t="s">
        <v>826</v>
      </c>
      <c r="E282" s="3">
        <v>20</v>
      </c>
      <c r="F282" s="3">
        <v>5</v>
      </c>
      <c r="G282" s="4">
        <v>44602</v>
      </c>
    </row>
    <row r="283" spans="1:11" x14ac:dyDescent="0.15">
      <c r="C283" s="2" t="s">
        <v>5</v>
      </c>
      <c r="D283" s="2" t="s">
        <v>1125</v>
      </c>
      <c r="E283" s="3">
        <v>20</v>
      </c>
      <c r="F283" s="3">
        <v>10</v>
      </c>
      <c r="G283" s="4">
        <v>44371</v>
      </c>
    </row>
    <row r="284" spans="1:11" x14ac:dyDescent="0.15">
      <c r="C284" s="2" t="s">
        <v>5</v>
      </c>
      <c r="D284" s="2" t="s">
        <v>1124</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5282</v>
      </c>
      <c r="E292" s="3">
        <v>55</v>
      </c>
      <c r="F292" s="3">
        <v>55</v>
      </c>
      <c r="G292" s="4">
        <v>43663</v>
      </c>
    </row>
    <row r="293" spans="1:18" x14ac:dyDescent="0.15">
      <c r="C293" s="100" t="s">
        <v>18</v>
      </c>
      <c r="D293" s="100" t="s">
        <v>5700</v>
      </c>
      <c r="E293" s="3">
        <v>75</v>
      </c>
      <c r="F293" s="3">
        <v>25</v>
      </c>
      <c r="G293" s="4">
        <v>44627</v>
      </c>
    </row>
    <row r="294" spans="1:18" x14ac:dyDescent="0.15">
      <c r="C294" s="100" t="s">
        <v>7</v>
      </c>
      <c r="D294" s="100" t="s">
        <v>5700</v>
      </c>
      <c r="E294" s="3">
        <v>75</v>
      </c>
      <c r="F294" s="3">
        <v>15</v>
      </c>
      <c r="G294" s="4">
        <v>44222</v>
      </c>
    </row>
    <row r="295" spans="1:18" x14ac:dyDescent="0.15">
      <c r="C295" s="100" t="s">
        <v>7</v>
      </c>
      <c r="D295" s="100" t="s">
        <v>6040</v>
      </c>
      <c r="E295" s="3">
        <v>50</v>
      </c>
      <c r="F295" s="3">
        <v>15</v>
      </c>
      <c r="G295" s="4">
        <v>44670</v>
      </c>
      <c r="J295" s="1">
        <v>250</v>
      </c>
    </row>
    <row r="296" spans="1:18" x14ac:dyDescent="0.15">
      <c r="C296" s="169" t="s">
        <v>7</v>
      </c>
      <c r="D296" s="169" t="s">
        <v>6459</v>
      </c>
      <c r="E296" s="3">
        <v>35</v>
      </c>
      <c r="F296" s="3">
        <v>15</v>
      </c>
      <c r="G296" s="4">
        <v>44468</v>
      </c>
    </row>
    <row r="297" spans="1:18" x14ac:dyDescent="0.15">
      <c r="C297" s="193" t="s">
        <v>5</v>
      </c>
      <c r="D297" s="193" t="s">
        <v>6743</v>
      </c>
      <c r="E297" s="3">
        <v>21</v>
      </c>
      <c r="F297" s="3">
        <v>12</v>
      </c>
      <c r="G297" s="4">
        <v>44515</v>
      </c>
    </row>
    <row r="298" spans="1:18" x14ac:dyDescent="0.15">
      <c r="C298" s="193" t="s">
        <v>5</v>
      </c>
      <c r="D298" s="193" t="s">
        <v>2028</v>
      </c>
      <c r="E298" s="3">
        <v>15.3</v>
      </c>
      <c r="F298" s="3">
        <v>10</v>
      </c>
      <c r="G298" s="4">
        <v>44733</v>
      </c>
    </row>
    <row r="299" spans="1:18" x14ac:dyDescent="0.15">
      <c r="G299" s="4"/>
      <c r="M299" s="1"/>
      <c r="N299" s="1"/>
      <c r="O299" s="1"/>
      <c r="P299" s="1"/>
      <c r="Q299" s="1"/>
      <c r="R299" s="1"/>
    </row>
    <row r="300" spans="1:18" s="12" customFormat="1" x14ac:dyDescent="0.15">
      <c r="A300" s="12">
        <v>14</v>
      </c>
      <c r="B300" s="12" t="s">
        <v>1140</v>
      </c>
      <c r="C300" s="13" t="s">
        <v>970</v>
      </c>
      <c r="D300" s="13" t="s">
        <v>969</v>
      </c>
      <c r="E300" s="15"/>
      <c r="F300" s="15">
        <f>+F301+F302</f>
        <v>431.81818181818181</v>
      </c>
      <c r="G300" s="14">
        <f>+G301</f>
        <v>44363</v>
      </c>
      <c r="I300" s="13" t="s">
        <v>1</v>
      </c>
      <c r="J300" s="13" t="s">
        <v>1</v>
      </c>
      <c r="K300" s="13" t="s">
        <v>1</v>
      </c>
      <c r="M300" s="13"/>
      <c r="N300" s="13"/>
      <c r="O300" s="13"/>
      <c r="P300" s="13"/>
      <c r="Q300" s="13"/>
      <c r="R300" s="13"/>
    </row>
    <row r="301" spans="1:18" x14ac:dyDescent="0.15">
      <c r="B301" s="274" t="s">
        <v>7703</v>
      </c>
      <c r="C301" s="2" t="s">
        <v>7</v>
      </c>
      <c r="D301" s="2" t="s">
        <v>1127</v>
      </c>
      <c r="E301" s="3">
        <v>2500</v>
      </c>
      <c r="F301" s="3">
        <f>2000/11</f>
        <v>181.81818181818181</v>
      </c>
      <c r="G301" s="4">
        <v>44363</v>
      </c>
    </row>
    <row r="302" spans="1:18" x14ac:dyDescent="0.15">
      <c r="C302" s="2" t="s">
        <v>5</v>
      </c>
      <c r="D302" s="2" t="s">
        <v>1127</v>
      </c>
      <c r="E302" s="3">
        <v>3000</v>
      </c>
      <c r="F302" s="3">
        <v>250</v>
      </c>
      <c r="G302" s="4">
        <v>43963</v>
      </c>
    </row>
    <row r="303" spans="1:18" x14ac:dyDescent="0.15">
      <c r="G303" s="4"/>
    </row>
    <row r="304" spans="1:18" x14ac:dyDescent="0.15">
      <c r="A304" s="1">
        <v>15</v>
      </c>
      <c r="B304" s="12" t="s">
        <v>7453</v>
      </c>
      <c r="C304" s="13" t="s">
        <v>970</v>
      </c>
      <c r="D304" s="13" t="s">
        <v>969</v>
      </c>
      <c r="E304" s="15"/>
      <c r="F304" s="15">
        <f>SUM(F305:F328)</f>
        <v>417.36666666666673</v>
      </c>
      <c r="G304" s="14">
        <f>G312</f>
        <v>45056</v>
      </c>
      <c r="I304" s="12">
        <v>25000</v>
      </c>
      <c r="J304" s="23">
        <f>+F304/I304</f>
        <v>1.669466666666667E-2</v>
      </c>
      <c r="K304" s="12">
        <v>1977</v>
      </c>
    </row>
    <row r="305" spans="2:7" x14ac:dyDescent="0.15">
      <c r="B305" s="273" t="s">
        <v>7704</v>
      </c>
      <c r="C305" s="2" t="s">
        <v>1118</v>
      </c>
      <c r="D305" s="2" t="s">
        <v>833</v>
      </c>
      <c r="E305" s="3">
        <v>100</v>
      </c>
      <c r="F305" s="3">
        <f>40/3</f>
        <v>13.333333333333334</v>
      </c>
      <c r="G305" s="4">
        <v>44537</v>
      </c>
    </row>
    <row r="306" spans="2:7" x14ac:dyDescent="0.15">
      <c r="C306" s="2" t="s">
        <v>7</v>
      </c>
      <c r="D306" s="2" t="s">
        <v>833</v>
      </c>
      <c r="E306" s="3">
        <v>40</v>
      </c>
      <c r="F306" s="3">
        <v>20</v>
      </c>
      <c r="G306" s="4">
        <v>44125</v>
      </c>
    </row>
    <row r="307" spans="2:7" x14ac:dyDescent="0.15">
      <c r="C307" s="2" t="s">
        <v>5</v>
      </c>
      <c r="D307" s="2" t="s">
        <v>833</v>
      </c>
      <c r="E307" s="3">
        <v>20</v>
      </c>
      <c r="F307" s="3">
        <f>12/6</f>
        <v>2</v>
      </c>
      <c r="G307" s="4">
        <v>43816</v>
      </c>
    </row>
    <row r="308" spans="2:7" x14ac:dyDescent="0.15">
      <c r="C308" s="2" t="s">
        <v>5</v>
      </c>
      <c r="D308" s="100" t="s">
        <v>1005</v>
      </c>
      <c r="E308" s="3">
        <v>25.6</v>
      </c>
      <c r="F308" s="3">
        <v>15</v>
      </c>
      <c r="G308" s="4">
        <v>45013</v>
      </c>
    </row>
    <row r="309" spans="2:7" x14ac:dyDescent="0.15">
      <c r="C309" s="2" t="s">
        <v>7</v>
      </c>
      <c r="D309" s="2" t="s">
        <v>797</v>
      </c>
      <c r="E309" s="3">
        <v>50</v>
      </c>
      <c r="F309" s="3">
        <f>30/5</f>
        <v>6</v>
      </c>
      <c r="G309" s="4">
        <v>45036</v>
      </c>
    </row>
    <row r="310" spans="2:7" x14ac:dyDescent="0.15">
      <c r="C310" s="2" t="s">
        <v>5</v>
      </c>
      <c r="D310" s="2" t="s">
        <v>797</v>
      </c>
      <c r="E310" s="3">
        <v>16.5</v>
      </c>
      <c r="F310" s="3">
        <v>6</v>
      </c>
      <c r="G310" s="4">
        <v>44614</v>
      </c>
    </row>
    <row r="311" spans="2:7" x14ac:dyDescent="0.15">
      <c r="C311" s="2" t="s">
        <v>4</v>
      </c>
      <c r="D311" s="2" t="s">
        <v>687</v>
      </c>
      <c r="E311" s="3">
        <v>30</v>
      </c>
      <c r="F311" s="3">
        <v>15</v>
      </c>
      <c r="G311" s="4">
        <v>44601</v>
      </c>
    </row>
    <row r="312" spans="2:7" x14ac:dyDescent="0.15">
      <c r="C312" s="2" t="s">
        <v>4</v>
      </c>
      <c r="D312" s="2" t="s">
        <v>830</v>
      </c>
      <c r="E312" s="3">
        <v>4.5</v>
      </c>
      <c r="F312" s="3">
        <v>2</v>
      </c>
      <c r="G312" s="4">
        <v>45056</v>
      </c>
    </row>
    <row r="313" spans="2:7" x14ac:dyDescent="0.15">
      <c r="C313" s="2" t="s">
        <v>278</v>
      </c>
      <c r="D313" s="2" t="s">
        <v>777</v>
      </c>
      <c r="E313" s="3">
        <v>4.5</v>
      </c>
      <c r="F313" s="3">
        <v>1</v>
      </c>
      <c r="G313" s="4">
        <v>44691</v>
      </c>
    </row>
    <row r="314" spans="2:7" x14ac:dyDescent="0.15">
      <c r="C314" s="2" t="s">
        <v>4</v>
      </c>
      <c r="D314" s="2" t="s">
        <v>655</v>
      </c>
      <c r="E314" s="3">
        <v>12.8</v>
      </c>
      <c r="F314" s="3">
        <v>5</v>
      </c>
      <c r="G314" s="4">
        <v>44601</v>
      </c>
    </row>
    <row r="315" spans="2:7" x14ac:dyDescent="0.15">
      <c r="C315" s="2" t="s">
        <v>4</v>
      </c>
      <c r="D315" s="2" t="s">
        <v>772</v>
      </c>
      <c r="E315" s="3">
        <v>10</v>
      </c>
      <c r="F315" s="3">
        <v>1</v>
      </c>
      <c r="G315" s="4">
        <v>44858</v>
      </c>
    </row>
    <row r="316" spans="2:7" x14ac:dyDescent="0.15">
      <c r="C316" s="2" t="s">
        <v>4</v>
      </c>
      <c r="D316" s="2" t="s">
        <v>772</v>
      </c>
      <c r="E316" s="3">
        <v>4.5999999999999996</v>
      </c>
      <c r="F316" s="3">
        <v>2</v>
      </c>
      <c r="G316" s="4">
        <v>44530</v>
      </c>
    </row>
    <row r="317" spans="2:7" x14ac:dyDescent="0.15">
      <c r="C317" s="2" t="s">
        <v>53</v>
      </c>
      <c r="D317" s="2" t="s">
        <v>490</v>
      </c>
      <c r="E317" s="3">
        <v>270</v>
      </c>
      <c r="F317" s="3">
        <v>22</v>
      </c>
      <c r="G317" s="4">
        <v>44152</v>
      </c>
    </row>
    <row r="318" spans="2:7" x14ac:dyDescent="0.15">
      <c r="C318" s="2" t="s">
        <v>9</v>
      </c>
      <c r="D318" s="2" t="s">
        <v>490</v>
      </c>
      <c r="E318" s="3">
        <v>206</v>
      </c>
      <c r="F318" s="3">
        <v>14</v>
      </c>
      <c r="G318" s="4">
        <v>43725</v>
      </c>
    </row>
    <row r="319" spans="2:7" x14ac:dyDescent="0.15">
      <c r="C319" s="2" t="s">
        <v>8</v>
      </c>
      <c r="D319" s="2" t="s">
        <v>490</v>
      </c>
      <c r="E319" s="3">
        <v>100</v>
      </c>
      <c r="F319" s="3">
        <v>15</v>
      </c>
      <c r="G319" s="4">
        <v>43397</v>
      </c>
    </row>
    <row r="320" spans="2: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1057</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7454</v>
      </c>
      <c r="C330" s="13" t="s">
        <v>970</v>
      </c>
      <c r="D330" s="13" t="s">
        <v>969</v>
      </c>
      <c r="E330" s="15"/>
      <c r="F330" s="15">
        <f>SUM(F331:F370)</f>
        <v>432.16774891774895</v>
      </c>
      <c r="G330" s="14">
        <f>G349</f>
        <v>45104</v>
      </c>
      <c r="I330" s="12">
        <v>85000</v>
      </c>
      <c r="J330" s="22">
        <f>+F330/I330</f>
        <v>5.0843264578558697E-3</v>
      </c>
      <c r="K330" s="12">
        <v>1972</v>
      </c>
    </row>
    <row r="331" spans="1:12" x14ac:dyDescent="0.15">
      <c r="B331" s="274" t="s">
        <v>7703</v>
      </c>
      <c r="C331" s="2" t="s">
        <v>18</v>
      </c>
      <c r="D331" s="2" t="s">
        <v>927</v>
      </c>
      <c r="E331" s="3">
        <v>100</v>
      </c>
      <c r="F331" s="3">
        <v>9</v>
      </c>
      <c r="G331" s="4">
        <v>44690</v>
      </c>
      <c r="I331" s="258"/>
      <c r="J331" s="258"/>
      <c r="K331" s="258"/>
      <c r="L331" s="258"/>
    </row>
    <row r="332" spans="1:12" x14ac:dyDescent="0.15">
      <c r="C332" s="2" t="s">
        <v>18</v>
      </c>
      <c r="D332" s="2" t="s">
        <v>1044</v>
      </c>
      <c r="E332" s="3">
        <v>100</v>
      </c>
      <c r="F332" s="3">
        <v>40</v>
      </c>
      <c r="G332" s="4">
        <v>44699</v>
      </c>
      <c r="I332" s="258" t="s">
        <v>7669</v>
      </c>
      <c r="J332" s="258"/>
      <c r="K332" s="258"/>
      <c r="L332" s="258"/>
    </row>
    <row r="333" spans="1:12" x14ac:dyDescent="0.15">
      <c r="C333" s="2" t="s">
        <v>18</v>
      </c>
      <c r="D333" s="2" t="s">
        <v>1006</v>
      </c>
      <c r="E333" s="3">
        <v>100</v>
      </c>
      <c r="F333" s="3">
        <v>10</v>
      </c>
      <c r="G333" s="4">
        <v>44754</v>
      </c>
      <c r="I333" s="258" t="s">
        <v>4297</v>
      </c>
      <c r="J333" s="25" t="s">
        <v>4300</v>
      </c>
      <c r="K333" s="258"/>
      <c r="L333" s="258"/>
    </row>
    <row r="334" spans="1:12" x14ac:dyDescent="0.15">
      <c r="C334" s="2" t="s">
        <v>7</v>
      </c>
      <c r="D334" s="2" t="s">
        <v>1006</v>
      </c>
      <c r="E334" s="3">
        <v>35</v>
      </c>
      <c r="F334" s="3">
        <f>E334/2</f>
        <v>17.5</v>
      </c>
      <c r="G334" s="4">
        <v>44172</v>
      </c>
      <c r="I334" s="258" t="s">
        <v>4298</v>
      </c>
      <c r="J334" s="25" t="s">
        <v>4299</v>
      </c>
      <c r="K334" s="258"/>
      <c r="L334" s="258"/>
    </row>
    <row r="335" spans="1:12" x14ac:dyDescent="0.15">
      <c r="C335" s="2" t="s">
        <v>5</v>
      </c>
      <c r="D335" s="2" t="s">
        <v>1006</v>
      </c>
      <c r="E335" s="3">
        <v>20</v>
      </c>
      <c r="F335" s="3">
        <v>8</v>
      </c>
      <c r="G335" s="4">
        <v>43949</v>
      </c>
      <c r="I335" s="258" t="s">
        <v>4301</v>
      </c>
      <c r="J335" s="258"/>
      <c r="K335" s="258" t="s">
        <v>4302</v>
      </c>
      <c r="L335" s="258"/>
    </row>
    <row r="336" spans="1:12" x14ac:dyDescent="0.15">
      <c r="C336" s="2" t="s">
        <v>4</v>
      </c>
      <c r="D336" s="2" t="s">
        <v>1006</v>
      </c>
      <c r="E336" s="3">
        <v>5</v>
      </c>
      <c r="F336" s="3">
        <v>1</v>
      </c>
      <c r="G336" s="4">
        <v>43438</v>
      </c>
      <c r="I336" s="258" t="s">
        <v>7457</v>
      </c>
      <c r="J336" s="258" t="s">
        <v>7458</v>
      </c>
      <c r="K336" s="258" t="s">
        <v>4</v>
      </c>
      <c r="L336" s="258"/>
    </row>
    <row r="337" spans="3:12" x14ac:dyDescent="0.15">
      <c r="C337" s="2" t="s">
        <v>4</v>
      </c>
      <c r="D337" s="2" t="s">
        <v>702</v>
      </c>
      <c r="E337" s="3">
        <v>7.2</v>
      </c>
      <c r="F337" s="3">
        <v>1</v>
      </c>
      <c r="G337" s="4">
        <v>44508</v>
      </c>
      <c r="I337" s="258"/>
      <c r="J337" s="258"/>
      <c r="K337" s="258"/>
      <c r="L337" s="258"/>
    </row>
    <row r="338" spans="3:12" x14ac:dyDescent="0.15">
      <c r="C338" s="2" t="s">
        <v>5</v>
      </c>
      <c r="D338" s="2" t="s">
        <v>685</v>
      </c>
      <c r="E338" s="3">
        <v>21</v>
      </c>
      <c r="F338" s="3">
        <v>10</v>
      </c>
      <c r="G338" s="4">
        <v>45027</v>
      </c>
      <c r="I338" s="258"/>
      <c r="J338" s="258"/>
      <c r="K338" s="258"/>
      <c r="L338" s="258"/>
    </row>
    <row r="339" spans="3:12" x14ac:dyDescent="0.15">
      <c r="C339" s="2" t="s">
        <v>7</v>
      </c>
      <c r="D339" s="2" t="s">
        <v>1009</v>
      </c>
      <c r="E339" s="3">
        <v>30</v>
      </c>
      <c r="F339" s="3">
        <v>6</v>
      </c>
      <c r="G339" s="4">
        <v>44539</v>
      </c>
      <c r="I339" s="258"/>
      <c r="J339" s="258"/>
      <c r="K339" s="258"/>
      <c r="L339" s="258"/>
    </row>
    <row r="340" spans="3:12" x14ac:dyDescent="0.15">
      <c r="C340" s="2" t="s">
        <v>5</v>
      </c>
      <c r="D340" s="2" t="s">
        <v>1009</v>
      </c>
      <c r="E340" s="3">
        <v>11</v>
      </c>
      <c r="F340" s="3">
        <v>6</v>
      </c>
      <c r="G340" s="4">
        <v>43862</v>
      </c>
      <c r="I340" s="258"/>
      <c r="J340" s="258"/>
      <c r="K340" s="258"/>
      <c r="L340" s="258"/>
    </row>
    <row r="341" spans="3:12" x14ac:dyDescent="0.15">
      <c r="C341" s="2" t="s">
        <v>4</v>
      </c>
      <c r="D341" s="2" t="s">
        <v>1009</v>
      </c>
      <c r="E341" s="3">
        <v>3</v>
      </c>
      <c r="F341" s="3">
        <v>1.5</v>
      </c>
      <c r="G341" s="4">
        <v>43525</v>
      </c>
      <c r="I341" s="258"/>
      <c r="J341" s="258"/>
      <c r="K341" s="258"/>
      <c r="L341" s="258"/>
    </row>
    <row r="342" spans="3:12" x14ac:dyDescent="0.15">
      <c r="C342" s="2" t="s">
        <v>5</v>
      </c>
      <c r="D342" s="2" t="s">
        <v>1070</v>
      </c>
      <c r="E342" s="3">
        <v>12.5</v>
      </c>
      <c r="F342" s="3">
        <v>3</v>
      </c>
      <c r="G342" s="4">
        <v>44978</v>
      </c>
    </row>
    <row r="343" spans="3:12" x14ac:dyDescent="0.15">
      <c r="C343" s="2" t="s">
        <v>5</v>
      </c>
      <c r="D343" s="2" t="s">
        <v>1070</v>
      </c>
      <c r="E343" s="3">
        <v>5.3</v>
      </c>
      <c r="F343" s="3">
        <v>2.5</v>
      </c>
      <c r="G343" s="4">
        <v>44978</v>
      </c>
    </row>
    <row r="344" spans="3:12" x14ac:dyDescent="0.15">
      <c r="C344" s="2" t="s">
        <v>4</v>
      </c>
      <c r="D344" s="2" t="s">
        <v>655</v>
      </c>
      <c r="E344" s="3">
        <v>12.8</v>
      </c>
      <c r="F344" s="3">
        <v>2</v>
      </c>
      <c r="G344" s="4">
        <v>44601</v>
      </c>
    </row>
    <row r="345" spans="3:12" x14ac:dyDescent="0.15">
      <c r="C345" s="2" t="s">
        <v>5</v>
      </c>
      <c r="D345" s="2" t="s">
        <v>720</v>
      </c>
      <c r="E345" s="3">
        <v>11</v>
      </c>
      <c r="F345" s="3">
        <f>7/3</f>
        <v>2.3333333333333335</v>
      </c>
      <c r="G345" s="4">
        <v>44483</v>
      </c>
    </row>
    <row r="346" spans="3:12" x14ac:dyDescent="0.15">
      <c r="C346" s="2" t="s">
        <v>4</v>
      </c>
      <c r="D346" s="2" t="s">
        <v>720</v>
      </c>
      <c r="E346" s="3">
        <v>2.9</v>
      </c>
      <c r="F346" s="3">
        <v>0.5</v>
      </c>
      <c r="G346" s="4">
        <v>44272</v>
      </c>
    </row>
    <row r="347" spans="3:12" x14ac:dyDescent="0.15">
      <c r="C347" s="2" t="s">
        <v>7</v>
      </c>
      <c r="D347" s="2" t="s">
        <v>1129</v>
      </c>
      <c r="E347" s="3">
        <v>18</v>
      </c>
      <c r="F347" s="3">
        <v>9</v>
      </c>
      <c r="G347" s="4">
        <v>44831</v>
      </c>
    </row>
    <row r="348" spans="3:12" x14ac:dyDescent="0.15">
      <c r="C348" s="2" t="s">
        <v>5</v>
      </c>
      <c r="D348" s="2" t="s">
        <v>1129</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2141</v>
      </c>
      <c r="E362" s="3">
        <v>200</v>
      </c>
      <c r="F362" s="3">
        <v>20</v>
      </c>
      <c r="G362" s="4">
        <v>44237</v>
      </c>
    </row>
    <row r="363" spans="3:10" x14ac:dyDescent="0.15">
      <c r="C363" s="62" t="s">
        <v>53</v>
      </c>
      <c r="D363" s="62" t="s">
        <v>5044</v>
      </c>
      <c r="E363" s="3">
        <v>100</v>
      </c>
      <c r="F363" s="3">
        <f>70/5</f>
        <v>14</v>
      </c>
      <c r="G363" s="4">
        <v>44474</v>
      </c>
    </row>
    <row r="364" spans="3:10" x14ac:dyDescent="0.15">
      <c r="C364" s="62" t="s">
        <v>9</v>
      </c>
      <c r="D364" s="62" t="s">
        <v>5044</v>
      </c>
      <c r="E364" s="3">
        <v>43</v>
      </c>
      <c r="F364" s="3">
        <f>23/3</f>
        <v>7.666666666666667</v>
      </c>
      <c r="G364" s="4">
        <v>43992</v>
      </c>
    </row>
    <row r="365" spans="3:10" x14ac:dyDescent="0.15">
      <c r="C365" s="62" t="s">
        <v>8</v>
      </c>
      <c r="D365" s="62" t="s">
        <v>5044</v>
      </c>
      <c r="E365" s="3">
        <v>40</v>
      </c>
      <c r="F365" s="3">
        <v>20</v>
      </c>
      <c r="G365" s="4">
        <v>43320</v>
      </c>
      <c r="I365" s="1">
        <v>210</v>
      </c>
      <c r="J365" s="1">
        <v>210</v>
      </c>
    </row>
    <row r="366" spans="3:10" x14ac:dyDescent="0.15">
      <c r="C366" s="62" t="s">
        <v>18</v>
      </c>
      <c r="D366" s="62" t="s">
        <v>5044</v>
      </c>
      <c r="E366" s="3">
        <v>27</v>
      </c>
      <c r="F366" s="3">
        <f>17/3</f>
        <v>5.666666666666667</v>
      </c>
      <c r="G366" s="4">
        <v>42851</v>
      </c>
      <c r="J366" s="1">
        <v>210</v>
      </c>
    </row>
    <row r="367" spans="3:10" x14ac:dyDescent="0.15">
      <c r="C367" s="62" t="s">
        <v>7</v>
      </c>
      <c r="D367" s="62" t="s">
        <v>5044</v>
      </c>
      <c r="E367" s="3">
        <v>10.5</v>
      </c>
      <c r="F367" s="3">
        <v>10.5</v>
      </c>
      <c r="G367" s="4">
        <v>42691</v>
      </c>
      <c r="J367" s="1">
        <v>210</v>
      </c>
    </row>
    <row r="368" spans="3:10" x14ac:dyDescent="0.15">
      <c r="C368" s="100" t="s">
        <v>18</v>
      </c>
      <c r="D368" s="100" t="s">
        <v>2095</v>
      </c>
      <c r="E368" s="3">
        <v>80</v>
      </c>
      <c r="F368" s="3">
        <f>70/10</f>
        <v>7</v>
      </c>
      <c r="G368" s="4">
        <v>44637</v>
      </c>
      <c r="I368" s="1">
        <v>1500</v>
      </c>
      <c r="J368" s="1">
        <v>1500</v>
      </c>
    </row>
    <row r="369" spans="1:11" x14ac:dyDescent="0.15">
      <c r="C369" s="100" t="s">
        <v>7</v>
      </c>
      <c r="D369" s="100" t="s">
        <v>2095</v>
      </c>
      <c r="E369" s="3">
        <v>50</v>
      </c>
      <c r="F369" s="3">
        <v>15</v>
      </c>
      <c r="G369" s="4">
        <v>44286</v>
      </c>
      <c r="J369" s="1">
        <v>1500</v>
      </c>
    </row>
    <row r="370" spans="1:11" x14ac:dyDescent="0.15">
      <c r="C370" s="193" t="s">
        <v>4</v>
      </c>
      <c r="D370" s="193" t="s">
        <v>2035</v>
      </c>
      <c r="E370" s="3">
        <v>2</v>
      </c>
      <c r="F370" s="3">
        <f>1.5/6</f>
        <v>0.25</v>
      </c>
      <c r="G370" s="4">
        <v>43522</v>
      </c>
    </row>
    <row r="371" spans="1:11" x14ac:dyDescent="0.15">
      <c r="G371" s="4"/>
    </row>
    <row r="372" spans="1:11" x14ac:dyDescent="0.15">
      <c r="A372" s="1">
        <v>17</v>
      </c>
      <c r="B372" s="12" t="s">
        <v>7455</v>
      </c>
      <c r="C372" s="13" t="s">
        <v>970</v>
      </c>
      <c r="D372" s="13" t="s">
        <v>969</v>
      </c>
      <c r="E372" s="15"/>
      <c r="F372" s="15">
        <f>SUM(F373:F398)</f>
        <v>426.58333333333331</v>
      </c>
      <c r="G372" s="14">
        <f>G373</f>
        <v>44999</v>
      </c>
      <c r="I372" s="12">
        <v>3500</v>
      </c>
      <c r="J372" s="22">
        <f>+F372/I372</f>
        <v>0.12188095238095238</v>
      </c>
      <c r="K372" s="12">
        <v>1965</v>
      </c>
    </row>
    <row r="373" spans="1:11" x14ac:dyDescent="0.15">
      <c r="C373" s="2" t="s">
        <v>7</v>
      </c>
      <c r="D373" s="2" t="s">
        <v>950</v>
      </c>
      <c r="E373" s="3">
        <v>350</v>
      </c>
      <c r="F373" s="3">
        <v>20</v>
      </c>
      <c r="G373" s="4">
        <v>44999</v>
      </c>
    </row>
    <row r="374" spans="1:11" x14ac:dyDescent="0.15">
      <c r="C374" s="2" t="s">
        <v>5</v>
      </c>
      <c r="D374" s="2" t="s">
        <v>950</v>
      </c>
      <c r="E374" s="3">
        <v>65</v>
      </c>
      <c r="F374" s="3">
        <v>25</v>
      </c>
      <c r="G374" s="4">
        <v>44679</v>
      </c>
    </row>
    <row r="375" spans="1:11" x14ac:dyDescent="0.15">
      <c r="C375" s="2" t="s">
        <v>4</v>
      </c>
      <c r="D375" s="2" t="s">
        <v>1135</v>
      </c>
      <c r="E375" s="3">
        <v>225</v>
      </c>
      <c r="F375" s="3">
        <v>150</v>
      </c>
      <c r="G375" s="4">
        <v>44694</v>
      </c>
      <c r="I375" s="258" t="s">
        <v>7456</v>
      </c>
      <c r="J375" s="25" t="s">
        <v>7671</v>
      </c>
    </row>
    <row r="376" spans="1:11" x14ac:dyDescent="0.15">
      <c r="C376" s="2" t="s">
        <v>18</v>
      </c>
      <c r="D376" s="2" t="s">
        <v>878</v>
      </c>
      <c r="E376" s="3">
        <v>85</v>
      </c>
      <c r="F376" s="3">
        <v>6</v>
      </c>
      <c r="G376" s="4">
        <v>44417</v>
      </c>
      <c r="I376" s="258" t="s">
        <v>7670</v>
      </c>
      <c r="J376" s="25" t="s">
        <v>7672</v>
      </c>
    </row>
    <row r="377" spans="1:11" x14ac:dyDescent="0.15">
      <c r="C377" s="2" t="s">
        <v>7</v>
      </c>
      <c r="D377" s="2" t="s">
        <v>878</v>
      </c>
      <c r="E377" s="3">
        <v>35</v>
      </c>
      <c r="F377" s="3">
        <f>25/6</f>
        <v>4.166666666666667</v>
      </c>
      <c r="G377" s="4">
        <v>44293</v>
      </c>
      <c r="I377" s="258" t="s">
        <v>7673</v>
      </c>
      <c r="J377" s="25" t="s">
        <v>7674</v>
      </c>
    </row>
    <row r="378" spans="1:11" x14ac:dyDescent="0.15">
      <c r="C378" s="2" t="s">
        <v>5</v>
      </c>
      <c r="D378" s="2" t="s">
        <v>878</v>
      </c>
      <c r="E378" s="3">
        <v>12</v>
      </c>
      <c r="F378" s="3">
        <v>6</v>
      </c>
      <c r="G378" s="4">
        <v>44026</v>
      </c>
      <c r="I378" s="258" t="s">
        <v>7675</v>
      </c>
      <c r="J378" s="25" t="s">
        <v>7676</v>
      </c>
    </row>
    <row r="379" spans="1:11" x14ac:dyDescent="0.15">
      <c r="C379" s="2" t="s">
        <v>4</v>
      </c>
      <c r="D379" s="2" t="s">
        <v>878</v>
      </c>
      <c r="E379" s="3">
        <v>3.3</v>
      </c>
      <c r="F379" s="3">
        <v>1</v>
      </c>
      <c r="G379" s="4">
        <v>44026</v>
      </c>
      <c r="I379" s="258" t="s">
        <v>7677</v>
      </c>
      <c r="J379" s="25" t="s">
        <v>7678</v>
      </c>
    </row>
    <row r="380" spans="1:11" x14ac:dyDescent="0.15">
      <c r="C380" s="2" t="s">
        <v>7</v>
      </c>
      <c r="D380" s="2" t="s">
        <v>1012</v>
      </c>
      <c r="E380" s="3">
        <v>43</v>
      </c>
      <c r="F380" s="3">
        <v>6</v>
      </c>
      <c r="G380" s="4">
        <v>44978</v>
      </c>
      <c r="I380" s="258" t="s">
        <v>7679</v>
      </c>
      <c r="J380" s="25" t="s">
        <v>7680</v>
      </c>
    </row>
    <row r="381" spans="1:11" x14ac:dyDescent="0.15">
      <c r="C381" s="2" t="s">
        <v>5</v>
      </c>
      <c r="D381" s="2" t="s">
        <v>1012</v>
      </c>
      <c r="E381" s="3">
        <v>26</v>
      </c>
      <c r="F381" s="3">
        <f>13/2</f>
        <v>6.5</v>
      </c>
      <c r="G381" s="4">
        <v>44453</v>
      </c>
      <c r="I381" s="258" t="s">
        <v>7681</v>
      </c>
      <c r="J381" s="25" t="s">
        <v>7682</v>
      </c>
    </row>
    <row r="382" spans="1:11" x14ac:dyDescent="0.15">
      <c r="C382" s="2" t="s">
        <v>4</v>
      </c>
      <c r="D382" s="2" t="s">
        <v>1012</v>
      </c>
      <c r="E382" s="3">
        <v>6.3</v>
      </c>
      <c r="F382" s="3">
        <v>3</v>
      </c>
      <c r="G382" s="4">
        <v>44217</v>
      </c>
      <c r="I382" s="258" t="s">
        <v>7683</v>
      </c>
      <c r="J382" s="25" t="s">
        <v>7684</v>
      </c>
    </row>
    <row r="383" spans="1:11" x14ac:dyDescent="0.15">
      <c r="C383" s="2" t="s">
        <v>4</v>
      </c>
      <c r="D383" s="2" t="s">
        <v>691</v>
      </c>
      <c r="E383" s="3">
        <v>30</v>
      </c>
      <c r="F383" s="3">
        <v>5</v>
      </c>
      <c r="G383" s="4">
        <v>44742</v>
      </c>
      <c r="I383" s="258" t="s">
        <v>7685</v>
      </c>
      <c r="J383" s="25" t="s">
        <v>7686</v>
      </c>
    </row>
    <row r="384" spans="1:11" x14ac:dyDescent="0.15">
      <c r="C384" s="2" t="s">
        <v>7</v>
      </c>
      <c r="D384" s="2" t="s">
        <v>861</v>
      </c>
      <c r="E384" s="3">
        <v>25</v>
      </c>
      <c r="F384" s="3">
        <v>3</v>
      </c>
      <c r="G384" s="4">
        <v>44636</v>
      </c>
    </row>
    <row r="385" spans="1:19" x14ac:dyDescent="0.15">
      <c r="C385" s="2" t="s">
        <v>5</v>
      </c>
      <c r="D385" s="2" t="s">
        <v>861</v>
      </c>
      <c r="E385" s="3">
        <v>12.2</v>
      </c>
      <c r="F385" s="3">
        <v>2</v>
      </c>
      <c r="G385" s="4">
        <v>44179</v>
      </c>
    </row>
    <row r="386" spans="1:19" x14ac:dyDescent="0.15">
      <c r="C386" s="2" t="s">
        <v>4</v>
      </c>
      <c r="D386" s="2" t="s">
        <v>861</v>
      </c>
      <c r="E386" s="3">
        <v>5.0999999999999996</v>
      </c>
      <c r="F386" s="3">
        <v>3</v>
      </c>
      <c r="G386" s="4">
        <v>44046</v>
      </c>
    </row>
    <row r="387" spans="1:19" x14ac:dyDescent="0.15">
      <c r="C387" s="2" t="s">
        <v>5</v>
      </c>
      <c r="D387" s="2" t="s">
        <v>889</v>
      </c>
      <c r="E387" s="3">
        <v>20</v>
      </c>
      <c r="F387" s="3">
        <v>7.5</v>
      </c>
      <c r="G387" s="4">
        <v>45009</v>
      </c>
    </row>
    <row r="388" spans="1:19" x14ac:dyDescent="0.15">
      <c r="C388" s="2" t="s">
        <v>5</v>
      </c>
      <c r="D388" s="2" t="s">
        <v>690</v>
      </c>
      <c r="E388" s="3">
        <v>29</v>
      </c>
      <c r="F388" s="3">
        <v>10</v>
      </c>
      <c r="G388" s="4">
        <v>44691</v>
      </c>
    </row>
    <row r="389" spans="1:19" x14ac:dyDescent="0.15">
      <c r="C389" s="2" t="s">
        <v>4</v>
      </c>
      <c r="D389" s="2" t="s">
        <v>650</v>
      </c>
      <c r="E389" s="3">
        <v>8</v>
      </c>
      <c r="F389" s="3">
        <v>3</v>
      </c>
      <c r="G389" s="4">
        <v>44677</v>
      </c>
    </row>
    <row r="390" spans="1:19" x14ac:dyDescent="0.15">
      <c r="C390" s="2" t="s">
        <v>4</v>
      </c>
      <c r="D390" s="2" t="s">
        <v>1057</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2095</v>
      </c>
      <c r="E393" s="3">
        <v>80</v>
      </c>
      <c r="F393" s="3">
        <f>7</f>
        <v>7</v>
      </c>
      <c r="G393" s="4">
        <v>44637</v>
      </c>
      <c r="I393" s="1">
        <v>1500</v>
      </c>
      <c r="J393" s="1">
        <v>1500</v>
      </c>
    </row>
    <row r="394" spans="1:19" x14ac:dyDescent="0.15">
      <c r="C394" s="100" t="s">
        <v>7</v>
      </c>
      <c r="D394" s="100" t="s">
        <v>2095</v>
      </c>
      <c r="E394" s="3">
        <v>50</v>
      </c>
      <c r="F394" s="3">
        <f>35/4</f>
        <v>8.75</v>
      </c>
      <c r="G394" s="4">
        <v>44286</v>
      </c>
      <c r="J394" s="1">
        <v>1500</v>
      </c>
    </row>
    <row r="395" spans="1:19" x14ac:dyDescent="0.15">
      <c r="C395" s="100" t="s">
        <v>5</v>
      </c>
      <c r="D395" s="100" t="s">
        <v>2095</v>
      </c>
      <c r="E395" s="3">
        <v>15</v>
      </c>
      <c r="F395" s="3">
        <v>7.5</v>
      </c>
      <c r="G395" s="4">
        <v>43864</v>
      </c>
      <c r="J395" s="1">
        <v>1500</v>
      </c>
    </row>
    <row r="396" spans="1:19" x14ac:dyDescent="0.15">
      <c r="C396" s="149" t="s">
        <v>7</v>
      </c>
      <c r="D396" s="149" t="s">
        <v>6332</v>
      </c>
      <c r="E396" s="3">
        <v>52.2</v>
      </c>
      <c r="F396" s="3">
        <f>32.2/3</f>
        <v>10.733333333333334</v>
      </c>
      <c r="G396" s="4">
        <v>44476</v>
      </c>
    </row>
    <row r="397" spans="1:19" x14ac:dyDescent="0.15">
      <c r="C397" s="149" t="s">
        <v>5</v>
      </c>
      <c r="D397" s="149" t="s">
        <v>6332</v>
      </c>
      <c r="E397" s="3">
        <v>12</v>
      </c>
      <c r="F397" s="3">
        <v>8</v>
      </c>
      <c r="G397" s="4">
        <v>44125</v>
      </c>
    </row>
    <row r="398" spans="1:19" x14ac:dyDescent="0.15">
      <c r="C398" s="149" t="s">
        <v>4</v>
      </c>
      <c r="D398" s="149" t="s">
        <v>6332</v>
      </c>
      <c r="E398" s="3">
        <v>3.5</v>
      </c>
      <c r="F398" s="3">
        <v>1</v>
      </c>
      <c r="G398" s="4">
        <v>43831</v>
      </c>
    </row>
    <row r="400" spans="1:19" x14ac:dyDescent="0.15">
      <c r="A400" s="1">
        <v>18</v>
      </c>
      <c r="B400" s="12" t="s">
        <v>7532</v>
      </c>
      <c r="C400" s="13" t="s">
        <v>970</v>
      </c>
      <c r="D400" s="13" t="s">
        <v>969</v>
      </c>
      <c r="E400" s="15"/>
      <c r="F400" s="15">
        <f>SUM(F401:F416)</f>
        <v>401.95238095238096</v>
      </c>
      <c r="G400" s="14">
        <f>G410</f>
        <v>45091</v>
      </c>
      <c r="I400" s="12">
        <v>6500</v>
      </c>
      <c r="J400" s="22">
        <f>+F400/I400</f>
        <v>6.183882783882784E-2</v>
      </c>
      <c r="K400" s="12">
        <v>2020</v>
      </c>
      <c r="S400" s="99" t="s">
        <v>5272</v>
      </c>
    </row>
    <row r="401" spans="2:7" x14ac:dyDescent="0.15">
      <c r="B401" s="258" t="s">
        <v>7533</v>
      </c>
      <c r="C401" s="2" t="s">
        <v>7</v>
      </c>
      <c r="D401" s="2" t="s">
        <v>950</v>
      </c>
      <c r="E401" s="3">
        <v>350</v>
      </c>
      <c r="F401" s="3">
        <v>20</v>
      </c>
      <c r="G401" s="4">
        <v>44999</v>
      </c>
    </row>
    <row r="402" spans="2:7" x14ac:dyDescent="0.15">
      <c r="B402" s="273" t="s">
        <v>7704</v>
      </c>
      <c r="C402" s="2" t="s">
        <v>5</v>
      </c>
      <c r="D402" s="2" t="s">
        <v>950</v>
      </c>
      <c r="E402" s="3">
        <v>65</v>
      </c>
      <c r="F402" s="3">
        <v>25</v>
      </c>
      <c r="G402" s="4">
        <v>44679</v>
      </c>
    </row>
    <row r="403" spans="2:7" x14ac:dyDescent="0.15">
      <c r="C403" s="2" t="s">
        <v>18</v>
      </c>
      <c r="D403" s="2" t="s">
        <v>927</v>
      </c>
      <c r="E403" s="3">
        <v>100</v>
      </c>
      <c r="F403" s="3">
        <v>9</v>
      </c>
      <c r="G403" s="4">
        <v>44690</v>
      </c>
    </row>
    <row r="404" spans="2:7" x14ac:dyDescent="0.15">
      <c r="C404" s="2" t="s">
        <v>7</v>
      </c>
      <c r="D404" s="2" t="s">
        <v>927</v>
      </c>
      <c r="E404" s="3">
        <v>40</v>
      </c>
      <c r="F404" s="3">
        <v>7</v>
      </c>
      <c r="G404" s="4">
        <v>44327</v>
      </c>
    </row>
    <row r="405" spans="2:7" x14ac:dyDescent="0.15">
      <c r="C405" s="2" t="s">
        <v>18</v>
      </c>
      <c r="D405" s="2" t="s">
        <v>1065</v>
      </c>
      <c r="E405" s="3">
        <v>85</v>
      </c>
      <c r="F405" s="3">
        <v>10</v>
      </c>
      <c r="G405" s="4">
        <v>44501</v>
      </c>
    </row>
    <row r="406" spans="2:7" x14ac:dyDescent="0.15">
      <c r="C406" s="2" t="s">
        <v>7</v>
      </c>
      <c r="D406" s="2" t="s">
        <v>1065</v>
      </c>
      <c r="E406" s="3">
        <v>28</v>
      </c>
      <c r="F406" s="3">
        <v>18</v>
      </c>
      <c r="G406" s="4">
        <v>44272</v>
      </c>
    </row>
    <row r="407" spans="2:7" x14ac:dyDescent="0.15">
      <c r="C407" s="2" t="s">
        <v>18</v>
      </c>
      <c r="D407" s="2" t="s">
        <v>878</v>
      </c>
      <c r="E407" s="3">
        <v>85</v>
      </c>
      <c r="F407" s="3">
        <v>20</v>
      </c>
      <c r="G407" s="4">
        <v>44417</v>
      </c>
    </row>
    <row r="408" spans="2:7" x14ac:dyDescent="0.15">
      <c r="C408" s="2" t="s">
        <v>1041</v>
      </c>
      <c r="D408" s="2" t="s">
        <v>833</v>
      </c>
      <c r="E408" s="3">
        <v>99</v>
      </c>
      <c r="F408" s="3">
        <v>30</v>
      </c>
      <c r="G408" s="4">
        <v>44796</v>
      </c>
    </row>
    <row r="409" spans="2:7" x14ac:dyDescent="0.15">
      <c r="C409" s="2" t="s">
        <v>1118</v>
      </c>
      <c r="D409" s="2" t="s">
        <v>833</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2124</v>
      </c>
      <c r="E412" s="3">
        <v>300</v>
      </c>
      <c r="F412" s="3">
        <v>14.285714285714286</v>
      </c>
      <c r="G412" s="4">
        <v>44300</v>
      </c>
    </row>
    <row r="413" spans="2:7" x14ac:dyDescent="0.15">
      <c r="C413" s="59" t="s">
        <v>8</v>
      </c>
      <c r="D413" s="59" t="s">
        <v>2122</v>
      </c>
      <c r="E413" s="3">
        <v>175</v>
      </c>
      <c r="F413" s="3">
        <v>50</v>
      </c>
      <c r="G413" s="4">
        <v>44511</v>
      </c>
    </row>
    <row r="414" spans="2:7" x14ac:dyDescent="0.15">
      <c r="C414" s="100" t="s">
        <v>18</v>
      </c>
      <c r="D414" s="100" t="s">
        <v>2106</v>
      </c>
      <c r="E414" s="3">
        <v>100</v>
      </c>
      <c r="F414" s="3">
        <v>30</v>
      </c>
      <c r="G414" s="4">
        <v>44397</v>
      </c>
    </row>
    <row r="415" spans="2:7" x14ac:dyDescent="0.15">
      <c r="C415" s="100" t="s">
        <v>7</v>
      </c>
      <c r="D415" s="100" t="s">
        <v>2106</v>
      </c>
      <c r="E415" s="3">
        <v>56</v>
      </c>
      <c r="F415" s="3">
        <v>32</v>
      </c>
      <c r="G415" s="4">
        <v>44319</v>
      </c>
    </row>
    <row r="416" spans="2:7" x14ac:dyDescent="0.15">
      <c r="C416" s="100" t="s">
        <v>7</v>
      </c>
      <c r="D416" s="100" t="s">
        <v>5491</v>
      </c>
      <c r="E416" s="3">
        <v>75</v>
      </c>
      <c r="F416" s="3">
        <f>50/3</f>
        <v>16.666666666666668</v>
      </c>
      <c r="G416" s="4">
        <v>44677</v>
      </c>
    </row>
    <row r="417" spans="1:18" x14ac:dyDescent="0.15">
      <c r="G417" s="4"/>
    </row>
    <row r="418" spans="1:18" s="12" customFormat="1" x14ac:dyDescent="0.15">
      <c r="A418" s="12">
        <v>19</v>
      </c>
      <c r="B418" s="12" t="s">
        <v>335</v>
      </c>
      <c r="C418" s="13" t="s">
        <v>970</v>
      </c>
      <c r="D418" s="13" t="s">
        <v>969</v>
      </c>
      <c r="E418" s="15"/>
      <c r="F418" s="15">
        <f>SUM(F419:F423)</f>
        <v>403.21999999999997</v>
      </c>
      <c r="G418" s="14">
        <f>G420</f>
        <v>44274</v>
      </c>
    </row>
    <row r="419" spans="1:18" x14ac:dyDescent="0.15">
      <c r="B419" s="258" t="s">
        <v>7529</v>
      </c>
      <c r="C419" s="2" t="s">
        <v>4</v>
      </c>
      <c r="D419" s="2" t="s">
        <v>332</v>
      </c>
      <c r="E419" s="3">
        <v>5.0999999999999996</v>
      </c>
      <c r="F419" s="3">
        <f>E419/5</f>
        <v>1.02</v>
      </c>
      <c r="G419" s="4">
        <v>43990</v>
      </c>
      <c r="M419" s="1"/>
      <c r="N419" s="1"/>
      <c r="O419" s="1"/>
      <c r="P419" s="1"/>
      <c r="Q419" s="1"/>
      <c r="R419" s="1"/>
    </row>
    <row r="420" spans="1:18" x14ac:dyDescent="0.15">
      <c r="B420" s="274" t="s">
        <v>7703</v>
      </c>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2042</v>
      </c>
      <c r="E422" s="3">
        <v>11</v>
      </c>
      <c r="F422" s="3">
        <f>7/4</f>
        <v>1.75</v>
      </c>
      <c r="G422" s="4">
        <v>44174</v>
      </c>
      <c r="M422" s="1"/>
      <c r="N422" s="1"/>
      <c r="O422" s="1"/>
      <c r="P422" s="1"/>
      <c r="Q422" s="1"/>
      <c r="R422" s="1"/>
    </row>
    <row r="423" spans="1:18" x14ac:dyDescent="0.15">
      <c r="C423" s="169" t="s">
        <v>4</v>
      </c>
      <c r="D423" s="169" t="s">
        <v>2042</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1138</v>
      </c>
      <c r="C425" s="13" t="s">
        <v>970</v>
      </c>
      <c r="D425" s="13" t="s">
        <v>969</v>
      </c>
      <c r="E425" s="15"/>
      <c r="F425" s="15">
        <f>SUM(F426:F435)</f>
        <v>391.5555555555556</v>
      </c>
      <c r="G425" s="14">
        <f>G428</f>
        <v>44274</v>
      </c>
    </row>
    <row r="426" spans="1:18" x14ac:dyDescent="0.15">
      <c r="B426" s="258" t="s">
        <v>7531</v>
      </c>
      <c r="C426" s="2" t="s">
        <v>5</v>
      </c>
      <c r="D426" s="2" t="s">
        <v>432</v>
      </c>
      <c r="E426" s="3">
        <v>15</v>
      </c>
      <c r="F426" s="3">
        <v>3</v>
      </c>
      <c r="G426" s="4">
        <v>42690</v>
      </c>
      <c r="M426" s="1"/>
      <c r="N426" s="1"/>
      <c r="O426" s="1"/>
      <c r="P426" s="1"/>
      <c r="Q426" s="1"/>
      <c r="R426" s="1"/>
    </row>
    <row r="427" spans="1:18" x14ac:dyDescent="0.15">
      <c r="B427" s="273" t="s">
        <v>7704</v>
      </c>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1137</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1134</v>
      </c>
      <c r="C437" s="13" t="s">
        <v>970</v>
      </c>
      <c r="D437" s="13" t="s">
        <v>969</v>
      </c>
      <c r="F437" s="15">
        <f>+F438+F439</f>
        <v>381.81818181818181</v>
      </c>
      <c r="G437" s="14">
        <f>+G438</f>
        <v>44363</v>
      </c>
      <c r="I437" s="2" t="s">
        <v>1</v>
      </c>
      <c r="J437" s="2" t="s">
        <v>1</v>
      </c>
      <c r="K437" s="2" t="s">
        <v>1</v>
      </c>
    </row>
    <row r="438" spans="1:18" x14ac:dyDescent="0.15">
      <c r="B438" s="258" t="s">
        <v>7529</v>
      </c>
      <c r="C438" s="2" t="s">
        <v>7</v>
      </c>
      <c r="D438" s="2" t="s">
        <v>1127</v>
      </c>
      <c r="E438" s="3">
        <v>2500</v>
      </c>
      <c r="F438" s="3">
        <f>2000/11</f>
        <v>181.81818181818181</v>
      </c>
      <c r="G438" s="4">
        <v>44363</v>
      </c>
    </row>
    <row r="439" spans="1:18" x14ac:dyDescent="0.15">
      <c r="B439" s="274" t="s">
        <v>7703</v>
      </c>
      <c r="C439" s="2" t="s">
        <v>5</v>
      </c>
      <c r="D439" s="2" t="s">
        <v>1127</v>
      </c>
      <c r="E439" s="3">
        <v>3000</v>
      </c>
      <c r="F439" s="3">
        <f>800/4</f>
        <v>200</v>
      </c>
      <c r="G439" s="4">
        <v>43892</v>
      </c>
    </row>
    <row r="440" spans="1:18" x14ac:dyDescent="0.15">
      <c r="G440" s="4"/>
    </row>
    <row r="441" spans="1:18" x14ac:dyDescent="0.15">
      <c r="A441" s="1">
        <v>22</v>
      </c>
      <c r="B441" s="12" t="s">
        <v>1133</v>
      </c>
      <c r="C441" s="13" t="s">
        <v>970</v>
      </c>
      <c r="D441" s="13" t="s">
        <v>969</v>
      </c>
      <c r="F441" s="15">
        <f>+F442+F443</f>
        <v>381.81818181818181</v>
      </c>
      <c r="G441" s="14">
        <f>+G442</f>
        <v>44363</v>
      </c>
      <c r="I441" s="2" t="s">
        <v>1</v>
      </c>
      <c r="J441" s="2" t="s">
        <v>1</v>
      </c>
      <c r="K441" s="2" t="s">
        <v>1</v>
      </c>
    </row>
    <row r="442" spans="1:18" x14ac:dyDescent="0.15">
      <c r="B442" s="258" t="s">
        <v>7529</v>
      </c>
      <c r="C442" s="2" t="s">
        <v>7</v>
      </c>
      <c r="D442" s="2" t="s">
        <v>1127</v>
      </c>
      <c r="E442" s="3">
        <v>2500</v>
      </c>
      <c r="F442" s="3">
        <f>2000/11</f>
        <v>181.81818181818181</v>
      </c>
      <c r="G442" s="4">
        <v>44363</v>
      </c>
    </row>
    <row r="443" spans="1:18" x14ac:dyDescent="0.15">
      <c r="B443" s="274" t="s">
        <v>7703</v>
      </c>
      <c r="C443" s="2" t="s">
        <v>5</v>
      </c>
      <c r="D443" s="2" t="s">
        <v>1127</v>
      </c>
      <c r="E443" s="3">
        <v>3000</v>
      </c>
      <c r="F443" s="3">
        <f>800/4</f>
        <v>200</v>
      </c>
      <c r="G443" s="4">
        <v>43892</v>
      </c>
    </row>
    <row r="444" spans="1:18" x14ac:dyDescent="0.15">
      <c r="G444" s="4"/>
    </row>
    <row r="445" spans="1:18" x14ac:dyDescent="0.15">
      <c r="A445" s="1">
        <v>23</v>
      </c>
      <c r="B445" s="12" t="s">
        <v>1128</v>
      </c>
      <c r="C445" s="13" t="s">
        <v>970</v>
      </c>
      <c r="D445" s="13" t="s">
        <v>969</v>
      </c>
      <c r="E445" s="15"/>
      <c r="F445" s="15">
        <f>SUM(F446:F454)</f>
        <v>324.46897546897549</v>
      </c>
      <c r="G445" s="14">
        <f>+G447</f>
        <v>44893</v>
      </c>
      <c r="I445" s="2" t="s">
        <v>1</v>
      </c>
      <c r="J445" s="2" t="s">
        <v>1</v>
      </c>
      <c r="K445" s="2" t="s">
        <v>1</v>
      </c>
    </row>
    <row r="446" spans="1:18" x14ac:dyDescent="0.15">
      <c r="B446" s="258" t="s">
        <v>7527</v>
      </c>
      <c r="C446" s="2" t="s">
        <v>7</v>
      </c>
      <c r="D446" s="2" t="s">
        <v>1127</v>
      </c>
      <c r="E446" s="3">
        <v>2500</v>
      </c>
      <c r="F446" s="3">
        <f>2000/11</f>
        <v>181.81818181818181</v>
      </c>
      <c r="G446" s="4">
        <v>44363</v>
      </c>
    </row>
    <row r="447" spans="1:18" x14ac:dyDescent="0.15">
      <c r="B447" s="274" t="s">
        <v>7703</v>
      </c>
      <c r="C447" s="2" t="s">
        <v>5</v>
      </c>
      <c r="D447" s="2" t="s">
        <v>780</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1052</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970</v>
      </c>
      <c r="D456" s="13" t="s">
        <v>969</v>
      </c>
      <c r="E456" s="15"/>
      <c r="F456" s="15">
        <f>SUM(F457:F459)</f>
        <v>302.5</v>
      </c>
      <c r="G456" s="14">
        <f>G459</f>
        <v>44550</v>
      </c>
      <c r="M456" s="13"/>
      <c r="N456" s="13"/>
      <c r="O456" s="13"/>
      <c r="P456" s="13"/>
      <c r="Q456" s="13"/>
      <c r="R456" s="13"/>
    </row>
    <row r="457" spans="1:18" x14ac:dyDescent="0.15">
      <c r="B457" s="258" t="s">
        <v>7530</v>
      </c>
      <c r="C457" s="2" t="s">
        <v>8</v>
      </c>
      <c r="D457" s="2" t="s">
        <v>232</v>
      </c>
      <c r="E457" s="3">
        <v>750</v>
      </c>
      <c r="F457" s="3">
        <f>450/4</f>
        <v>112.5</v>
      </c>
      <c r="G457" s="4">
        <v>43593</v>
      </c>
    </row>
    <row r="458" spans="1:18" x14ac:dyDescent="0.15">
      <c r="B458" s="274" t="s">
        <v>7703</v>
      </c>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7534</v>
      </c>
      <c r="C461" s="13" t="s">
        <v>970</v>
      </c>
      <c r="D461" s="13" t="s">
        <v>969</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B462" s="273" t="s">
        <v>7704</v>
      </c>
      <c r="C462" s="2" t="s">
        <v>9</v>
      </c>
      <c r="D462" s="2" t="s">
        <v>804</v>
      </c>
      <c r="E462" s="3">
        <v>325</v>
      </c>
      <c r="F462" s="3">
        <v>18.5</v>
      </c>
      <c r="G462" s="4">
        <v>44299</v>
      </c>
    </row>
    <row r="463" spans="1:18" x14ac:dyDescent="0.15">
      <c r="C463" s="2" t="s">
        <v>7</v>
      </c>
      <c r="D463" s="2" t="s">
        <v>804</v>
      </c>
      <c r="E463" s="3">
        <v>18</v>
      </c>
      <c r="F463" s="3">
        <v>12</v>
      </c>
      <c r="G463" s="4">
        <v>43319</v>
      </c>
    </row>
    <row r="464" spans="1:18" x14ac:dyDescent="0.15">
      <c r="C464" s="2" t="s">
        <v>18</v>
      </c>
      <c r="D464" s="2" t="s">
        <v>953</v>
      </c>
      <c r="E464" s="3">
        <v>270</v>
      </c>
      <c r="F464" s="3">
        <v>24</v>
      </c>
      <c r="G464" s="4">
        <v>45048</v>
      </c>
    </row>
    <row r="465" spans="3:10" x14ac:dyDescent="0.15">
      <c r="C465" s="2" t="s">
        <v>7</v>
      </c>
      <c r="D465" s="2" t="s">
        <v>953</v>
      </c>
      <c r="E465" s="3">
        <v>130</v>
      </c>
      <c r="F465" s="3">
        <v>23</v>
      </c>
      <c r="G465" s="4">
        <v>44607</v>
      </c>
    </row>
    <row r="466" spans="3:10" x14ac:dyDescent="0.15">
      <c r="C466" s="2" t="s">
        <v>5</v>
      </c>
      <c r="D466" s="2" t="s">
        <v>953</v>
      </c>
      <c r="E466" s="3">
        <v>40</v>
      </c>
      <c r="F466" s="3">
        <v>20</v>
      </c>
      <c r="G466" s="4">
        <v>44446</v>
      </c>
    </row>
    <row r="467" spans="3:10" x14ac:dyDescent="0.15">
      <c r="C467" s="2" t="s">
        <v>18</v>
      </c>
      <c r="D467" s="2" t="s">
        <v>799</v>
      </c>
      <c r="E467" s="3">
        <v>50</v>
      </c>
      <c r="F467" s="3">
        <f>25/3</f>
        <v>8.3333333333333339</v>
      </c>
      <c r="G467" s="4">
        <v>44496</v>
      </c>
    </row>
    <row r="468" spans="3:10" x14ac:dyDescent="0.15">
      <c r="C468" s="2" t="s">
        <v>7</v>
      </c>
      <c r="D468" s="2" t="s">
        <v>799</v>
      </c>
      <c r="E468" s="3">
        <v>22</v>
      </c>
      <c r="F468" s="3">
        <v>5</v>
      </c>
      <c r="G468" s="4">
        <v>44153</v>
      </c>
    </row>
    <row r="469" spans="3:10" x14ac:dyDescent="0.15">
      <c r="C469" s="2" t="s">
        <v>5</v>
      </c>
      <c r="D469" s="2" t="s">
        <v>799</v>
      </c>
      <c r="E469" s="3">
        <v>13</v>
      </c>
      <c r="F469" s="3">
        <v>10</v>
      </c>
      <c r="G469" s="4">
        <v>44026</v>
      </c>
    </row>
    <row r="470" spans="3:10" x14ac:dyDescent="0.15">
      <c r="C470" s="2" t="s">
        <v>7</v>
      </c>
      <c r="D470" s="2" t="s">
        <v>797</v>
      </c>
      <c r="E470" s="3">
        <v>50</v>
      </c>
      <c r="F470" s="3">
        <v>20</v>
      </c>
      <c r="G470" s="4">
        <v>45036</v>
      </c>
    </row>
    <row r="471" spans="3:10" x14ac:dyDescent="0.15">
      <c r="C471" s="2" t="s">
        <v>7</v>
      </c>
      <c r="D471" s="2" t="s">
        <v>895</v>
      </c>
      <c r="E471" s="3">
        <v>40</v>
      </c>
      <c r="F471" s="3">
        <v>5</v>
      </c>
      <c r="G471" s="4">
        <v>44728</v>
      </c>
    </row>
    <row r="472" spans="3:10" x14ac:dyDescent="0.15">
      <c r="C472" s="2" t="s">
        <v>5</v>
      </c>
      <c r="D472" s="2" t="s">
        <v>895</v>
      </c>
      <c r="E472" s="3">
        <v>18.600000000000001</v>
      </c>
      <c r="F472" s="3">
        <v>10</v>
      </c>
      <c r="G472" s="4">
        <v>44112</v>
      </c>
    </row>
    <row r="473" spans="3:10" x14ac:dyDescent="0.15">
      <c r="C473" s="2" t="s">
        <v>4</v>
      </c>
      <c r="D473" s="2" t="s">
        <v>706</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2046</v>
      </c>
      <c r="E479" s="3">
        <v>42</v>
      </c>
      <c r="F479" s="3">
        <f>22/4</f>
        <v>5.5</v>
      </c>
      <c r="G479" s="4">
        <v>44831</v>
      </c>
    </row>
    <row r="480" spans="3:10" x14ac:dyDescent="0.15">
      <c r="C480" s="169" t="s">
        <v>5</v>
      </c>
      <c r="D480" s="169" t="s">
        <v>2046</v>
      </c>
      <c r="E480" s="3">
        <v>15</v>
      </c>
      <c r="F480" s="3">
        <v>5</v>
      </c>
      <c r="G480" s="4">
        <v>44174</v>
      </c>
    </row>
    <row r="481" spans="1:18" x14ac:dyDescent="0.15">
      <c r="C481" s="169" t="s">
        <v>4</v>
      </c>
      <c r="D481" s="169" t="s">
        <v>2046</v>
      </c>
      <c r="E481" s="3">
        <v>3.3</v>
      </c>
      <c r="F481" s="3">
        <f>E481/2</f>
        <v>1.65</v>
      </c>
      <c r="G481" s="4">
        <v>43810</v>
      </c>
    </row>
    <row r="482" spans="1:18" x14ac:dyDescent="0.15">
      <c r="C482" s="184" t="s">
        <v>2037</v>
      </c>
      <c r="D482" s="184" t="s">
        <v>5</v>
      </c>
      <c r="E482" s="3">
        <v>30</v>
      </c>
      <c r="F482" s="3">
        <v>15</v>
      </c>
      <c r="G482" s="4">
        <v>44729</v>
      </c>
    </row>
    <row r="483" spans="1:18" x14ac:dyDescent="0.15">
      <c r="G483" s="4"/>
    </row>
    <row r="484" spans="1:18" s="12" customFormat="1" x14ac:dyDescent="0.15">
      <c r="A484" s="12">
        <v>26</v>
      </c>
      <c r="B484" s="12" t="s">
        <v>7535</v>
      </c>
      <c r="C484" s="13" t="s">
        <v>970</v>
      </c>
      <c r="D484" s="13" t="s">
        <v>969</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B485" s="273" t="s">
        <v>7704</v>
      </c>
      <c r="C485" s="2" t="s">
        <v>18</v>
      </c>
      <c r="D485" s="2" t="s">
        <v>965</v>
      </c>
      <c r="E485" s="3">
        <v>450</v>
      </c>
      <c r="F485" s="3">
        <v>150</v>
      </c>
      <c r="G485" s="4">
        <v>45069</v>
      </c>
    </row>
    <row r="486" spans="1:18" x14ac:dyDescent="0.15">
      <c r="C486" s="2" t="s">
        <v>7</v>
      </c>
      <c r="D486" s="2" t="s">
        <v>950</v>
      </c>
      <c r="E486" s="3">
        <v>350</v>
      </c>
      <c r="F486" s="3">
        <v>75</v>
      </c>
      <c r="G486" s="4">
        <v>44999</v>
      </c>
    </row>
    <row r="487" spans="1:18" x14ac:dyDescent="0.15">
      <c r="C487" s="2" t="s">
        <v>18</v>
      </c>
      <c r="D487" s="2" t="s">
        <v>804</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1123</v>
      </c>
      <c r="C490" s="13" t="s">
        <v>970</v>
      </c>
      <c r="D490" s="13" t="s">
        <v>969</v>
      </c>
      <c r="F490" s="15">
        <f>SUM(F491:F503)</f>
        <v>256.42857142857144</v>
      </c>
      <c r="G490" s="14">
        <f>G491</f>
        <v>44796</v>
      </c>
    </row>
    <row r="491" spans="1:18" x14ac:dyDescent="0.15">
      <c r="B491" s="258" t="s">
        <v>7536</v>
      </c>
      <c r="C491" s="2" t="s">
        <v>1041</v>
      </c>
      <c r="D491" s="2" t="s">
        <v>833</v>
      </c>
      <c r="E491" s="3">
        <v>99</v>
      </c>
      <c r="F491" s="3">
        <v>30</v>
      </c>
      <c r="G491" s="4">
        <v>44796</v>
      </c>
    </row>
    <row r="492" spans="1:18" x14ac:dyDescent="0.15">
      <c r="B492" s="274" t="s">
        <v>7703</v>
      </c>
      <c r="C492" s="2" t="s">
        <v>1118</v>
      </c>
      <c r="D492" s="2" t="s">
        <v>833</v>
      </c>
      <c r="E492" s="3">
        <v>100</v>
      </c>
      <c r="F492" s="3">
        <f>40/3</f>
        <v>13.333333333333334</v>
      </c>
      <c r="G492" s="4">
        <v>44537</v>
      </c>
    </row>
    <row r="493" spans="1:18" x14ac:dyDescent="0.15">
      <c r="C493" s="2" t="s">
        <v>7</v>
      </c>
      <c r="D493" s="2" t="s">
        <v>833</v>
      </c>
      <c r="E493" s="3">
        <v>40</v>
      </c>
      <c r="F493" s="3">
        <f>20/3</f>
        <v>6.666666666666667</v>
      </c>
      <c r="G493" s="4">
        <v>44125</v>
      </c>
    </row>
    <row r="494" spans="1:18" x14ac:dyDescent="0.15">
      <c r="C494" s="2" t="s">
        <v>5</v>
      </c>
      <c r="D494" s="2" t="s">
        <v>833</v>
      </c>
      <c r="E494" s="3">
        <v>20</v>
      </c>
      <c r="F494" s="3">
        <f>12/6</f>
        <v>2</v>
      </c>
      <c r="G494" s="4">
        <v>43816</v>
      </c>
    </row>
    <row r="495" spans="1:18" x14ac:dyDescent="0.15">
      <c r="C495" s="2" t="s">
        <v>5</v>
      </c>
      <c r="D495" s="2" t="s">
        <v>702</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7537</v>
      </c>
      <c r="C506" s="13" t="s">
        <v>970</v>
      </c>
      <c r="D506" s="13" t="s">
        <v>969</v>
      </c>
      <c r="E506" s="15"/>
      <c r="F506" s="15">
        <f>SUM(F507:F518)</f>
        <v>248.75</v>
      </c>
      <c r="G506" s="14">
        <f>G507</f>
        <v>44852</v>
      </c>
      <c r="M506" s="13"/>
      <c r="N506" s="13"/>
      <c r="O506" s="13"/>
      <c r="P506" s="13"/>
      <c r="Q506" s="13"/>
      <c r="R506" s="13"/>
    </row>
    <row r="507" spans="1:18" x14ac:dyDescent="0.15">
      <c r="B507" s="273" t="s">
        <v>7704</v>
      </c>
      <c r="C507" s="2" t="s">
        <v>5</v>
      </c>
      <c r="D507" s="2" t="s">
        <v>764</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2081</v>
      </c>
      <c r="E518" s="3">
        <v>100</v>
      </c>
      <c r="F518" s="3">
        <v>30</v>
      </c>
      <c r="G518" s="4">
        <v>44937</v>
      </c>
      <c r="I518" s="1">
        <v>900</v>
      </c>
      <c r="J518" s="1">
        <v>900</v>
      </c>
    </row>
    <row r="519" spans="1:18" x14ac:dyDescent="0.15">
      <c r="G519" s="4"/>
    </row>
    <row r="520" spans="1:18" s="12" customFormat="1" x14ac:dyDescent="0.15">
      <c r="A520" s="12">
        <v>29</v>
      </c>
      <c r="B520" s="12" t="s">
        <v>7538</v>
      </c>
      <c r="C520" s="13" t="s">
        <v>970</v>
      </c>
      <c r="D520" s="13" t="s">
        <v>969</v>
      </c>
      <c r="E520" s="15"/>
      <c r="F520" s="15">
        <f>SUM(F521:F529)</f>
        <v>226.21428571428572</v>
      </c>
      <c r="G520" s="14">
        <f>G526</f>
        <v>44515</v>
      </c>
    </row>
    <row r="521" spans="1:18" x14ac:dyDescent="0.15">
      <c r="B521" s="274" t="s">
        <v>7703</v>
      </c>
      <c r="C521" s="2" t="s">
        <v>18</v>
      </c>
      <c r="D521" s="2" t="s">
        <v>884</v>
      </c>
      <c r="E521" s="3">
        <v>200</v>
      </c>
      <c r="F521" s="3">
        <f>100/5</f>
        <v>20</v>
      </c>
      <c r="G521" s="4">
        <v>44377</v>
      </c>
      <c r="M521" s="1"/>
      <c r="N521" s="1"/>
      <c r="O521" s="1"/>
      <c r="P521" s="1"/>
      <c r="Q521" s="1"/>
      <c r="R521" s="1"/>
    </row>
    <row r="522" spans="1:18" x14ac:dyDescent="0.15">
      <c r="C522" s="2" t="s">
        <v>7</v>
      </c>
      <c r="D522" s="2" t="s">
        <v>884</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2134</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7539</v>
      </c>
      <c r="C531" s="13" t="s">
        <v>970</v>
      </c>
      <c r="D531" s="13" t="s">
        <v>969</v>
      </c>
      <c r="E531" s="15"/>
      <c r="F531" s="15">
        <f>SUM(F532:F542)</f>
        <v>224.75</v>
      </c>
      <c r="G531" s="14">
        <f>G537</f>
        <v>44882</v>
      </c>
    </row>
    <row r="532" spans="1:18" x14ac:dyDescent="0.15">
      <c r="C532" s="2" t="s">
        <v>9</v>
      </c>
      <c r="D532" s="2" t="s">
        <v>804</v>
      </c>
      <c r="E532" s="3">
        <v>325</v>
      </c>
      <c r="F532" s="3">
        <v>18.5</v>
      </c>
      <c r="G532" s="4">
        <v>44299</v>
      </c>
    </row>
    <row r="533" spans="1:18" x14ac:dyDescent="0.15">
      <c r="C533" s="2" t="s">
        <v>18</v>
      </c>
      <c r="D533" s="2" t="s">
        <v>804</v>
      </c>
      <c r="E533" s="3">
        <v>100</v>
      </c>
      <c r="F533" s="3">
        <v>35</v>
      </c>
      <c r="G533" s="4">
        <v>43682</v>
      </c>
    </row>
    <row r="534" spans="1:18" x14ac:dyDescent="0.15">
      <c r="C534" s="2" t="s">
        <v>5</v>
      </c>
      <c r="D534" s="2" t="s">
        <v>702</v>
      </c>
      <c r="E534" s="3">
        <v>50</v>
      </c>
      <c r="F534" s="3">
        <f>30/12</f>
        <v>2.5</v>
      </c>
      <c r="G534" s="4">
        <v>44796</v>
      </c>
    </row>
    <row r="535" spans="1:18" x14ac:dyDescent="0.15">
      <c r="C535" s="2" t="s">
        <v>5</v>
      </c>
      <c r="D535" s="2" t="s">
        <v>1084</v>
      </c>
      <c r="E535" s="3">
        <v>25</v>
      </c>
      <c r="F535" s="3">
        <v>10</v>
      </c>
      <c r="G535" s="4">
        <v>44679</v>
      </c>
    </row>
    <row r="536" spans="1:18" x14ac:dyDescent="0.15">
      <c r="C536" s="2" t="s">
        <v>4</v>
      </c>
      <c r="D536" s="2" t="s">
        <v>1084</v>
      </c>
      <c r="E536" s="3">
        <v>3</v>
      </c>
      <c r="F536" s="3">
        <v>1</v>
      </c>
      <c r="G536" s="4">
        <v>44197</v>
      </c>
    </row>
    <row r="537" spans="1:18" x14ac:dyDescent="0.15">
      <c r="C537" s="2" t="s">
        <v>7</v>
      </c>
      <c r="D537" s="2" t="s">
        <v>811</v>
      </c>
      <c r="E537" s="3">
        <v>27</v>
      </c>
      <c r="F537" s="3">
        <v>10</v>
      </c>
      <c r="G537" s="4">
        <v>44882</v>
      </c>
    </row>
    <row r="538" spans="1:18" x14ac:dyDescent="0.15">
      <c r="C538" s="2" t="s">
        <v>8</v>
      </c>
      <c r="D538" s="2" t="s">
        <v>3962</v>
      </c>
      <c r="E538" s="3">
        <v>90</v>
      </c>
      <c r="F538" s="3">
        <v>45</v>
      </c>
      <c r="G538" s="4">
        <v>40354</v>
      </c>
      <c r="I538" s="1">
        <v>645</v>
      </c>
      <c r="J538" s="1">
        <v>32500</v>
      </c>
    </row>
    <row r="539" spans="1:18" x14ac:dyDescent="0.15">
      <c r="C539" s="2" t="s">
        <v>2493</v>
      </c>
      <c r="D539" s="2" t="s">
        <v>3962</v>
      </c>
      <c r="E539" s="3">
        <v>196.5</v>
      </c>
      <c r="F539" s="3">
        <f>E539/2</f>
        <v>98.25</v>
      </c>
      <c r="G539" s="4">
        <v>41544</v>
      </c>
      <c r="I539" s="1">
        <v>8000</v>
      </c>
      <c r="J539" s="1">
        <v>32500</v>
      </c>
    </row>
    <row r="540" spans="1:18" x14ac:dyDescent="0.15">
      <c r="C540" s="100" t="s">
        <v>5</v>
      </c>
      <c r="D540" s="100" t="s">
        <v>5458</v>
      </c>
      <c r="E540" s="3">
        <v>18.100000000000001</v>
      </c>
      <c r="F540" s="3">
        <v>2</v>
      </c>
      <c r="G540" s="4">
        <v>42719</v>
      </c>
      <c r="J540" s="1">
        <v>2000</v>
      </c>
    </row>
    <row r="541" spans="1:18" x14ac:dyDescent="0.15">
      <c r="C541" s="261" t="s">
        <v>5</v>
      </c>
      <c r="D541" s="261" t="s">
        <v>2015</v>
      </c>
      <c r="E541" s="3">
        <v>9</v>
      </c>
      <c r="F541" s="3">
        <f>6/4</f>
        <v>1.5</v>
      </c>
      <c r="G541" s="4">
        <v>44540</v>
      </c>
    </row>
    <row r="542" spans="1:18" x14ac:dyDescent="0.15">
      <c r="C542" s="261" t="s">
        <v>4</v>
      </c>
      <c r="D542" s="261" t="s">
        <v>2015</v>
      </c>
      <c r="E542" s="3">
        <v>2.5</v>
      </c>
      <c r="F542" s="3">
        <v>1</v>
      </c>
      <c r="G542" s="4">
        <v>44296</v>
      </c>
    </row>
    <row r="543" spans="1:18" x14ac:dyDescent="0.15">
      <c r="G543" s="4"/>
    </row>
    <row r="544" spans="1:18" s="12" customFormat="1" x14ac:dyDescent="0.15">
      <c r="A544" s="12">
        <v>31</v>
      </c>
      <c r="B544" s="12" t="s">
        <v>1122</v>
      </c>
      <c r="C544" s="13" t="s">
        <v>970</v>
      </c>
      <c r="D544" s="13" t="s">
        <v>969</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7540</v>
      </c>
      <c r="C545" s="2" t="s">
        <v>18</v>
      </c>
      <c r="D545" s="2" t="s">
        <v>965</v>
      </c>
      <c r="E545" s="3">
        <v>450</v>
      </c>
      <c r="F545" s="3">
        <f>300/5</f>
        <v>60</v>
      </c>
      <c r="G545" s="4">
        <v>45069</v>
      </c>
    </row>
    <row r="546" spans="1:11" x14ac:dyDescent="0.15">
      <c r="B546" s="274" t="s">
        <v>7703</v>
      </c>
      <c r="C546" s="2" t="s">
        <v>18</v>
      </c>
      <c r="D546" s="2" t="s">
        <v>953</v>
      </c>
      <c r="E546" s="3">
        <v>270</v>
      </c>
      <c r="F546" s="3">
        <f>220/9</f>
        <v>24.444444444444443</v>
      </c>
      <c r="G546" s="4">
        <v>45048</v>
      </c>
    </row>
    <row r="547" spans="1:11" x14ac:dyDescent="0.15">
      <c r="C547" s="2" t="s">
        <v>4</v>
      </c>
      <c r="D547" s="2" t="s">
        <v>652</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1064</v>
      </c>
      <c r="E552" s="3">
        <v>100</v>
      </c>
      <c r="F552" s="3">
        <v>40</v>
      </c>
      <c r="G552" s="4">
        <v>45106</v>
      </c>
    </row>
    <row r="553" spans="1:11" x14ac:dyDescent="0.15">
      <c r="G553" s="4"/>
    </row>
    <row r="554" spans="1:11" x14ac:dyDescent="0.15">
      <c r="A554" s="1">
        <v>32</v>
      </c>
      <c r="B554" s="12" t="s">
        <v>1121</v>
      </c>
      <c r="C554" s="13" t="s">
        <v>970</v>
      </c>
      <c r="D554" s="13" t="s">
        <v>969</v>
      </c>
      <c r="E554" s="15"/>
      <c r="F554" s="15">
        <f>SUM(F555:F561)</f>
        <v>210.5952380952381</v>
      </c>
      <c r="G554" s="14">
        <f>G555</f>
        <v>44417</v>
      </c>
      <c r="I554" s="1" t="s">
        <v>1</v>
      </c>
      <c r="J554" s="1" t="s">
        <v>1</v>
      </c>
      <c r="K554" s="1" t="s">
        <v>1</v>
      </c>
    </row>
    <row r="555" spans="1:11" x14ac:dyDescent="0.15">
      <c r="B555" s="258" t="s">
        <v>7541</v>
      </c>
      <c r="C555" s="2" t="s">
        <v>18</v>
      </c>
      <c r="D555" s="2" t="s">
        <v>878</v>
      </c>
      <c r="E555" s="3">
        <v>85</v>
      </c>
      <c r="F555" s="3">
        <v>20</v>
      </c>
      <c r="G555" s="4">
        <v>44417</v>
      </c>
    </row>
    <row r="556" spans="1:11" x14ac:dyDescent="0.15">
      <c r="B556" s="274" t="s">
        <v>7703</v>
      </c>
      <c r="C556" s="2" t="s">
        <v>7</v>
      </c>
      <c r="D556" s="2" t="s">
        <v>878</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970</v>
      </c>
      <c r="D563" s="13" t="s">
        <v>969</v>
      </c>
      <c r="E563" s="15"/>
      <c r="F563" s="15">
        <f>SUM(F564:F565)</f>
        <v>209</v>
      </c>
      <c r="G563" s="14">
        <f>G564</f>
        <v>44504</v>
      </c>
      <c r="M563" s="13"/>
      <c r="N563" s="13"/>
      <c r="O563" s="13"/>
      <c r="P563" s="13"/>
      <c r="Q563" s="13"/>
      <c r="R563" s="13"/>
    </row>
    <row r="564" spans="1:18" x14ac:dyDescent="0.15">
      <c r="B564" s="274" t="s">
        <v>7703</v>
      </c>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1119</v>
      </c>
      <c r="C567" s="13" t="s">
        <v>970</v>
      </c>
      <c r="D567" s="13" t="s">
        <v>969</v>
      </c>
      <c r="F567" s="15">
        <f>SUM(F568:F591)</f>
        <v>205.44603174603174</v>
      </c>
      <c r="G567" s="14">
        <f>G568</f>
        <v>44852</v>
      </c>
    </row>
    <row r="568" spans="1:18" x14ac:dyDescent="0.15">
      <c r="B568" s="273" t="s">
        <v>7704</v>
      </c>
      <c r="C568" s="2" t="s">
        <v>5</v>
      </c>
      <c r="D568" s="2" t="s">
        <v>764</v>
      </c>
      <c r="E568" s="3">
        <v>125</v>
      </c>
      <c r="F568" s="3">
        <v>15</v>
      </c>
      <c r="G568" s="4">
        <v>44852</v>
      </c>
    </row>
    <row r="569" spans="1:18" x14ac:dyDescent="0.15">
      <c r="C569" s="2" t="s">
        <v>4</v>
      </c>
      <c r="D569" s="2" t="s">
        <v>764</v>
      </c>
      <c r="E569" s="3">
        <v>6</v>
      </c>
      <c r="F569" s="3">
        <v>4</v>
      </c>
      <c r="G569" s="4">
        <v>44352</v>
      </c>
    </row>
    <row r="570" spans="1:18" x14ac:dyDescent="0.15">
      <c r="C570" s="2" t="s">
        <v>1041</v>
      </c>
      <c r="D570" s="2" t="s">
        <v>833</v>
      </c>
      <c r="E570" s="3">
        <v>99</v>
      </c>
      <c r="F570" s="3">
        <v>20</v>
      </c>
      <c r="G570" s="4">
        <v>44796</v>
      </c>
    </row>
    <row r="571" spans="1:18" x14ac:dyDescent="0.15">
      <c r="C571" s="2" t="s">
        <v>1118</v>
      </c>
      <c r="D571" s="2" t="s">
        <v>833</v>
      </c>
      <c r="E571" s="3">
        <v>100</v>
      </c>
      <c r="F571" s="3">
        <f>40/3</f>
        <v>13.333333333333334</v>
      </c>
      <c r="G571" s="4">
        <v>44537</v>
      </c>
    </row>
    <row r="572" spans="1:18" x14ac:dyDescent="0.15">
      <c r="C572" s="2" t="s">
        <v>7</v>
      </c>
      <c r="D572" s="2" t="s">
        <v>833</v>
      </c>
      <c r="E572" s="3">
        <v>40</v>
      </c>
      <c r="F572" s="3">
        <v>8</v>
      </c>
      <c r="G572" s="4">
        <v>44125</v>
      </c>
    </row>
    <row r="573" spans="1:18" x14ac:dyDescent="0.15">
      <c r="C573" s="2" t="s">
        <v>7</v>
      </c>
      <c r="D573" s="2" t="s">
        <v>985</v>
      </c>
      <c r="E573" s="3">
        <v>38</v>
      </c>
      <c r="F573" s="3">
        <f>20/3</f>
        <v>6.666666666666667</v>
      </c>
      <c r="G573" s="4">
        <v>44812</v>
      </c>
    </row>
    <row r="574" spans="1:18" x14ac:dyDescent="0.15">
      <c r="C574" s="2" t="s">
        <v>5</v>
      </c>
      <c r="D574" s="2" t="s">
        <v>985</v>
      </c>
      <c r="E574" s="3">
        <v>19</v>
      </c>
      <c r="F574" s="3">
        <v>3.5</v>
      </c>
      <c r="G574" s="4">
        <v>44467</v>
      </c>
    </row>
    <row r="575" spans="1:18" x14ac:dyDescent="0.15">
      <c r="C575" s="2" t="s">
        <v>4</v>
      </c>
      <c r="D575" s="2" t="s">
        <v>985</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2033</v>
      </c>
      <c r="E588" s="3">
        <v>18.5</v>
      </c>
      <c r="F588" s="3">
        <f>E588/4</f>
        <v>4.625</v>
      </c>
      <c r="G588" s="4">
        <v>44561</v>
      </c>
    </row>
    <row r="589" spans="3:10" x14ac:dyDescent="0.15">
      <c r="C589" s="193" t="s">
        <v>4</v>
      </c>
      <c r="D589" s="193" t="s">
        <v>2033</v>
      </c>
      <c r="E589" s="3">
        <v>5.8</v>
      </c>
      <c r="F589" s="3">
        <f>E589/3</f>
        <v>1.9333333333333333</v>
      </c>
      <c r="G589" s="4">
        <v>44348</v>
      </c>
    </row>
    <row r="590" spans="3:10" x14ac:dyDescent="0.15">
      <c r="C590" s="193" t="s">
        <v>5</v>
      </c>
      <c r="D590" s="193" t="s">
        <v>2023</v>
      </c>
      <c r="E590" s="3">
        <v>16</v>
      </c>
      <c r="F590" s="3">
        <v>2</v>
      </c>
      <c r="G590" s="4">
        <v>44833</v>
      </c>
    </row>
    <row r="591" spans="3:10" x14ac:dyDescent="0.15">
      <c r="C591" s="193" t="s">
        <v>4</v>
      </c>
      <c r="D591" s="193" t="s">
        <v>2023</v>
      </c>
      <c r="E591" s="3">
        <v>4.8</v>
      </c>
      <c r="F591" s="3">
        <f>E591/3</f>
        <v>1.5999999999999999</v>
      </c>
      <c r="G591" s="4">
        <v>44720</v>
      </c>
    </row>
    <row r="592" spans="3:10" x14ac:dyDescent="0.15">
      <c r="G592" s="4"/>
    </row>
    <row r="593" spans="1:18" x14ac:dyDescent="0.15">
      <c r="A593" s="1">
        <v>35</v>
      </c>
      <c r="B593" s="12" t="s">
        <v>1120</v>
      </c>
      <c r="C593" s="13" t="s">
        <v>970</v>
      </c>
      <c r="D593" s="13" t="s">
        <v>969</v>
      </c>
      <c r="E593" s="15"/>
      <c r="F593" s="15">
        <f>SUM(F594:F602)</f>
        <v>204.5</v>
      </c>
      <c r="G593" s="14">
        <f>G594</f>
        <v>45042</v>
      </c>
    </row>
    <row r="594" spans="1:18" x14ac:dyDescent="0.15">
      <c r="B594" s="273" t="s">
        <v>7704</v>
      </c>
      <c r="C594" s="2" t="s">
        <v>7</v>
      </c>
      <c r="D594" s="2" t="s">
        <v>1088</v>
      </c>
      <c r="E594" s="3">
        <v>100</v>
      </c>
      <c r="F594" s="3">
        <v>5</v>
      </c>
      <c r="G594" s="4">
        <v>45042</v>
      </c>
    </row>
    <row r="595" spans="1:18" x14ac:dyDescent="0.15">
      <c r="C595" s="2" t="s">
        <v>18</v>
      </c>
      <c r="D595" s="2" t="s">
        <v>884</v>
      </c>
      <c r="E595" s="3">
        <v>200</v>
      </c>
      <c r="F595" s="3">
        <v>20</v>
      </c>
      <c r="G595" s="4">
        <v>44377</v>
      </c>
    </row>
    <row r="596" spans="1:18" x14ac:dyDescent="0.15">
      <c r="C596" s="2" t="s">
        <v>7</v>
      </c>
      <c r="D596" s="2" t="s">
        <v>884</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624</v>
      </c>
      <c r="C604" s="13" t="s">
        <v>970</v>
      </c>
      <c r="D604" s="13" t="s">
        <v>969</v>
      </c>
      <c r="E604" s="15"/>
      <c r="F604" s="15">
        <f>SUM(F605:F606)</f>
        <v>201.5</v>
      </c>
      <c r="G604" s="14">
        <f>G605</f>
        <v>44727</v>
      </c>
    </row>
    <row r="605" spans="1:18" x14ac:dyDescent="0.15">
      <c r="C605" s="2" t="s">
        <v>18</v>
      </c>
      <c r="D605" s="2" t="s">
        <v>623</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1117</v>
      </c>
      <c r="C608" s="13" t="s">
        <v>970</v>
      </c>
      <c r="D608" s="13" t="s">
        <v>969</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6829</v>
      </c>
      <c r="E621" s="3">
        <v>11</v>
      </c>
      <c r="F621" s="3">
        <v>2</v>
      </c>
      <c r="G621" s="4">
        <v>43215</v>
      </c>
    </row>
    <row r="622" spans="1:18" x14ac:dyDescent="0.15">
      <c r="G622" s="4"/>
    </row>
    <row r="623" spans="1:18" s="12" customFormat="1" x14ac:dyDescent="0.15">
      <c r="A623" s="12">
        <v>38</v>
      </c>
      <c r="B623" s="12" t="s">
        <v>1116</v>
      </c>
      <c r="C623" s="13" t="s">
        <v>970</v>
      </c>
      <c r="D623" s="13" t="s">
        <v>969</v>
      </c>
      <c r="E623" s="15"/>
      <c r="F623" s="15">
        <f>SUM(F624:F643)</f>
        <v>190.08571428571432</v>
      </c>
      <c r="G623" s="14">
        <f>G631</f>
        <v>45090</v>
      </c>
      <c r="M623" s="13"/>
      <c r="N623" s="13"/>
      <c r="O623" s="13"/>
      <c r="P623" s="13"/>
      <c r="Q623" s="13"/>
      <c r="R623" s="13"/>
    </row>
    <row r="624" spans="1:18" x14ac:dyDescent="0.15">
      <c r="B624" s="273" t="s">
        <v>7704</v>
      </c>
      <c r="C624" s="2" t="s">
        <v>18</v>
      </c>
      <c r="D624" s="2" t="s">
        <v>804</v>
      </c>
      <c r="E624" s="3">
        <v>100</v>
      </c>
      <c r="F624" s="3">
        <v>13</v>
      </c>
      <c r="G624" s="4">
        <v>43682</v>
      </c>
    </row>
    <row r="625" spans="3:10" x14ac:dyDescent="0.15">
      <c r="C625" s="2" t="s">
        <v>7</v>
      </c>
      <c r="D625" s="2" t="s">
        <v>804</v>
      </c>
      <c r="E625" s="3">
        <v>18</v>
      </c>
      <c r="F625" s="3">
        <v>3</v>
      </c>
      <c r="G625" s="4">
        <v>43319</v>
      </c>
    </row>
    <row r="626" spans="3:10" x14ac:dyDescent="0.15">
      <c r="C626" s="2" t="s">
        <v>5</v>
      </c>
      <c r="D626" s="2" t="s">
        <v>804</v>
      </c>
      <c r="E626" s="3">
        <v>4.5</v>
      </c>
      <c r="F626" s="3">
        <f>E626/3</f>
        <v>1.5</v>
      </c>
      <c r="G626" s="4">
        <v>42878</v>
      </c>
    </row>
    <row r="627" spans="3:10" x14ac:dyDescent="0.15">
      <c r="C627" s="2" t="s">
        <v>4</v>
      </c>
      <c r="D627" s="2" t="s">
        <v>878</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1052</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1115</v>
      </c>
      <c r="C645" s="13" t="s">
        <v>970</v>
      </c>
      <c r="D645" s="13" t="s">
        <v>969</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2042</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970</v>
      </c>
      <c r="D652" s="13" t="s">
        <v>969</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2136</v>
      </c>
      <c r="E657" s="3">
        <v>176</v>
      </c>
      <c r="F657" s="3">
        <v>13</v>
      </c>
      <c r="G657" s="4">
        <v>44578</v>
      </c>
    </row>
    <row r="658" spans="2:7" x14ac:dyDescent="0.15">
      <c r="G658" s="4"/>
    </row>
    <row r="659" spans="2:7" x14ac:dyDescent="0.15">
      <c r="B659" s="12" t="s">
        <v>1098</v>
      </c>
      <c r="C659" s="13" t="s">
        <v>970</v>
      </c>
      <c r="D659" s="13" t="s">
        <v>969</v>
      </c>
      <c r="F659" s="15">
        <f>SUM(F660:F684)</f>
        <v>172.73531746031748</v>
      </c>
      <c r="G659" s="14">
        <f>+G663</f>
        <v>44900</v>
      </c>
    </row>
    <row r="660" spans="2:7" x14ac:dyDescent="0.15">
      <c r="B660" s="273" t="s">
        <v>7704</v>
      </c>
      <c r="C660" s="2" t="s">
        <v>18</v>
      </c>
      <c r="D660" s="2" t="s">
        <v>927</v>
      </c>
      <c r="E660" s="3">
        <v>100</v>
      </c>
      <c r="F660" s="3">
        <v>20</v>
      </c>
      <c r="G660" s="4">
        <v>44690</v>
      </c>
    </row>
    <row r="661" spans="2:7" x14ac:dyDescent="0.15">
      <c r="C661" s="2" t="s">
        <v>7</v>
      </c>
      <c r="D661" s="2" t="s">
        <v>927</v>
      </c>
      <c r="E661" s="3">
        <v>40</v>
      </c>
      <c r="F661" s="3">
        <v>20</v>
      </c>
      <c r="G661" s="4">
        <v>44327</v>
      </c>
    </row>
    <row r="662" spans="2:7" x14ac:dyDescent="0.15">
      <c r="C662" s="2" t="s">
        <v>5</v>
      </c>
      <c r="D662" s="2" t="s">
        <v>927</v>
      </c>
      <c r="E662" s="3">
        <v>15</v>
      </c>
      <c r="F662" s="3">
        <v>5</v>
      </c>
      <c r="G662" s="4">
        <v>43816</v>
      </c>
    </row>
    <row r="663" spans="2:7" x14ac:dyDescent="0.15">
      <c r="C663" s="2" t="s">
        <v>18</v>
      </c>
      <c r="D663" s="2" t="s">
        <v>958</v>
      </c>
      <c r="E663" s="3">
        <v>50</v>
      </c>
      <c r="F663" s="3">
        <v>6</v>
      </c>
      <c r="G663" s="4">
        <v>44900</v>
      </c>
    </row>
    <row r="664" spans="2:7" x14ac:dyDescent="0.15">
      <c r="C664" s="2" t="s">
        <v>7</v>
      </c>
      <c r="D664" s="2" t="s">
        <v>958</v>
      </c>
      <c r="E664" s="3">
        <v>35</v>
      </c>
      <c r="F664" s="3">
        <v>5</v>
      </c>
      <c r="G664" s="4">
        <v>44543</v>
      </c>
    </row>
    <row r="665" spans="2:7" x14ac:dyDescent="0.15">
      <c r="C665" s="2" t="s">
        <v>5</v>
      </c>
      <c r="D665" s="2" t="s">
        <v>958</v>
      </c>
      <c r="E665" s="3">
        <v>8.5</v>
      </c>
      <c r="F665" s="3">
        <v>1</v>
      </c>
      <c r="G665" s="4">
        <v>44181</v>
      </c>
    </row>
    <row r="666" spans="2:7" x14ac:dyDescent="0.15">
      <c r="C666" s="2" t="s">
        <v>4</v>
      </c>
      <c r="D666" s="2" t="s">
        <v>958</v>
      </c>
      <c r="E666" s="3">
        <v>2</v>
      </c>
      <c r="F666" s="3">
        <v>2</v>
      </c>
      <c r="G666" s="4">
        <v>43435</v>
      </c>
    </row>
    <row r="667" spans="2:7" x14ac:dyDescent="0.15">
      <c r="C667" s="2" t="s">
        <v>5</v>
      </c>
      <c r="D667" s="2" t="s">
        <v>1006</v>
      </c>
      <c r="E667" s="3">
        <v>20</v>
      </c>
      <c r="F667" s="3">
        <v>4</v>
      </c>
      <c r="G667" s="4">
        <v>43949</v>
      </c>
    </row>
    <row r="668" spans="2:7" x14ac:dyDescent="0.15">
      <c r="C668" s="2" t="s">
        <v>4</v>
      </c>
      <c r="D668" s="2" t="s">
        <v>1006</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2122</v>
      </c>
      <c r="E680" s="3">
        <v>175</v>
      </c>
      <c r="F680" s="3">
        <f>75/4</f>
        <v>18.75</v>
      </c>
      <c r="G680" s="4">
        <v>44511</v>
      </c>
      <c r="I680" s="1">
        <v>3400</v>
      </c>
      <c r="J680" s="1">
        <v>3400</v>
      </c>
    </row>
    <row r="681" spans="2:18" x14ac:dyDescent="0.15">
      <c r="C681" s="59" t="s">
        <v>18</v>
      </c>
      <c r="D681" s="59" t="s">
        <v>2122</v>
      </c>
      <c r="E681" s="3">
        <v>125</v>
      </c>
      <c r="F681" s="3">
        <v>35</v>
      </c>
      <c r="G681" s="4">
        <v>44126</v>
      </c>
      <c r="I681" s="1">
        <v>1100</v>
      </c>
      <c r="J681" s="1">
        <v>3400</v>
      </c>
    </row>
    <row r="682" spans="2:18" x14ac:dyDescent="0.15">
      <c r="C682" s="59" t="s">
        <v>7</v>
      </c>
      <c r="D682" s="59" t="s">
        <v>2122</v>
      </c>
      <c r="E682" s="3">
        <v>40</v>
      </c>
      <c r="F682" s="3">
        <v>3</v>
      </c>
      <c r="G682" s="4">
        <v>43720</v>
      </c>
      <c r="J682" s="1">
        <v>3400</v>
      </c>
    </row>
    <row r="683" spans="2:18" x14ac:dyDescent="0.15">
      <c r="C683" s="59" t="s">
        <v>5</v>
      </c>
      <c r="D683" s="59" t="s">
        <v>2122</v>
      </c>
      <c r="E683" s="3">
        <v>11.5</v>
      </c>
      <c r="F683" s="3">
        <f>5.5/4</f>
        <v>1.375</v>
      </c>
      <c r="G683" s="4">
        <v>43355</v>
      </c>
      <c r="J683" s="1">
        <v>3400</v>
      </c>
    </row>
    <row r="684" spans="2:18" x14ac:dyDescent="0.15">
      <c r="C684" s="261" t="s">
        <v>4</v>
      </c>
      <c r="D684" s="261" t="s">
        <v>7656</v>
      </c>
      <c r="E684" s="3">
        <v>2.2000000000000002</v>
      </c>
      <c r="F684" s="3">
        <f>1.2/3</f>
        <v>0.39999999999999997</v>
      </c>
      <c r="G684" s="4">
        <v>43906</v>
      </c>
    </row>
    <row r="685" spans="2:18" x14ac:dyDescent="0.15">
      <c r="G685" s="4"/>
    </row>
    <row r="686" spans="2:18" s="12" customFormat="1" x14ac:dyDescent="0.15">
      <c r="B686" s="12" t="s">
        <v>239</v>
      </c>
      <c r="C686" s="13" t="s">
        <v>970</v>
      </c>
      <c r="D686" s="13" t="s">
        <v>969</v>
      </c>
      <c r="E686" s="15"/>
      <c r="F686" s="15">
        <f>SUM(F687:F688)</f>
        <v>170</v>
      </c>
      <c r="G686" s="14">
        <f>G687</f>
        <v>43040</v>
      </c>
      <c r="M686" s="13"/>
      <c r="N686" s="13"/>
      <c r="O686" s="13"/>
      <c r="P686" s="13"/>
      <c r="Q686" s="13"/>
      <c r="R686" s="13"/>
    </row>
    <row r="687" spans="2:18" x14ac:dyDescent="0.15">
      <c r="C687" s="2" t="s">
        <v>18</v>
      </c>
      <c r="D687" s="2" t="s">
        <v>232</v>
      </c>
      <c r="E687" s="3">
        <v>460</v>
      </c>
      <c r="F687" s="3">
        <v>150</v>
      </c>
      <c r="G687" s="4">
        <v>43040</v>
      </c>
    </row>
    <row r="688" spans="2:18" x14ac:dyDescent="0.15">
      <c r="C688" s="2" t="s">
        <v>18</v>
      </c>
      <c r="D688" s="2" t="s">
        <v>232</v>
      </c>
      <c r="E688" s="3">
        <v>100</v>
      </c>
      <c r="F688" s="3">
        <v>20</v>
      </c>
      <c r="G688" s="4">
        <v>42735</v>
      </c>
    </row>
    <row r="689" spans="2:11" x14ac:dyDescent="0.15">
      <c r="G689" s="4"/>
    </row>
    <row r="690" spans="2:11" x14ac:dyDescent="0.15">
      <c r="B690" s="12" t="s">
        <v>1114</v>
      </c>
      <c r="C690" s="13" t="s">
        <v>970</v>
      </c>
      <c r="D690" s="13" t="s">
        <v>969</v>
      </c>
      <c r="F690" s="15">
        <f>SUM(F691:F705)</f>
        <v>176.79545454545456</v>
      </c>
      <c r="G690" s="14">
        <f>G691</f>
        <v>45069</v>
      </c>
      <c r="I690" s="1">
        <v>5000</v>
      </c>
      <c r="J690" s="21">
        <f>+F690/I690</f>
        <v>3.5359090909090909E-2</v>
      </c>
      <c r="K690" s="1">
        <v>1976</v>
      </c>
    </row>
    <row r="691" spans="2:11" x14ac:dyDescent="0.15">
      <c r="B691" s="273" t="s">
        <v>7704</v>
      </c>
      <c r="C691" s="2" t="s">
        <v>18</v>
      </c>
      <c r="D691" s="2" t="s">
        <v>965</v>
      </c>
      <c r="E691" s="3">
        <v>450</v>
      </c>
      <c r="F691" s="3">
        <f>300/5</f>
        <v>60</v>
      </c>
      <c r="G691" s="4">
        <v>45069</v>
      </c>
    </row>
    <row r="692" spans="2:11" x14ac:dyDescent="0.15">
      <c r="C692" s="2" t="s">
        <v>7</v>
      </c>
      <c r="D692" s="2" t="s">
        <v>1088</v>
      </c>
      <c r="E692" s="3">
        <v>100</v>
      </c>
      <c r="F692" s="3">
        <v>5</v>
      </c>
      <c r="G692" s="4">
        <v>45042</v>
      </c>
    </row>
    <row r="693" spans="2:11" x14ac:dyDescent="0.15">
      <c r="C693" s="2" t="s">
        <v>5</v>
      </c>
      <c r="D693" s="2" t="s">
        <v>1088</v>
      </c>
      <c r="E693" s="3">
        <v>28</v>
      </c>
      <c r="F693" s="3">
        <v>16</v>
      </c>
      <c r="G693" s="4">
        <v>44649</v>
      </c>
    </row>
    <row r="694" spans="2:11" x14ac:dyDescent="0.15">
      <c r="C694" s="2" t="s">
        <v>5</v>
      </c>
      <c r="D694" s="2" t="s">
        <v>1064</v>
      </c>
      <c r="E694" s="3">
        <v>65</v>
      </c>
      <c r="F694" s="3">
        <v>10</v>
      </c>
      <c r="G694" s="4">
        <v>44984</v>
      </c>
    </row>
    <row r="695" spans="2:11" x14ac:dyDescent="0.15">
      <c r="C695" s="2" t="s">
        <v>7</v>
      </c>
      <c r="D695" s="2" t="s">
        <v>861</v>
      </c>
      <c r="E695" s="3">
        <v>25</v>
      </c>
      <c r="F695" s="3">
        <v>7</v>
      </c>
      <c r="G695" s="4">
        <v>44636</v>
      </c>
    </row>
    <row r="696" spans="2:11" x14ac:dyDescent="0.15">
      <c r="C696" s="2" t="s">
        <v>18</v>
      </c>
      <c r="D696" s="2" t="s">
        <v>1113</v>
      </c>
      <c r="E696" s="3">
        <v>125</v>
      </c>
      <c r="F696" s="3">
        <v>9</v>
      </c>
      <c r="G696" s="4">
        <v>44663</v>
      </c>
    </row>
    <row r="697" spans="2:11" x14ac:dyDescent="0.15">
      <c r="C697" s="2" t="s">
        <v>7</v>
      </c>
      <c r="D697" s="2" t="s">
        <v>1113</v>
      </c>
      <c r="E697" s="3">
        <v>54</v>
      </c>
      <c r="F697" s="3">
        <v>14</v>
      </c>
      <c r="G697" s="4">
        <v>44089</v>
      </c>
    </row>
    <row r="698" spans="2:11" x14ac:dyDescent="0.15">
      <c r="C698" s="2" t="s">
        <v>8</v>
      </c>
      <c r="D698" s="2" t="s">
        <v>449</v>
      </c>
      <c r="E698" s="3">
        <v>90</v>
      </c>
      <c r="F698" s="3">
        <f>50/11</f>
        <v>4.5454545454545459</v>
      </c>
      <c r="G698" s="4">
        <v>44776</v>
      </c>
    </row>
    <row r="699" spans="2:11" x14ac:dyDescent="0.15">
      <c r="C699" s="2" t="s">
        <v>18</v>
      </c>
      <c r="D699" s="2" t="s">
        <v>449</v>
      </c>
      <c r="E699" s="3">
        <v>40</v>
      </c>
      <c r="F699" s="3">
        <v>3.75</v>
      </c>
      <c r="G699" s="4">
        <v>44176</v>
      </c>
    </row>
    <row r="700" spans="2:11" x14ac:dyDescent="0.15">
      <c r="C700" s="2" t="s">
        <v>7</v>
      </c>
      <c r="D700" s="2" t="s">
        <v>449</v>
      </c>
      <c r="E700" s="3">
        <v>20</v>
      </c>
      <c r="F700" s="3">
        <f>15/5</f>
        <v>3</v>
      </c>
      <c r="G700" s="4">
        <v>43879</v>
      </c>
    </row>
    <row r="701" spans="2:11" x14ac:dyDescent="0.15">
      <c r="C701" s="2" t="s">
        <v>8</v>
      </c>
      <c r="D701" s="2" t="s">
        <v>258</v>
      </c>
      <c r="E701" s="3">
        <v>111</v>
      </c>
      <c r="F701" s="3">
        <v>7</v>
      </c>
      <c r="G701" s="4">
        <v>44622</v>
      </c>
    </row>
    <row r="702" spans="2:11" x14ac:dyDescent="0.15">
      <c r="C702" s="2" t="s">
        <v>18</v>
      </c>
      <c r="D702" s="2" t="s">
        <v>258</v>
      </c>
      <c r="E702" s="3">
        <v>55</v>
      </c>
      <c r="F702" s="3">
        <v>6</v>
      </c>
      <c r="G702" s="4">
        <v>44314</v>
      </c>
    </row>
    <row r="703" spans="2:11" x14ac:dyDescent="0.15">
      <c r="C703" s="2" t="s">
        <v>7</v>
      </c>
      <c r="D703" s="2" t="s">
        <v>258</v>
      </c>
      <c r="E703" s="3">
        <v>16</v>
      </c>
      <c r="F703" s="3">
        <v>4</v>
      </c>
      <c r="G703" s="4">
        <v>44009</v>
      </c>
    </row>
    <row r="704" spans="2:11" x14ac:dyDescent="0.15">
      <c r="C704" s="2" t="s">
        <v>7</v>
      </c>
      <c r="D704" s="2" t="s">
        <v>1064</v>
      </c>
      <c r="E704" s="3">
        <v>100</v>
      </c>
      <c r="F704" s="3">
        <v>15</v>
      </c>
      <c r="G704" s="4">
        <v>45106</v>
      </c>
    </row>
    <row r="705" spans="2:11" x14ac:dyDescent="0.15">
      <c r="C705" s="184" t="s">
        <v>5</v>
      </c>
      <c r="D705" s="184" t="s">
        <v>2038</v>
      </c>
      <c r="E705" s="3">
        <v>25</v>
      </c>
      <c r="F705" s="3">
        <v>12.5</v>
      </c>
      <c r="G705" s="4">
        <v>44454</v>
      </c>
    </row>
    <row r="706" spans="2:11" x14ac:dyDescent="0.15">
      <c r="G706" s="4"/>
    </row>
    <row r="707" spans="2:11" x14ac:dyDescent="0.15">
      <c r="B707" s="12" t="s">
        <v>1110</v>
      </c>
      <c r="C707" s="13" t="s">
        <v>970</v>
      </c>
      <c r="D707" s="13" t="s">
        <v>969</v>
      </c>
      <c r="E707" s="15"/>
      <c r="F707" s="15">
        <f>SUM(F708:F724)</f>
        <v>173.50000000000003</v>
      </c>
      <c r="G707" s="14">
        <f>G710</f>
        <v>44754</v>
      </c>
      <c r="I707" s="1">
        <v>6800</v>
      </c>
      <c r="J707" s="20">
        <f>+F707/I707</f>
        <v>2.5514705882352946E-2</v>
      </c>
      <c r="K707" s="1">
        <v>1972</v>
      </c>
    </row>
    <row r="708" spans="2:11" x14ac:dyDescent="0.15">
      <c r="B708" s="273" t="s">
        <v>7704</v>
      </c>
      <c r="C708" s="2" t="s">
        <v>18</v>
      </c>
      <c r="D708" s="2" t="s">
        <v>1044</v>
      </c>
      <c r="E708" s="3">
        <v>100</v>
      </c>
      <c r="F708" s="3">
        <v>15</v>
      </c>
      <c r="G708" s="4">
        <v>44699</v>
      </c>
    </row>
    <row r="709" spans="2:11" x14ac:dyDescent="0.15">
      <c r="C709" s="2" t="s">
        <v>7</v>
      </c>
      <c r="D709" s="2" t="s">
        <v>1044</v>
      </c>
      <c r="E709" s="3">
        <v>100</v>
      </c>
      <c r="F709" s="3">
        <f>25/3</f>
        <v>8.3333333333333339</v>
      </c>
      <c r="G709" s="4">
        <v>44286</v>
      </c>
    </row>
    <row r="710" spans="2:11" x14ac:dyDescent="0.15">
      <c r="C710" s="2" t="s">
        <v>18</v>
      </c>
      <c r="D710" s="2" t="s">
        <v>1006</v>
      </c>
      <c r="E710" s="3">
        <v>100</v>
      </c>
      <c r="F710" s="3">
        <v>40</v>
      </c>
      <c r="G710" s="4">
        <v>44754</v>
      </c>
    </row>
    <row r="711" spans="2:11" x14ac:dyDescent="0.15">
      <c r="C711" s="2" t="s">
        <v>5</v>
      </c>
      <c r="D711" s="2" t="s">
        <v>702</v>
      </c>
      <c r="E711" s="3">
        <v>50</v>
      </c>
      <c r="F711" s="3">
        <f>30/12</f>
        <v>2.5</v>
      </c>
      <c r="G711" s="4">
        <v>44796</v>
      </c>
    </row>
    <row r="712" spans="2:11" x14ac:dyDescent="0.15">
      <c r="C712" s="2" t="s">
        <v>4</v>
      </c>
      <c r="D712" s="2" t="s">
        <v>702</v>
      </c>
      <c r="E712" s="3">
        <v>12.5</v>
      </c>
      <c r="F712" s="3">
        <f>8/5</f>
        <v>1.6</v>
      </c>
      <c r="G712" s="4">
        <v>44623</v>
      </c>
    </row>
    <row r="713" spans="2:11" x14ac:dyDescent="0.15">
      <c r="C713" s="2" t="s">
        <v>4</v>
      </c>
      <c r="D713" s="2" t="s">
        <v>702</v>
      </c>
      <c r="E713" s="3">
        <v>7.2</v>
      </c>
      <c r="F713" s="3">
        <v>2</v>
      </c>
      <c r="G713" s="4">
        <v>44508</v>
      </c>
    </row>
    <row r="714" spans="2:11" x14ac:dyDescent="0.15">
      <c r="C714" s="2" t="s">
        <v>7</v>
      </c>
      <c r="D714" s="2" t="s">
        <v>872</v>
      </c>
      <c r="E714" s="3">
        <v>30</v>
      </c>
      <c r="F714" s="3">
        <f>20/3</f>
        <v>6.666666666666667</v>
      </c>
      <c r="G714" s="4">
        <v>44510</v>
      </c>
    </row>
    <row r="715" spans="2:11" x14ac:dyDescent="0.15">
      <c r="C715" s="2" t="s">
        <v>5</v>
      </c>
      <c r="D715" s="2" t="s">
        <v>872</v>
      </c>
      <c r="E715" s="3">
        <v>21.4</v>
      </c>
      <c r="F715" s="3">
        <v>5</v>
      </c>
      <c r="G715" s="4">
        <v>44232</v>
      </c>
    </row>
    <row r="716" spans="2:11" x14ac:dyDescent="0.15">
      <c r="C716" s="2" t="s">
        <v>18</v>
      </c>
      <c r="D716" s="2" t="s">
        <v>884</v>
      </c>
      <c r="E716" s="3">
        <v>200</v>
      </c>
      <c r="F716" s="3">
        <v>20</v>
      </c>
      <c r="G716" s="4">
        <v>44377</v>
      </c>
    </row>
    <row r="717" spans="2:11" x14ac:dyDescent="0.15">
      <c r="C717" s="2" t="s">
        <v>7</v>
      </c>
      <c r="D717" s="2" t="s">
        <v>884</v>
      </c>
      <c r="E717" s="3">
        <v>75</v>
      </c>
      <c r="F717" s="3">
        <v>20</v>
      </c>
      <c r="G717" s="4">
        <v>43783</v>
      </c>
    </row>
    <row r="718" spans="2:11" x14ac:dyDescent="0.15">
      <c r="C718" s="2" t="s">
        <v>18</v>
      </c>
      <c r="D718" s="2" t="s">
        <v>404</v>
      </c>
      <c r="E718" s="3">
        <v>90</v>
      </c>
      <c r="F718" s="3">
        <v>15</v>
      </c>
      <c r="G718" s="4">
        <v>45090</v>
      </c>
    </row>
    <row r="719" spans="2:11" x14ac:dyDescent="0.15">
      <c r="C719" s="2" t="s">
        <v>7</v>
      </c>
      <c r="D719" s="2" t="s">
        <v>404</v>
      </c>
      <c r="E719" s="3">
        <v>50</v>
      </c>
      <c r="F719" s="3">
        <v>20</v>
      </c>
      <c r="G719" s="4">
        <v>44538</v>
      </c>
    </row>
    <row r="720" spans="2:11" x14ac:dyDescent="0.15">
      <c r="C720" s="59" t="s">
        <v>7</v>
      </c>
      <c r="D720" s="59" t="s">
        <v>2122</v>
      </c>
      <c r="E720" s="3">
        <v>40</v>
      </c>
      <c r="F720" s="3">
        <v>3</v>
      </c>
      <c r="G720" s="4">
        <v>43720</v>
      </c>
      <c r="J720" s="1">
        <v>3400</v>
      </c>
    </row>
    <row r="721" spans="2:18" x14ac:dyDescent="0.15">
      <c r="C721" s="62" t="s">
        <v>18</v>
      </c>
      <c r="D721" s="62" t="s">
        <v>2114</v>
      </c>
      <c r="E721" s="3">
        <v>40</v>
      </c>
      <c r="F721" s="3">
        <v>5</v>
      </c>
      <c r="G721" s="4">
        <v>44238</v>
      </c>
      <c r="J721" s="1">
        <v>790</v>
      </c>
    </row>
    <row r="722" spans="2:18" x14ac:dyDescent="0.15">
      <c r="C722" s="62" t="s">
        <v>7</v>
      </c>
      <c r="D722" s="62" t="s">
        <v>2114</v>
      </c>
      <c r="E722" s="3">
        <v>25</v>
      </c>
      <c r="F722" s="3">
        <v>5</v>
      </c>
      <c r="G722" s="4">
        <v>43865</v>
      </c>
      <c r="J722" s="1">
        <v>790</v>
      </c>
    </row>
    <row r="723" spans="2:18" x14ac:dyDescent="0.15">
      <c r="C723" s="62" t="s">
        <v>5</v>
      </c>
      <c r="D723" s="62" t="s">
        <v>2114</v>
      </c>
      <c r="E723" s="3">
        <v>10</v>
      </c>
      <c r="F723" s="3">
        <v>2.5</v>
      </c>
      <c r="G723" s="4">
        <v>43564</v>
      </c>
      <c r="J723" s="1">
        <v>790</v>
      </c>
    </row>
    <row r="724" spans="2:18" x14ac:dyDescent="0.15">
      <c r="C724" s="62" t="s">
        <v>4</v>
      </c>
      <c r="D724" s="62" t="s">
        <v>2114</v>
      </c>
      <c r="E724" s="3">
        <v>3.9</v>
      </c>
      <c r="F724" s="3">
        <v>1.9</v>
      </c>
      <c r="G724" s="4">
        <v>43311</v>
      </c>
      <c r="J724" s="1">
        <v>790</v>
      </c>
    </row>
    <row r="725" spans="2:18" x14ac:dyDescent="0.15">
      <c r="G725" s="4"/>
    </row>
    <row r="726" spans="2:18" s="12" customFormat="1" x14ac:dyDescent="0.15">
      <c r="B726" s="12" t="s">
        <v>1109</v>
      </c>
      <c r="C726" s="13" t="s">
        <v>970</v>
      </c>
      <c r="D726" s="13" t="s">
        <v>969</v>
      </c>
      <c r="E726" s="15"/>
      <c r="F726" s="15">
        <f>SUM(F727:F735)</f>
        <v>168.44285714285715</v>
      </c>
      <c r="G726" s="14">
        <f>G732</f>
        <v>44880</v>
      </c>
      <c r="M726" s="13"/>
      <c r="N726" s="13"/>
      <c r="O726" s="13"/>
      <c r="P726" s="13"/>
      <c r="Q726" s="13"/>
      <c r="R726" s="13"/>
    </row>
    <row r="727" spans="2:18" x14ac:dyDescent="0.15">
      <c r="C727" s="2" t="s">
        <v>8</v>
      </c>
      <c r="D727" s="2" t="s">
        <v>208</v>
      </c>
      <c r="E727" s="3">
        <v>676</v>
      </c>
      <c r="F727" s="3">
        <f>500/7</f>
        <v>71.428571428571431</v>
      </c>
      <c r="G727" s="4">
        <v>44299</v>
      </c>
      <c r="I727" s="1">
        <v>4400</v>
      </c>
    </row>
    <row r="728" spans="2:18" x14ac:dyDescent="0.15">
      <c r="C728" s="2" t="s">
        <v>18</v>
      </c>
      <c r="D728" s="2" t="s">
        <v>208</v>
      </c>
      <c r="E728" s="3">
        <v>250</v>
      </c>
      <c r="F728" s="3">
        <f>170/5</f>
        <v>34</v>
      </c>
      <c r="G728" s="4">
        <v>43886</v>
      </c>
      <c r="I728" s="1">
        <v>2300</v>
      </c>
    </row>
    <row r="729" spans="2:18" x14ac:dyDescent="0.15">
      <c r="C729" s="2" t="s">
        <v>7</v>
      </c>
      <c r="D729" s="2" t="s">
        <v>208</v>
      </c>
      <c r="E729" s="3">
        <v>150</v>
      </c>
      <c r="F729" s="3">
        <v>20</v>
      </c>
      <c r="G729" s="4">
        <v>43556</v>
      </c>
    </row>
    <row r="730" spans="2:18" x14ac:dyDescent="0.15">
      <c r="C730" s="2" t="s">
        <v>5</v>
      </c>
      <c r="D730" s="2" t="s">
        <v>208</v>
      </c>
      <c r="E730" s="3">
        <v>7.3</v>
      </c>
      <c r="F730" s="3">
        <v>7.3</v>
      </c>
      <c r="G730" s="4">
        <v>43327</v>
      </c>
    </row>
    <row r="731" spans="2:18" x14ac:dyDescent="0.15">
      <c r="C731" s="2" t="s">
        <v>4</v>
      </c>
      <c r="D731" s="2" t="s">
        <v>208</v>
      </c>
      <c r="E731" s="3">
        <v>2</v>
      </c>
      <c r="F731" s="3">
        <v>2</v>
      </c>
      <c r="G731" s="4">
        <v>43047</v>
      </c>
    </row>
    <row r="732" spans="2:18" x14ac:dyDescent="0.15">
      <c r="C732" s="2" t="s">
        <v>8</v>
      </c>
      <c r="D732" s="2" t="s">
        <v>131</v>
      </c>
      <c r="E732" s="3">
        <v>135</v>
      </c>
      <c r="F732" s="3">
        <v>8</v>
      </c>
      <c r="G732" s="4">
        <v>44880</v>
      </c>
      <c r="I732" s="1">
        <v>615</v>
      </c>
    </row>
    <row r="733" spans="2:18" x14ac:dyDescent="0.15">
      <c r="C733" s="2" t="s">
        <v>7</v>
      </c>
      <c r="D733" s="2" t="s">
        <v>131</v>
      </c>
      <c r="E733" s="3">
        <v>10</v>
      </c>
      <c r="F733" s="3">
        <v>10</v>
      </c>
      <c r="G733" s="4">
        <v>42414</v>
      </c>
      <c r="J733" s="1">
        <v>615</v>
      </c>
    </row>
    <row r="734" spans="2:18" x14ac:dyDescent="0.15">
      <c r="C734" s="62" t="s">
        <v>9</v>
      </c>
      <c r="D734" s="62" t="s">
        <v>2117</v>
      </c>
      <c r="E734" s="3">
        <v>100</v>
      </c>
      <c r="F734" s="3">
        <f>75/7</f>
        <v>10.714285714285714</v>
      </c>
      <c r="G734" s="4">
        <v>44507</v>
      </c>
      <c r="I734" s="1">
        <v>1600</v>
      </c>
      <c r="J734" s="1">
        <v>1600</v>
      </c>
    </row>
    <row r="735" spans="2:18" x14ac:dyDescent="0.15">
      <c r="C735" s="62" t="s">
        <v>7</v>
      </c>
      <c r="D735" s="62" t="s">
        <v>2117</v>
      </c>
      <c r="E735" s="3">
        <v>5</v>
      </c>
      <c r="F735" s="3">
        <v>5</v>
      </c>
      <c r="G735" s="4">
        <v>42285</v>
      </c>
      <c r="J735" s="1">
        <v>1600</v>
      </c>
    </row>
    <row r="736" spans="2:18" x14ac:dyDescent="0.15">
      <c r="G736" s="4"/>
    </row>
    <row r="737" spans="2:18" s="12" customFormat="1" x14ac:dyDescent="0.15">
      <c r="B737" s="12" t="s">
        <v>1112</v>
      </c>
      <c r="C737" s="13" t="s">
        <v>970</v>
      </c>
      <c r="D737" s="13" t="s">
        <v>969</v>
      </c>
      <c r="E737" s="15"/>
      <c r="F737" s="15">
        <f>SUM(F738:F744)</f>
        <v>165.625</v>
      </c>
      <c r="G737" s="14">
        <f>G738</f>
        <v>44417</v>
      </c>
      <c r="M737" s="13"/>
      <c r="N737" s="13"/>
      <c r="O737" s="13"/>
      <c r="P737" s="13"/>
      <c r="Q737" s="13"/>
      <c r="R737" s="13"/>
    </row>
    <row r="738" spans="2:18" x14ac:dyDescent="0.15">
      <c r="C738" s="2" t="s">
        <v>18</v>
      </c>
      <c r="D738" s="2" t="s">
        <v>878</v>
      </c>
      <c r="E738" s="3">
        <v>85</v>
      </c>
      <c r="F738" s="3">
        <f>45/8</f>
        <v>5.625</v>
      </c>
      <c r="G738" s="4">
        <v>44417</v>
      </c>
      <c r="H738" s="5"/>
    </row>
    <row r="739" spans="2:18" x14ac:dyDescent="0.15">
      <c r="C739" s="2" t="s">
        <v>8</v>
      </c>
      <c r="D739" s="2" t="s">
        <v>208</v>
      </c>
      <c r="E739" s="3">
        <v>676</v>
      </c>
      <c r="F739" s="3">
        <v>71</v>
      </c>
      <c r="G739" s="4">
        <v>44299</v>
      </c>
      <c r="H739" s="5"/>
      <c r="I739" s="1">
        <v>4400</v>
      </c>
    </row>
    <row r="740" spans="2:18" x14ac:dyDescent="0.15">
      <c r="C740" s="2" t="s">
        <v>18</v>
      </c>
      <c r="D740" s="2" t="s">
        <v>208</v>
      </c>
      <c r="E740" s="3">
        <v>250</v>
      </c>
      <c r="F740" s="3">
        <f>170/5</f>
        <v>34</v>
      </c>
      <c r="G740" s="4">
        <v>43886</v>
      </c>
      <c r="H740" s="5"/>
      <c r="I740" s="1">
        <v>2300</v>
      </c>
    </row>
    <row r="741" spans="2:18" x14ac:dyDescent="0.15">
      <c r="C741" s="2" t="s">
        <v>7</v>
      </c>
      <c r="D741" s="2" t="s">
        <v>208</v>
      </c>
      <c r="E741" s="3">
        <v>150</v>
      </c>
      <c r="F741" s="3">
        <f>100/5</f>
        <v>20</v>
      </c>
      <c r="G741" s="4">
        <v>43556</v>
      </c>
      <c r="H741" s="5"/>
    </row>
    <row r="742" spans="2:18" x14ac:dyDescent="0.15">
      <c r="C742" s="2" t="s">
        <v>5</v>
      </c>
      <c r="D742" s="2" t="s">
        <v>208</v>
      </c>
      <c r="E742" s="3">
        <v>56</v>
      </c>
      <c r="F742" s="3">
        <v>20</v>
      </c>
      <c r="G742" s="4">
        <v>43174</v>
      </c>
      <c r="H742" s="5"/>
    </row>
    <row r="743" spans="2:18" x14ac:dyDescent="0.15">
      <c r="C743" s="2" t="s">
        <v>7</v>
      </c>
      <c r="D743" s="2" t="s">
        <v>131</v>
      </c>
      <c r="E743" s="3">
        <v>32</v>
      </c>
      <c r="F743" s="3">
        <v>12</v>
      </c>
      <c r="G743" s="4">
        <v>42528</v>
      </c>
      <c r="H743" s="5"/>
    </row>
    <row r="744" spans="2:18" x14ac:dyDescent="0.15">
      <c r="C744" s="2" t="s">
        <v>5</v>
      </c>
      <c r="D744" s="2" t="s">
        <v>2030</v>
      </c>
      <c r="E744" s="3">
        <v>18</v>
      </c>
      <c r="F744" s="3">
        <v>3</v>
      </c>
      <c r="G744" s="4">
        <v>44866</v>
      </c>
      <c r="H744" s="5"/>
    </row>
    <row r="745" spans="2:18" x14ac:dyDescent="0.15">
      <c r="G745" s="4"/>
      <c r="H745" s="5"/>
    </row>
    <row r="746" spans="2:18" x14ac:dyDescent="0.15">
      <c r="B746" s="12" t="s">
        <v>1107</v>
      </c>
      <c r="C746" s="13" t="s">
        <v>970</v>
      </c>
      <c r="D746" s="13" t="s">
        <v>969</v>
      </c>
      <c r="F746" s="15">
        <f>SUM(F747:F772)</f>
        <v>164.97499999999999</v>
      </c>
      <c r="G746" s="14">
        <f>+G756</f>
        <v>45020</v>
      </c>
      <c r="I746" s="1">
        <v>700</v>
      </c>
      <c r="J746" s="19">
        <f>(F747+F755+F756)/I746</f>
        <v>2.5714285714285714E-2</v>
      </c>
      <c r="K746" s="1">
        <v>2022</v>
      </c>
    </row>
    <row r="747" spans="2:18" x14ac:dyDescent="0.15">
      <c r="B747" s="273" t="s">
        <v>7704</v>
      </c>
      <c r="C747" s="2" t="s">
        <v>18</v>
      </c>
      <c r="D747" s="2" t="s">
        <v>958</v>
      </c>
      <c r="E747" s="3">
        <v>50</v>
      </c>
      <c r="F747" s="3">
        <v>6</v>
      </c>
      <c r="G747" s="4">
        <v>44900</v>
      </c>
      <c r="I747" s="1">
        <v>1400</v>
      </c>
      <c r="J747" s="19">
        <f>+F746/I747</f>
        <v>0.11783928571428572</v>
      </c>
      <c r="K747" s="1">
        <v>2012</v>
      </c>
    </row>
    <row r="748" spans="2:18" x14ac:dyDescent="0.15">
      <c r="C748" s="2" t="s">
        <v>7</v>
      </c>
      <c r="D748" s="2" t="s">
        <v>958</v>
      </c>
      <c r="E748" s="3">
        <v>35</v>
      </c>
      <c r="F748" s="3">
        <v>5</v>
      </c>
      <c r="G748" s="4">
        <v>44543</v>
      </c>
    </row>
    <row r="749" spans="2:18" x14ac:dyDescent="0.15">
      <c r="C749" s="2" t="s">
        <v>5</v>
      </c>
      <c r="D749" s="2" t="s">
        <v>958</v>
      </c>
      <c r="E749" s="3">
        <v>8.5</v>
      </c>
      <c r="F749" s="3">
        <v>5</v>
      </c>
      <c r="G749" s="4">
        <v>44181</v>
      </c>
    </row>
    <row r="750" spans="2:18" x14ac:dyDescent="0.15">
      <c r="C750" s="2" t="s">
        <v>18</v>
      </c>
      <c r="D750" s="2" t="s">
        <v>1065</v>
      </c>
      <c r="E750" s="3">
        <v>85</v>
      </c>
      <c r="F750" s="3">
        <v>10</v>
      </c>
      <c r="G750" s="4">
        <v>44501</v>
      </c>
    </row>
    <row r="751" spans="2:18" x14ac:dyDescent="0.15">
      <c r="C751" s="2" t="s">
        <v>7</v>
      </c>
      <c r="D751" s="2" t="s">
        <v>1065</v>
      </c>
      <c r="E751" s="3">
        <v>28</v>
      </c>
      <c r="F751" s="3">
        <v>5</v>
      </c>
      <c r="G751" s="4">
        <v>44272</v>
      </c>
    </row>
    <row r="752" spans="2:18" x14ac:dyDescent="0.15">
      <c r="C752" s="2" t="s">
        <v>5</v>
      </c>
      <c r="D752" s="2" t="s">
        <v>1065</v>
      </c>
      <c r="E752" s="3">
        <v>15</v>
      </c>
      <c r="F752" s="3">
        <v>10</v>
      </c>
      <c r="G752" s="4">
        <v>43924</v>
      </c>
    </row>
    <row r="753" spans="3:7" x14ac:dyDescent="0.15">
      <c r="C753" s="2" t="s">
        <v>4</v>
      </c>
      <c r="D753" s="2" t="s">
        <v>1065</v>
      </c>
      <c r="E753" s="3">
        <v>2.9</v>
      </c>
      <c r="F753" s="3">
        <v>1</v>
      </c>
      <c r="G753" s="4">
        <v>43761</v>
      </c>
    </row>
    <row r="754" spans="3:7" x14ac:dyDescent="0.15">
      <c r="C754" s="2" t="s">
        <v>5</v>
      </c>
      <c r="D754" s="2" t="s">
        <v>833</v>
      </c>
      <c r="E754" s="3">
        <v>20</v>
      </c>
      <c r="F754" s="3">
        <v>2</v>
      </c>
      <c r="G754" s="4">
        <v>43816</v>
      </c>
    </row>
    <row r="755" spans="3:7" x14ac:dyDescent="0.15">
      <c r="C755" s="2" t="s">
        <v>5</v>
      </c>
      <c r="D755" s="2" t="s">
        <v>995</v>
      </c>
      <c r="E755" s="3">
        <v>23</v>
      </c>
      <c r="F755" s="3">
        <v>5</v>
      </c>
      <c r="G755" s="4">
        <v>44963</v>
      </c>
    </row>
    <row r="756" spans="3:7" x14ac:dyDescent="0.15">
      <c r="C756" s="2" t="s">
        <v>18</v>
      </c>
      <c r="D756" s="2" t="s">
        <v>425</v>
      </c>
      <c r="E756" s="3">
        <v>75</v>
      </c>
      <c r="F756" s="3">
        <v>7</v>
      </c>
      <c r="G756" s="4">
        <v>45020</v>
      </c>
    </row>
    <row r="757" spans="3:7" x14ac:dyDescent="0.15">
      <c r="C757" s="2" t="s">
        <v>18</v>
      </c>
      <c r="D757" s="2" t="s">
        <v>425</v>
      </c>
      <c r="E757" s="3">
        <v>80</v>
      </c>
      <c r="F757" s="3">
        <v>10</v>
      </c>
      <c r="G757" s="4">
        <v>44404</v>
      </c>
    </row>
    <row r="758" spans="3:7" x14ac:dyDescent="0.15">
      <c r="C758" s="2" t="s">
        <v>7</v>
      </c>
      <c r="D758" s="2" t="s">
        <v>425</v>
      </c>
      <c r="E758" s="3">
        <v>40</v>
      </c>
      <c r="F758" s="3">
        <v>10</v>
      </c>
      <c r="G758" s="4">
        <v>43957</v>
      </c>
    </row>
    <row r="759" spans="3:7" x14ac:dyDescent="0.15">
      <c r="C759" s="2" t="s">
        <v>5</v>
      </c>
      <c r="D759" s="2" t="s">
        <v>425</v>
      </c>
      <c r="E759" s="3">
        <v>20</v>
      </c>
      <c r="F759" s="3">
        <v>20</v>
      </c>
      <c r="G759" s="4">
        <v>43480</v>
      </c>
    </row>
    <row r="760" spans="3:7" x14ac:dyDescent="0.15">
      <c r="C760" s="2" t="s">
        <v>4</v>
      </c>
      <c r="D760" s="2" t="s">
        <v>425</v>
      </c>
      <c r="E760" s="3">
        <v>7</v>
      </c>
      <c r="F760" s="3">
        <v>2</v>
      </c>
      <c r="G760" s="4">
        <v>43046</v>
      </c>
    </row>
    <row r="761" spans="3:7" x14ac:dyDescent="0.15">
      <c r="C761" s="2" t="s">
        <v>7</v>
      </c>
      <c r="D761" s="2" t="s">
        <v>1073</v>
      </c>
      <c r="E761" s="3">
        <v>37</v>
      </c>
      <c r="F761" s="3">
        <v>4</v>
      </c>
      <c r="G761" s="4">
        <v>44860</v>
      </c>
    </row>
    <row r="762" spans="3:7" x14ac:dyDescent="0.15">
      <c r="C762" s="2" t="s">
        <v>7</v>
      </c>
      <c r="D762" s="2" t="s">
        <v>1073</v>
      </c>
      <c r="E762" s="3">
        <v>80</v>
      </c>
      <c r="F762" s="3">
        <v>10</v>
      </c>
      <c r="G762" s="4">
        <v>44327</v>
      </c>
    </row>
    <row r="763" spans="3:7" x14ac:dyDescent="0.15">
      <c r="C763" s="2" t="s">
        <v>5</v>
      </c>
      <c r="D763" s="2" t="s">
        <v>1073</v>
      </c>
      <c r="E763" s="3">
        <v>30</v>
      </c>
      <c r="F763" s="3">
        <v>7</v>
      </c>
      <c r="G763" s="4">
        <v>43963</v>
      </c>
    </row>
    <row r="764" spans="3:7" x14ac:dyDescent="0.15">
      <c r="C764" s="2" t="s">
        <v>18</v>
      </c>
      <c r="D764" s="2" t="s">
        <v>310</v>
      </c>
      <c r="E764" s="3">
        <v>110</v>
      </c>
      <c r="F764" s="3">
        <f>70/5</f>
        <v>14</v>
      </c>
      <c r="G764" s="4">
        <v>44369</v>
      </c>
    </row>
    <row r="765" spans="3:7" x14ac:dyDescent="0.15">
      <c r="C765" s="2" t="s">
        <v>7</v>
      </c>
      <c r="D765" s="2" t="s">
        <v>310</v>
      </c>
      <c r="E765" s="3">
        <v>40</v>
      </c>
      <c r="F765" s="3">
        <v>4</v>
      </c>
      <c r="G765" s="4">
        <v>43419</v>
      </c>
    </row>
    <row r="766" spans="3:7" x14ac:dyDescent="0.15">
      <c r="C766" s="2" t="s">
        <v>5</v>
      </c>
      <c r="D766" s="2" t="s">
        <v>310</v>
      </c>
      <c r="E766" s="3">
        <v>14.7</v>
      </c>
      <c r="F766" s="3">
        <v>2.25</v>
      </c>
      <c r="G766" s="4">
        <v>43032</v>
      </c>
    </row>
    <row r="767" spans="3:7" x14ac:dyDescent="0.15">
      <c r="C767" s="2" t="s">
        <v>7</v>
      </c>
      <c r="D767" s="2" t="s">
        <v>95</v>
      </c>
      <c r="E767" s="3">
        <v>25</v>
      </c>
      <c r="F767" s="3">
        <v>3</v>
      </c>
      <c r="G767" s="4">
        <v>43783</v>
      </c>
    </row>
    <row r="768" spans="3:7" x14ac:dyDescent="0.15">
      <c r="C768" s="2" t="s">
        <v>5</v>
      </c>
      <c r="D768" s="2" t="s">
        <v>95</v>
      </c>
      <c r="E768" s="3">
        <v>10</v>
      </c>
      <c r="F768" s="3">
        <v>2.5</v>
      </c>
      <c r="G768" s="4">
        <v>42304</v>
      </c>
    </row>
    <row r="769" spans="2:18" x14ac:dyDescent="0.15">
      <c r="C769" s="2" t="s">
        <v>4</v>
      </c>
      <c r="D769" s="2" t="s">
        <v>95</v>
      </c>
      <c r="E769" s="3">
        <v>5</v>
      </c>
      <c r="F769" s="3">
        <f>E769/3</f>
        <v>1.6666666666666667</v>
      </c>
      <c r="G769" s="4">
        <v>41940</v>
      </c>
    </row>
    <row r="770" spans="2:18" x14ac:dyDescent="0.15">
      <c r="C770" s="184" t="s">
        <v>5</v>
      </c>
      <c r="D770" s="184" t="s">
        <v>2036</v>
      </c>
      <c r="E770" s="3">
        <v>24</v>
      </c>
      <c r="F770" s="3">
        <v>12</v>
      </c>
      <c r="G770" s="4">
        <v>44719</v>
      </c>
    </row>
    <row r="771" spans="2:18" x14ac:dyDescent="0.15">
      <c r="C771" s="193" t="s">
        <v>5</v>
      </c>
      <c r="D771" s="193" t="s">
        <v>2033</v>
      </c>
      <c r="E771" s="3">
        <v>18.5</v>
      </c>
      <c r="F771" s="3">
        <f>E771/4</f>
        <v>4.625</v>
      </c>
      <c r="G771" s="4">
        <v>44561</v>
      </c>
    </row>
    <row r="772" spans="2:18" x14ac:dyDescent="0.15">
      <c r="C772" s="193" t="s">
        <v>4</v>
      </c>
      <c r="D772" s="193" t="s">
        <v>2033</v>
      </c>
      <c r="E772" s="3">
        <v>5.8</v>
      </c>
      <c r="F772" s="3">
        <f>E772/3</f>
        <v>1.9333333333333333</v>
      </c>
      <c r="G772" s="4">
        <v>44348</v>
      </c>
    </row>
    <row r="773" spans="2:18" x14ac:dyDescent="0.15">
      <c r="C773" s="261" t="s">
        <v>278</v>
      </c>
      <c r="D773" s="261" t="s">
        <v>7656</v>
      </c>
      <c r="E773" s="3">
        <v>2.2000000000000002</v>
      </c>
      <c r="F773" s="3">
        <f>1.2/3</f>
        <v>0.39999999999999997</v>
      </c>
      <c r="G773" s="4">
        <v>43906</v>
      </c>
    </row>
    <row r="774" spans="2:18" x14ac:dyDescent="0.15">
      <c r="G774" s="4"/>
    </row>
    <row r="775" spans="2:18" s="12" customFormat="1" x14ac:dyDescent="0.15">
      <c r="B775" s="12" t="s">
        <v>241</v>
      </c>
      <c r="C775" s="13" t="s">
        <v>970</v>
      </c>
      <c r="D775" s="13" t="s">
        <v>969</v>
      </c>
      <c r="E775" s="15"/>
      <c r="F775" s="15">
        <f>SUM(F776:F777)</f>
        <v>162.5</v>
      </c>
      <c r="G775" s="14">
        <f>G777</f>
        <v>44510</v>
      </c>
      <c r="M775" s="13"/>
      <c r="N775" s="13"/>
      <c r="O775" s="13"/>
      <c r="P775" s="13"/>
      <c r="Q775" s="13"/>
      <c r="R775" s="13"/>
    </row>
    <row r="776" spans="2:18" x14ac:dyDescent="0.15">
      <c r="C776" s="2" t="s">
        <v>8</v>
      </c>
      <c r="D776" s="2" t="s">
        <v>232</v>
      </c>
      <c r="E776" s="3">
        <v>750</v>
      </c>
      <c r="F776" s="3">
        <f>450/4</f>
        <v>112.5</v>
      </c>
      <c r="G776" s="4">
        <v>43593</v>
      </c>
    </row>
    <row r="777" spans="2:18" x14ac:dyDescent="0.15">
      <c r="C777" s="2" t="s">
        <v>53</v>
      </c>
      <c r="D777" s="2" t="s">
        <v>240</v>
      </c>
      <c r="E777" s="3">
        <v>250</v>
      </c>
      <c r="F777" s="3">
        <v>50</v>
      </c>
      <c r="G777" s="4">
        <v>44510</v>
      </c>
    </row>
    <row r="778" spans="2:18" x14ac:dyDescent="0.15">
      <c r="G778" s="4"/>
    </row>
    <row r="779" spans="2:18" s="12" customFormat="1" x14ac:dyDescent="0.15">
      <c r="B779" s="12" t="s">
        <v>1106</v>
      </c>
      <c r="C779" s="13" t="s">
        <v>970</v>
      </c>
      <c r="D779" s="13" t="s">
        <v>969</v>
      </c>
      <c r="E779" s="15"/>
      <c r="F779" s="15">
        <f>SUM(F780:F787)</f>
        <v>160.66666666666666</v>
      </c>
      <c r="G779" s="14">
        <f>G780</f>
        <v>44378</v>
      </c>
      <c r="M779" s="13"/>
      <c r="N779" s="13"/>
      <c r="O779" s="13"/>
      <c r="P779" s="13"/>
      <c r="Q779" s="13"/>
      <c r="R779" s="13"/>
    </row>
    <row r="780" spans="2:18" x14ac:dyDescent="0.15">
      <c r="C780" s="2" t="s">
        <v>5</v>
      </c>
      <c r="D780" s="2" t="s">
        <v>865</v>
      </c>
      <c r="E780" s="3">
        <v>10</v>
      </c>
      <c r="F780" s="3">
        <v>3</v>
      </c>
      <c r="G780" s="4">
        <v>44378</v>
      </c>
    </row>
    <row r="781" spans="2:18" x14ac:dyDescent="0.15">
      <c r="C781" s="2" t="s">
        <v>8</v>
      </c>
      <c r="D781" s="2" t="s">
        <v>211</v>
      </c>
      <c r="E781" s="3">
        <v>700</v>
      </c>
      <c r="F781" s="3">
        <f>400/12</f>
        <v>33.333333333333336</v>
      </c>
      <c r="G781" s="4">
        <v>44218</v>
      </c>
    </row>
    <row r="782" spans="2:18" x14ac:dyDescent="0.15">
      <c r="C782" s="2" t="s">
        <v>18</v>
      </c>
      <c r="D782" s="2" t="s">
        <v>211</v>
      </c>
      <c r="E782" s="3">
        <v>140</v>
      </c>
      <c r="F782" s="3">
        <f>E782/9</f>
        <v>15.555555555555555</v>
      </c>
      <c r="G782" s="4">
        <v>43453</v>
      </c>
    </row>
    <row r="783" spans="2:18" x14ac:dyDescent="0.15">
      <c r="C783" s="2" t="s">
        <v>7</v>
      </c>
      <c r="D783" s="2" t="s">
        <v>161</v>
      </c>
      <c r="E783" s="3">
        <v>462</v>
      </c>
      <c r="F783" s="3">
        <f>162/2</f>
        <v>81</v>
      </c>
      <c r="G783" s="4">
        <v>43886</v>
      </c>
      <c r="I783" s="1">
        <v>2500</v>
      </c>
    </row>
    <row r="784" spans="2:18" x14ac:dyDescent="0.15">
      <c r="C784" s="2" t="s">
        <v>5</v>
      </c>
      <c r="D784" s="2" t="s">
        <v>161</v>
      </c>
      <c r="E784" s="3">
        <v>102</v>
      </c>
      <c r="F784" s="3">
        <f>70/9</f>
        <v>7.7777777777777777</v>
      </c>
      <c r="G784" s="4">
        <v>43292</v>
      </c>
    </row>
    <row r="785" spans="2:18" x14ac:dyDescent="0.15">
      <c r="C785" s="2" t="s">
        <v>9</v>
      </c>
      <c r="D785" s="2" t="s">
        <v>148</v>
      </c>
      <c r="E785" s="3">
        <v>300</v>
      </c>
      <c r="F785" s="6" t="s">
        <v>1048</v>
      </c>
      <c r="G785" s="4">
        <v>44271</v>
      </c>
    </row>
    <row r="786" spans="2:18" x14ac:dyDescent="0.15">
      <c r="C786" s="2" t="s">
        <v>8</v>
      </c>
      <c r="D786" s="2" t="s">
        <v>148</v>
      </c>
      <c r="E786" s="3">
        <v>38</v>
      </c>
      <c r="F786" s="6" t="s">
        <v>1047</v>
      </c>
      <c r="G786" s="4">
        <v>43266</v>
      </c>
    </row>
    <row r="787" spans="2:18" x14ac:dyDescent="0.15">
      <c r="C787" s="2" t="s">
        <v>8</v>
      </c>
      <c r="D787" s="2" t="s">
        <v>2141</v>
      </c>
      <c r="E787" s="3">
        <v>220</v>
      </c>
      <c r="F787" s="6">
        <v>20</v>
      </c>
      <c r="G787" s="4">
        <v>44287</v>
      </c>
    </row>
    <row r="788" spans="2:18" x14ac:dyDescent="0.15">
      <c r="G788" s="4"/>
    </row>
    <row r="789" spans="2:18" s="12" customFormat="1" x14ac:dyDescent="0.15">
      <c r="B789" s="12" t="s">
        <v>1111</v>
      </c>
      <c r="C789" s="13" t="s">
        <v>970</v>
      </c>
      <c r="D789" s="13" t="s">
        <v>969</v>
      </c>
      <c r="E789" s="15"/>
      <c r="F789" s="15">
        <f>SUM(F790:F795)</f>
        <v>160.33333333333334</v>
      </c>
      <c r="G789" s="14">
        <f>G794</f>
        <v>44271</v>
      </c>
      <c r="M789" s="13"/>
      <c r="N789" s="13"/>
      <c r="O789" s="13"/>
      <c r="P789" s="13"/>
      <c r="Q789" s="13"/>
      <c r="R789" s="13"/>
    </row>
    <row r="790" spans="2:18" x14ac:dyDescent="0.15">
      <c r="C790" s="2" t="s">
        <v>7</v>
      </c>
      <c r="D790" s="2" t="s">
        <v>245</v>
      </c>
      <c r="E790" s="3">
        <v>100</v>
      </c>
      <c r="F790" s="3">
        <v>25</v>
      </c>
      <c r="G790" s="4">
        <v>42576</v>
      </c>
    </row>
    <row r="791" spans="2:18" x14ac:dyDescent="0.15">
      <c r="C791" s="2" t="s">
        <v>8</v>
      </c>
      <c r="D791" s="2" t="s">
        <v>211</v>
      </c>
      <c r="E791" s="3">
        <v>700</v>
      </c>
      <c r="F791" s="3">
        <v>33</v>
      </c>
      <c r="G791" s="4">
        <v>44218</v>
      </c>
    </row>
    <row r="792" spans="2:18" x14ac:dyDescent="0.15">
      <c r="C792" s="2" t="s">
        <v>18</v>
      </c>
      <c r="D792" s="2" t="s">
        <v>211</v>
      </c>
      <c r="E792" s="3">
        <v>230</v>
      </c>
      <c r="F792" s="3">
        <f>E792/6</f>
        <v>38.333333333333336</v>
      </c>
      <c r="G792" s="4">
        <v>43923</v>
      </c>
    </row>
    <row r="793" spans="2:18" x14ac:dyDescent="0.15">
      <c r="C793" s="2" t="s">
        <v>18</v>
      </c>
      <c r="D793" s="2" t="s">
        <v>161</v>
      </c>
      <c r="E793" s="3">
        <v>100</v>
      </c>
      <c r="F793" s="3">
        <f>70/5</f>
        <v>14</v>
      </c>
      <c r="G793" s="4">
        <v>44235</v>
      </c>
    </row>
    <row r="794" spans="2:18" x14ac:dyDescent="0.15">
      <c r="C794" s="2" t="s">
        <v>9</v>
      </c>
      <c r="D794" s="2" t="s">
        <v>148</v>
      </c>
      <c r="E794" s="3">
        <v>300</v>
      </c>
      <c r="F794" s="6" t="s">
        <v>1048</v>
      </c>
      <c r="G794" s="4">
        <v>44271</v>
      </c>
    </row>
    <row r="795" spans="2:18" x14ac:dyDescent="0.15">
      <c r="C795" s="2" t="s">
        <v>18</v>
      </c>
      <c r="D795" s="2" t="s">
        <v>80</v>
      </c>
      <c r="E795" s="3">
        <v>257</v>
      </c>
      <c r="F795" s="6">
        <v>50</v>
      </c>
      <c r="G795" s="4">
        <v>44201</v>
      </c>
    </row>
    <row r="796" spans="2:18" x14ac:dyDescent="0.15">
      <c r="G796" s="4"/>
    </row>
    <row r="797" spans="2:18" x14ac:dyDescent="0.15">
      <c r="B797" s="12" t="s">
        <v>1105</v>
      </c>
      <c r="C797" s="13" t="s">
        <v>970</v>
      </c>
      <c r="D797" s="13" t="s">
        <v>969</v>
      </c>
      <c r="F797" s="15">
        <f>SUM(F798:F810)</f>
        <v>154.78571428571428</v>
      </c>
      <c r="G797" s="14">
        <f>G798</f>
        <v>44852</v>
      </c>
    </row>
    <row r="798" spans="2:18" x14ac:dyDescent="0.15">
      <c r="B798" s="273" t="s">
        <v>7704</v>
      </c>
      <c r="C798" s="2" t="s">
        <v>5</v>
      </c>
      <c r="D798" s="2" t="s">
        <v>764</v>
      </c>
      <c r="E798" s="3">
        <v>125</v>
      </c>
      <c r="F798" s="3">
        <v>15</v>
      </c>
      <c r="G798" s="4">
        <v>44852</v>
      </c>
    </row>
    <row r="799" spans="2:18" x14ac:dyDescent="0.15">
      <c r="C799" s="2" t="s">
        <v>5</v>
      </c>
      <c r="D799" s="2" t="s">
        <v>717</v>
      </c>
      <c r="E799" s="3">
        <v>12.5</v>
      </c>
      <c r="F799" s="3">
        <v>2</v>
      </c>
      <c r="G799" s="4">
        <v>44784</v>
      </c>
    </row>
    <row r="800" spans="2:18" x14ac:dyDescent="0.15">
      <c r="C800" s="2" t="s">
        <v>5</v>
      </c>
      <c r="D800" s="2" t="s">
        <v>717</v>
      </c>
      <c r="E800" s="3">
        <v>10</v>
      </c>
      <c r="F800" s="3">
        <v>2</v>
      </c>
      <c r="G800" s="4">
        <v>44110</v>
      </c>
    </row>
    <row r="801" spans="2:18" x14ac:dyDescent="0.15">
      <c r="C801" s="2" t="s">
        <v>7</v>
      </c>
      <c r="D801" s="2" t="s">
        <v>607</v>
      </c>
      <c r="E801" s="3">
        <v>25</v>
      </c>
      <c r="F801" s="3">
        <v>2</v>
      </c>
      <c r="G801" s="4">
        <v>43440</v>
      </c>
    </row>
    <row r="802" spans="2:18" x14ac:dyDescent="0.15">
      <c r="C802" s="2" t="s">
        <v>18</v>
      </c>
      <c r="D802" s="2" t="s">
        <v>374</v>
      </c>
      <c r="E802" s="3">
        <v>130</v>
      </c>
      <c r="F802" s="3">
        <v>14.285714285714286</v>
      </c>
      <c r="G802" s="4">
        <v>44323</v>
      </c>
    </row>
    <row r="803" spans="2:18" x14ac:dyDescent="0.15">
      <c r="C803" s="2" t="s">
        <v>7</v>
      </c>
      <c r="D803" s="2" t="s">
        <v>374</v>
      </c>
      <c r="E803" s="3">
        <v>44</v>
      </c>
      <c r="F803" s="3">
        <v>5</v>
      </c>
      <c r="G803" s="4">
        <v>43909</v>
      </c>
    </row>
    <row r="804" spans="2:18" x14ac:dyDescent="0.15">
      <c r="C804" s="2" t="s">
        <v>5</v>
      </c>
      <c r="D804" s="2" t="s">
        <v>374</v>
      </c>
      <c r="E804" s="3">
        <v>15</v>
      </c>
      <c r="F804" s="3">
        <v>3</v>
      </c>
      <c r="G804" s="4">
        <v>43452</v>
      </c>
    </row>
    <row r="805" spans="2:18" x14ac:dyDescent="0.15">
      <c r="C805" s="2" t="s">
        <v>4</v>
      </c>
      <c r="D805" s="2" t="s">
        <v>374</v>
      </c>
      <c r="E805" s="3">
        <v>2.5</v>
      </c>
      <c r="F805" s="3">
        <v>1.5</v>
      </c>
      <c r="G805" s="4">
        <v>42936</v>
      </c>
    </row>
    <row r="806" spans="2:18" x14ac:dyDescent="0.15">
      <c r="C806" s="2" t="s">
        <v>8</v>
      </c>
      <c r="D806" s="2" t="s">
        <v>15</v>
      </c>
      <c r="E806" s="3">
        <v>220</v>
      </c>
      <c r="F806" s="3">
        <v>30</v>
      </c>
      <c r="G806" s="4">
        <v>44502</v>
      </c>
      <c r="I806" s="1">
        <v>794</v>
      </c>
      <c r="J806" s="1">
        <v>794</v>
      </c>
    </row>
    <row r="807" spans="2:18" x14ac:dyDescent="0.15">
      <c r="C807" s="2" t="s">
        <v>8</v>
      </c>
      <c r="D807" s="2" t="s">
        <v>15</v>
      </c>
      <c r="E807" s="3">
        <v>220</v>
      </c>
      <c r="F807" s="3">
        <v>27</v>
      </c>
      <c r="G807" s="4">
        <v>44322</v>
      </c>
      <c r="I807" s="1">
        <v>780</v>
      </c>
      <c r="J807" s="1">
        <v>780</v>
      </c>
    </row>
    <row r="808" spans="2:18" x14ac:dyDescent="0.15">
      <c r="C808" s="2" t="s">
        <v>18</v>
      </c>
      <c r="D808" s="2" t="s">
        <v>15</v>
      </c>
      <c r="E808" s="3">
        <v>60</v>
      </c>
      <c r="F808" s="3">
        <v>30</v>
      </c>
      <c r="G808" s="4">
        <v>43528</v>
      </c>
    </row>
    <row r="809" spans="2:18" x14ac:dyDescent="0.15">
      <c r="C809" s="100" t="s">
        <v>7</v>
      </c>
      <c r="D809" s="100" t="s">
        <v>2081</v>
      </c>
      <c r="E809" s="3">
        <v>100</v>
      </c>
      <c r="F809" s="3">
        <f>70/5</f>
        <v>14</v>
      </c>
      <c r="G809" s="4">
        <v>44937</v>
      </c>
      <c r="I809" s="1">
        <v>900</v>
      </c>
      <c r="J809" s="1">
        <v>900</v>
      </c>
    </row>
    <row r="810" spans="2:18" x14ac:dyDescent="0.15">
      <c r="C810" s="193" t="s">
        <v>5</v>
      </c>
      <c r="D810" s="193" t="s">
        <v>2032</v>
      </c>
      <c r="E810" s="3">
        <v>21</v>
      </c>
      <c r="F810" s="3">
        <v>9</v>
      </c>
      <c r="G810" s="4">
        <v>44334</v>
      </c>
    </row>
    <row r="811" spans="2:18" x14ac:dyDescent="0.15">
      <c r="G811" s="4"/>
    </row>
    <row r="812" spans="2:18" s="12" customFormat="1" x14ac:dyDescent="0.15">
      <c r="B812" s="12" t="s">
        <v>175</v>
      </c>
      <c r="C812" s="13" t="s">
        <v>970</v>
      </c>
      <c r="D812" s="13" t="s">
        <v>969</v>
      </c>
      <c r="E812" s="15"/>
      <c r="F812" s="15">
        <f>SUM(F813:F815)</f>
        <v>152</v>
      </c>
      <c r="G812" s="14">
        <f>G813</f>
        <v>44235</v>
      </c>
      <c r="M812" s="13"/>
      <c r="N812" s="13"/>
      <c r="O812" s="13"/>
      <c r="P812" s="13"/>
      <c r="Q812" s="13"/>
      <c r="R812" s="13"/>
    </row>
    <row r="813" spans="2:18" x14ac:dyDescent="0.15">
      <c r="B813" s="274" t="s">
        <v>7705</v>
      </c>
      <c r="C813" s="2" t="s">
        <v>18</v>
      </c>
      <c r="D813" s="2" t="s">
        <v>161</v>
      </c>
      <c r="E813" s="3">
        <v>100</v>
      </c>
      <c r="F813" s="3">
        <v>30</v>
      </c>
      <c r="G813" s="4">
        <v>44235</v>
      </c>
      <c r="I813" s="1">
        <v>5200</v>
      </c>
    </row>
    <row r="814" spans="2:18" x14ac:dyDescent="0.15">
      <c r="C814" s="2" t="s">
        <v>18</v>
      </c>
      <c r="D814" s="2" t="s">
        <v>161</v>
      </c>
      <c r="E814" s="3">
        <v>267</v>
      </c>
      <c r="F814" s="3">
        <v>100</v>
      </c>
      <c r="G814" s="4">
        <v>44140</v>
      </c>
      <c r="I814" s="1">
        <v>5000</v>
      </c>
    </row>
    <row r="815" spans="2:18" x14ac:dyDescent="0.15">
      <c r="C815" s="2" t="s">
        <v>9</v>
      </c>
      <c r="D815" s="2" t="s">
        <v>22</v>
      </c>
      <c r="E815" s="3">
        <v>222</v>
      </c>
      <c r="F815" s="3">
        <v>22</v>
      </c>
      <c r="G815" s="4">
        <v>44194</v>
      </c>
      <c r="I815" s="1">
        <v>2500</v>
      </c>
    </row>
    <row r="816" spans="2:18" x14ac:dyDescent="0.15">
      <c r="G816" s="4"/>
    </row>
    <row r="817" spans="2:18" s="12" customFormat="1" x14ac:dyDescent="0.15">
      <c r="B817" s="12" t="s">
        <v>1108</v>
      </c>
      <c r="C817" s="13" t="s">
        <v>970</v>
      </c>
      <c r="D817" s="13" t="s">
        <v>969</v>
      </c>
      <c r="E817" s="15"/>
      <c r="F817" s="15">
        <f>SUM(F818:F821)</f>
        <v>151.5</v>
      </c>
      <c r="G817" s="14">
        <f>G819</f>
        <v>44867</v>
      </c>
      <c r="M817" s="13"/>
      <c r="N817" s="13"/>
      <c r="O817" s="13"/>
      <c r="P817" s="13"/>
      <c r="Q817" s="13"/>
      <c r="R817" s="13"/>
    </row>
    <row r="818" spans="2:18" x14ac:dyDescent="0.15">
      <c r="B818" s="258" t="s">
        <v>7706</v>
      </c>
      <c r="C818" s="2" t="s">
        <v>9</v>
      </c>
      <c r="D818" s="2" t="s">
        <v>804</v>
      </c>
      <c r="E818" s="3">
        <v>325</v>
      </c>
      <c r="F818" s="3">
        <v>18.5</v>
      </c>
      <c r="G818" s="4">
        <v>44299</v>
      </c>
    </row>
    <row r="819" spans="2:18" x14ac:dyDescent="0.15">
      <c r="B819" s="274" t="s">
        <v>7705</v>
      </c>
      <c r="C819" s="2" t="s">
        <v>18</v>
      </c>
      <c r="D819" s="2" t="s">
        <v>318</v>
      </c>
      <c r="E819" s="3">
        <v>91</v>
      </c>
      <c r="F819" s="3">
        <v>21</v>
      </c>
      <c r="G819" s="4">
        <v>44867</v>
      </c>
    </row>
    <row r="820" spans="2:18" x14ac:dyDescent="0.15">
      <c r="C820" s="2" t="s">
        <v>8</v>
      </c>
      <c r="D820" s="2" t="s">
        <v>176</v>
      </c>
      <c r="E820" s="3">
        <v>130</v>
      </c>
      <c r="F820" s="3">
        <v>12</v>
      </c>
      <c r="G820" s="4">
        <v>42080</v>
      </c>
    </row>
    <row r="821" spans="2:18" x14ac:dyDescent="0.15">
      <c r="C821" s="2" t="s">
        <v>53</v>
      </c>
      <c r="D821" s="2" t="s">
        <v>154</v>
      </c>
      <c r="E821" s="3">
        <v>200</v>
      </c>
      <c r="F821" s="3">
        <v>100</v>
      </c>
      <c r="G821" s="4">
        <v>44907</v>
      </c>
      <c r="I821" s="1">
        <v>3500</v>
      </c>
    </row>
    <row r="822" spans="2:18" x14ac:dyDescent="0.15">
      <c r="G822" s="4"/>
    </row>
    <row r="823" spans="2:18" s="12" customFormat="1" x14ac:dyDescent="0.15">
      <c r="B823" s="12" t="s">
        <v>231</v>
      </c>
      <c r="C823" s="13" t="s">
        <v>970</v>
      </c>
      <c r="D823" s="13" t="s">
        <v>969</v>
      </c>
      <c r="E823" s="15"/>
      <c r="F823" s="15">
        <f>SUM(F824:F825)</f>
        <v>150</v>
      </c>
      <c r="G823" s="14">
        <f>G824</f>
        <v>44218</v>
      </c>
      <c r="M823" s="13"/>
      <c r="N823" s="13"/>
      <c r="O823" s="13"/>
      <c r="P823" s="13"/>
      <c r="Q823" s="13"/>
      <c r="R823" s="13"/>
    </row>
    <row r="824" spans="2:18" x14ac:dyDescent="0.15">
      <c r="C824" s="2" t="s">
        <v>8</v>
      </c>
      <c r="D824" s="2" t="s">
        <v>211</v>
      </c>
      <c r="E824" s="3">
        <v>700</v>
      </c>
      <c r="F824" s="3">
        <v>100</v>
      </c>
      <c r="G824" s="4">
        <v>44218</v>
      </c>
    </row>
    <row r="825" spans="2:18" x14ac:dyDescent="0.15">
      <c r="C825" s="2" t="s">
        <v>18</v>
      </c>
      <c r="D825" s="2" t="s">
        <v>80</v>
      </c>
      <c r="E825" s="3">
        <v>257</v>
      </c>
      <c r="F825" s="3">
        <v>50</v>
      </c>
      <c r="G825" s="4">
        <v>44201</v>
      </c>
    </row>
    <row r="826" spans="2:18" x14ac:dyDescent="0.15">
      <c r="G826" s="4"/>
    </row>
    <row r="827" spans="2:18" s="12" customFormat="1" x14ac:dyDescent="0.15">
      <c r="B827" s="12" t="s">
        <v>247</v>
      </c>
      <c r="C827" s="13" t="s">
        <v>970</v>
      </c>
      <c r="D827" s="13" t="s">
        <v>969</v>
      </c>
      <c r="E827" s="15"/>
      <c r="F827" s="15">
        <f>SUM(F828:F829)</f>
        <v>150</v>
      </c>
      <c r="G827" s="14">
        <f>G828</f>
        <v>43223</v>
      </c>
      <c r="M827" s="13"/>
      <c r="N827" s="13"/>
      <c r="O827" s="13"/>
      <c r="P827" s="13"/>
      <c r="Q827" s="13"/>
      <c r="R827" s="13"/>
    </row>
    <row r="828" spans="2:18" x14ac:dyDescent="0.15">
      <c r="C828" s="2" t="s">
        <v>18</v>
      </c>
      <c r="D828" s="2" t="s">
        <v>245</v>
      </c>
      <c r="E828" s="3">
        <v>820</v>
      </c>
      <c r="F828" s="3">
        <f>600/6</f>
        <v>100</v>
      </c>
      <c r="G828" s="4">
        <v>43223</v>
      </c>
    </row>
    <row r="829" spans="2:18" x14ac:dyDescent="0.15">
      <c r="C829" s="2" t="s">
        <v>7</v>
      </c>
      <c r="D829" s="2" t="s">
        <v>245</v>
      </c>
      <c r="E829" s="3">
        <v>100</v>
      </c>
      <c r="F829" s="3">
        <v>50</v>
      </c>
      <c r="G829" s="4">
        <v>42576</v>
      </c>
    </row>
    <row r="830" spans="2:18" x14ac:dyDescent="0.15">
      <c r="G830" s="4"/>
    </row>
    <row r="831" spans="2:18" x14ac:dyDescent="0.15">
      <c r="B831" s="12" t="s">
        <v>5031</v>
      </c>
      <c r="C831" s="13" t="s">
        <v>970</v>
      </c>
      <c r="D831" s="13" t="s">
        <v>969</v>
      </c>
      <c r="F831" s="15">
        <f>SUM(F832:F844)</f>
        <v>148.02380952380952</v>
      </c>
      <c r="G831" s="14">
        <f>+G838</f>
        <v>45055</v>
      </c>
      <c r="I831" s="1" t="s">
        <v>1</v>
      </c>
      <c r="J831" s="1" t="s">
        <v>1</v>
      </c>
      <c r="K831" s="1" t="s">
        <v>1</v>
      </c>
    </row>
    <row r="832" spans="2:18" x14ac:dyDescent="0.15">
      <c r="B832" s="12"/>
      <c r="C832" s="2" t="s">
        <v>7</v>
      </c>
      <c r="D832" s="2" t="s">
        <v>950</v>
      </c>
      <c r="E832" s="3">
        <v>350</v>
      </c>
      <c r="F832" s="3">
        <v>20</v>
      </c>
      <c r="G832" s="4">
        <v>44999</v>
      </c>
    </row>
    <row r="833" spans="2:18" x14ac:dyDescent="0.15">
      <c r="C833" s="2" t="s">
        <v>5</v>
      </c>
      <c r="D833" s="2" t="s">
        <v>1064</v>
      </c>
      <c r="E833" s="3">
        <v>65</v>
      </c>
      <c r="F833" s="3">
        <v>10</v>
      </c>
      <c r="G833" s="4">
        <v>44984</v>
      </c>
    </row>
    <row r="834" spans="2:18" x14ac:dyDescent="0.15">
      <c r="C834" s="2" t="s">
        <v>5</v>
      </c>
      <c r="D834" s="2" t="s">
        <v>844</v>
      </c>
      <c r="E834" s="3">
        <v>44</v>
      </c>
      <c r="F834" s="3">
        <v>10</v>
      </c>
      <c r="G834" s="4">
        <v>44671</v>
      </c>
    </row>
    <row r="835" spans="2:18" x14ac:dyDescent="0.15">
      <c r="C835" s="2" t="s">
        <v>5</v>
      </c>
      <c r="D835" s="2" t="s">
        <v>702</v>
      </c>
      <c r="E835" s="3">
        <v>50</v>
      </c>
      <c r="F835" s="3">
        <f>30/12</f>
        <v>2.5</v>
      </c>
      <c r="G835" s="4">
        <v>44796</v>
      </c>
    </row>
    <row r="836" spans="2:18" x14ac:dyDescent="0.15">
      <c r="C836" s="2" t="s">
        <v>4</v>
      </c>
      <c r="D836" s="2" t="s">
        <v>702</v>
      </c>
      <c r="E836" s="3">
        <v>12.5</v>
      </c>
      <c r="F836" s="3">
        <v>3</v>
      </c>
      <c r="G836" s="4">
        <v>44623</v>
      </c>
    </row>
    <row r="837" spans="2:18" x14ac:dyDescent="0.15">
      <c r="C837" s="2" t="s">
        <v>7</v>
      </c>
      <c r="D837" s="2" t="s">
        <v>457</v>
      </c>
      <c r="E837" s="3">
        <v>26.8</v>
      </c>
      <c r="F837" s="3">
        <v>4</v>
      </c>
      <c r="G837" s="4">
        <v>44600</v>
      </c>
    </row>
    <row r="838" spans="2:18" x14ac:dyDescent="0.15">
      <c r="C838" s="2" t="s">
        <v>18</v>
      </c>
      <c r="D838" s="2" t="s">
        <v>318</v>
      </c>
      <c r="E838" s="3">
        <v>8</v>
      </c>
      <c r="F838" s="3">
        <v>8</v>
      </c>
      <c r="G838" s="4">
        <v>45055</v>
      </c>
    </row>
    <row r="839" spans="2:18" x14ac:dyDescent="0.15">
      <c r="C839" s="2" t="s">
        <v>9</v>
      </c>
      <c r="D839" s="2" t="s">
        <v>22</v>
      </c>
      <c r="E839" s="3">
        <v>222</v>
      </c>
      <c r="F839" s="3">
        <f>200/21</f>
        <v>9.5238095238095237</v>
      </c>
      <c r="G839" s="4">
        <v>44194</v>
      </c>
      <c r="I839" s="1">
        <v>2500</v>
      </c>
      <c r="J839" s="1">
        <v>2500</v>
      </c>
    </row>
    <row r="840" spans="2:18" x14ac:dyDescent="0.15">
      <c r="C840" s="2" t="s">
        <v>8</v>
      </c>
      <c r="D840" s="2" t="s">
        <v>22</v>
      </c>
      <c r="E840" s="3">
        <v>200</v>
      </c>
      <c r="F840" s="3">
        <v>30</v>
      </c>
      <c r="G840" s="4">
        <v>43452</v>
      </c>
      <c r="I840" s="1">
        <v>1500</v>
      </c>
      <c r="J840" s="1">
        <v>2500</v>
      </c>
    </row>
    <row r="841" spans="2:18" x14ac:dyDescent="0.15">
      <c r="C841" s="2" t="s">
        <v>7</v>
      </c>
      <c r="D841" s="2" t="s">
        <v>1064</v>
      </c>
      <c r="E841" s="3">
        <v>100</v>
      </c>
      <c r="F841" s="3">
        <v>15</v>
      </c>
      <c r="G841" s="4">
        <v>45106</v>
      </c>
    </row>
    <row r="842" spans="2:18" x14ac:dyDescent="0.15">
      <c r="C842" s="2" t="s">
        <v>7</v>
      </c>
      <c r="D842" s="2" t="s">
        <v>2136</v>
      </c>
      <c r="E842" s="3">
        <v>176</v>
      </c>
      <c r="F842" s="3">
        <v>13</v>
      </c>
      <c r="G842" s="4">
        <v>44578</v>
      </c>
    </row>
    <row r="843" spans="2:18" x14ac:dyDescent="0.15">
      <c r="C843" s="59" t="s">
        <v>18</v>
      </c>
      <c r="D843" s="59" t="s">
        <v>2122</v>
      </c>
      <c r="E843" s="3">
        <v>125</v>
      </c>
      <c r="F843" s="3">
        <v>20</v>
      </c>
      <c r="G843" s="4">
        <v>44126</v>
      </c>
      <c r="I843" s="1">
        <v>1100</v>
      </c>
      <c r="J843" s="1">
        <v>3400</v>
      </c>
    </row>
    <row r="844" spans="2:18" x14ac:dyDescent="0.15">
      <c r="C844" s="59" t="s">
        <v>7</v>
      </c>
      <c r="D844" s="59" t="s">
        <v>2122</v>
      </c>
      <c r="E844" s="3">
        <v>40</v>
      </c>
      <c r="F844" s="3">
        <v>3</v>
      </c>
      <c r="G844" s="4">
        <v>43720</v>
      </c>
      <c r="J844" s="1">
        <v>3400</v>
      </c>
    </row>
    <row r="845" spans="2:18" x14ac:dyDescent="0.15">
      <c r="G845" s="4"/>
    </row>
    <row r="846" spans="2:18" s="12" customFormat="1" x14ac:dyDescent="0.15">
      <c r="B846" s="12" t="s">
        <v>7707</v>
      </c>
      <c r="C846" s="13" t="s">
        <v>970</v>
      </c>
      <c r="D846" s="13" t="s">
        <v>969</v>
      </c>
      <c r="E846" s="15"/>
      <c r="F846" s="15">
        <f>SUM(F847:F858)</f>
        <v>147.95476190476191</v>
      </c>
      <c r="G846" s="14">
        <f>G847</f>
        <v>44776</v>
      </c>
    </row>
    <row r="847" spans="2:18" x14ac:dyDescent="0.15">
      <c r="C847" s="2" t="s">
        <v>8</v>
      </c>
      <c r="D847" s="2" t="s">
        <v>449</v>
      </c>
      <c r="E847" s="3">
        <v>90</v>
      </c>
      <c r="F847" s="3">
        <v>20</v>
      </c>
      <c r="G847" s="4">
        <v>44776</v>
      </c>
      <c r="M847" s="1"/>
      <c r="N847" s="1"/>
      <c r="O847" s="1"/>
      <c r="P847" s="1"/>
      <c r="Q847" s="1"/>
      <c r="R847" s="1"/>
    </row>
    <row r="848" spans="2:18" x14ac:dyDescent="0.15">
      <c r="C848" s="2" t="s">
        <v>8</v>
      </c>
      <c r="D848" s="2" t="s">
        <v>211</v>
      </c>
      <c r="E848" s="3">
        <v>700</v>
      </c>
      <c r="F848" s="3">
        <f>400/12</f>
        <v>33.333333333333336</v>
      </c>
      <c r="G848" s="4">
        <v>44218</v>
      </c>
      <c r="M848" s="1"/>
      <c r="N848" s="1"/>
      <c r="O848" s="1"/>
      <c r="P848" s="1"/>
      <c r="Q848" s="1"/>
      <c r="R848" s="1"/>
    </row>
    <row r="849" spans="2:18" x14ac:dyDescent="0.15">
      <c r="C849" s="2" t="s">
        <v>7</v>
      </c>
      <c r="D849" s="2" t="s">
        <v>108</v>
      </c>
      <c r="E849" s="3">
        <v>37</v>
      </c>
      <c r="F849" s="3">
        <v>6.5</v>
      </c>
      <c r="G849" s="4">
        <v>43783</v>
      </c>
      <c r="M849" s="1"/>
      <c r="N849" s="1"/>
      <c r="O849" s="1"/>
      <c r="P849" s="1"/>
      <c r="Q849" s="1"/>
      <c r="R849" s="1"/>
    </row>
    <row r="850" spans="2:18" x14ac:dyDescent="0.15">
      <c r="C850" s="2" t="s">
        <v>5</v>
      </c>
      <c r="D850" s="2" t="s">
        <v>108</v>
      </c>
      <c r="E850" s="3">
        <v>15</v>
      </c>
      <c r="F850" s="3">
        <f>E850/2</f>
        <v>7.5</v>
      </c>
      <c r="G850" s="4">
        <v>43262</v>
      </c>
      <c r="M850" s="1"/>
      <c r="N850" s="1"/>
      <c r="O850" s="1"/>
      <c r="P850" s="1"/>
      <c r="Q850" s="1"/>
      <c r="R850" s="1"/>
    </row>
    <row r="851" spans="2:18" x14ac:dyDescent="0.15">
      <c r="C851" s="2" t="s">
        <v>8</v>
      </c>
      <c r="D851" s="2" t="s">
        <v>102</v>
      </c>
      <c r="E851" s="3">
        <v>30</v>
      </c>
      <c r="F851" s="3">
        <f>20/7</f>
        <v>2.8571428571428572</v>
      </c>
      <c r="G851" s="4">
        <v>43178</v>
      </c>
      <c r="M851" s="1"/>
      <c r="N851" s="1"/>
      <c r="O851" s="1"/>
      <c r="P851" s="1"/>
      <c r="Q851" s="1"/>
      <c r="R851" s="1"/>
    </row>
    <row r="852" spans="2:18" x14ac:dyDescent="0.15">
      <c r="C852" s="2" t="s">
        <v>8</v>
      </c>
      <c r="D852" s="2" t="s">
        <v>102</v>
      </c>
      <c r="E852" s="3">
        <v>40</v>
      </c>
      <c r="F852" s="3">
        <v>7</v>
      </c>
      <c r="G852" s="4">
        <v>42493</v>
      </c>
      <c r="M852" s="1"/>
      <c r="N852" s="1"/>
      <c r="O852" s="1"/>
      <c r="P852" s="1"/>
      <c r="Q852" s="1"/>
      <c r="R852" s="1"/>
    </row>
    <row r="853" spans="2:18" x14ac:dyDescent="0.15">
      <c r="C853" s="2" t="s">
        <v>18</v>
      </c>
      <c r="D853" s="2" t="s">
        <v>102</v>
      </c>
      <c r="E853" s="3">
        <v>24</v>
      </c>
      <c r="F853" s="3">
        <v>12</v>
      </c>
      <c r="G853" s="4">
        <v>41921</v>
      </c>
      <c r="M853" s="1"/>
      <c r="N853" s="1"/>
      <c r="O853" s="1"/>
      <c r="P853" s="1"/>
      <c r="Q853" s="1"/>
      <c r="R853" s="1"/>
    </row>
    <row r="854" spans="2:18" x14ac:dyDescent="0.15">
      <c r="C854" s="59" t="s">
        <v>8</v>
      </c>
      <c r="D854" s="59" t="s">
        <v>4926</v>
      </c>
      <c r="E854" s="3">
        <v>83</v>
      </c>
      <c r="F854" s="3">
        <v>6.8</v>
      </c>
      <c r="G854" s="4">
        <v>44320</v>
      </c>
      <c r="I854" s="1">
        <v>3600</v>
      </c>
      <c r="J854" s="1">
        <v>3600</v>
      </c>
      <c r="M854" s="1"/>
      <c r="N854" s="1"/>
      <c r="O854" s="1"/>
      <c r="P854" s="1"/>
      <c r="Q854" s="1"/>
      <c r="R854" s="1"/>
    </row>
    <row r="855" spans="2:18" x14ac:dyDescent="0.15">
      <c r="C855" s="59" t="s">
        <v>18</v>
      </c>
      <c r="D855" s="59" t="s">
        <v>4926</v>
      </c>
      <c r="E855" s="3">
        <v>100</v>
      </c>
      <c r="F855" s="3">
        <v>10</v>
      </c>
      <c r="G855" s="4">
        <v>43937</v>
      </c>
      <c r="I855" s="1">
        <v>1100</v>
      </c>
      <c r="J855" s="1">
        <v>3600</v>
      </c>
      <c r="M855" s="1"/>
      <c r="N855" s="1"/>
      <c r="O855" s="1"/>
      <c r="P855" s="1"/>
      <c r="Q855" s="1"/>
      <c r="R855" s="1"/>
    </row>
    <row r="856" spans="2:18" x14ac:dyDescent="0.15">
      <c r="C856" s="59" t="s">
        <v>7</v>
      </c>
      <c r="D856" s="59" t="s">
        <v>4926</v>
      </c>
      <c r="E856" s="3">
        <v>25</v>
      </c>
      <c r="F856" s="3">
        <f>E856/4</f>
        <v>6.25</v>
      </c>
      <c r="G856" s="4">
        <v>43172</v>
      </c>
      <c r="J856" s="1">
        <v>3600</v>
      </c>
      <c r="M856" s="1"/>
      <c r="N856" s="1"/>
      <c r="O856" s="1"/>
      <c r="P856" s="1"/>
      <c r="Q856" s="1"/>
      <c r="R856" s="1"/>
    </row>
    <row r="857" spans="2:18" x14ac:dyDescent="0.15">
      <c r="C857" s="62" t="s">
        <v>9</v>
      </c>
      <c r="D857" s="62" t="s">
        <v>2117</v>
      </c>
      <c r="E857" s="3">
        <v>100</v>
      </c>
      <c r="F857" s="3">
        <f>75/7</f>
        <v>10.714285714285714</v>
      </c>
      <c r="G857" s="4">
        <v>44507</v>
      </c>
      <c r="I857" s="1">
        <v>1600</v>
      </c>
      <c r="J857" s="1">
        <v>1600</v>
      </c>
      <c r="M857" s="1"/>
      <c r="N857" s="1"/>
      <c r="O857" s="1"/>
      <c r="P857" s="1"/>
      <c r="Q857" s="1"/>
      <c r="R857" s="1"/>
    </row>
    <row r="858" spans="2:18" x14ac:dyDescent="0.15">
      <c r="C858" s="62" t="s">
        <v>8</v>
      </c>
      <c r="D858" s="62" t="s">
        <v>2117</v>
      </c>
      <c r="E858" s="3">
        <v>72.5</v>
      </c>
      <c r="F858" s="3">
        <v>25</v>
      </c>
      <c r="G858" s="4">
        <v>43697</v>
      </c>
      <c r="J858" s="1">
        <v>1600</v>
      </c>
      <c r="M858" s="1"/>
      <c r="N858" s="1"/>
      <c r="O858" s="1"/>
      <c r="P858" s="1"/>
      <c r="Q858" s="1"/>
      <c r="R858" s="1"/>
    </row>
    <row r="859" spans="2:18" x14ac:dyDescent="0.15">
      <c r="G859" s="4"/>
      <c r="M859" s="1"/>
      <c r="N859" s="1"/>
      <c r="O859" s="1"/>
      <c r="P859" s="1"/>
      <c r="Q859" s="1"/>
      <c r="R859" s="1"/>
    </row>
    <row r="860" spans="2:18" s="12" customFormat="1" x14ac:dyDescent="0.15">
      <c r="B860" s="12" t="s">
        <v>249</v>
      </c>
      <c r="C860" s="13" t="s">
        <v>970</v>
      </c>
      <c r="D860" s="13" t="s">
        <v>969</v>
      </c>
      <c r="E860" s="15"/>
      <c r="F860" s="15">
        <f>SUM(F861:F863)</f>
        <v>146</v>
      </c>
      <c r="G860" s="14">
        <f>G862</f>
        <v>43923</v>
      </c>
      <c r="M860" s="13"/>
      <c r="N860" s="13"/>
      <c r="O860" s="13"/>
      <c r="P860" s="13"/>
      <c r="Q860" s="13"/>
      <c r="R860" s="13"/>
    </row>
    <row r="861" spans="2:18" x14ac:dyDescent="0.15">
      <c r="C861" s="2" t="s">
        <v>18</v>
      </c>
      <c r="D861" s="2" t="s">
        <v>245</v>
      </c>
      <c r="E861" s="3">
        <v>820</v>
      </c>
      <c r="F861" s="3">
        <f>600/6</f>
        <v>100</v>
      </c>
      <c r="G861" s="4">
        <v>43223</v>
      </c>
    </row>
    <row r="862" spans="2:18" x14ac:dyDescent="0.15">
      <c r="C862" s="2" t="s">
        <v>18</v>
      </c>
      <c r="D862" s="2" t="s">
        <v>211</v>
      </c>
      <c r="E862" s="3">
        <v>230</v>
      </c>
      <c r="F862" s="3">
        <v>38</v>
      </c>
      <c r="G862" s="4">
        <v>43923</v>
      </c>
    </row>
    <row r="863" spans="2:18" x14ac:dyDescent="0.15">
      <c r="C863" s="2" t="s">
        <v>5</v>
      </c>
      <c r="D863" s="2" t="s">
        <v>161</v>
      </c>
      <c r="E863" s="3">
        <v>102</v>
      </c>
      <c r="F863" s="3">
        <v>8</v>
      </c>
      <c r="G863" s="4">
        <v>43292</v>
      </c>
    </row>
    <row r="864" spans="2:18" x14ac:dyDescent="0.15">
      <c r="G864" s="4"/>
    </row>
    <row r="865" spans="2:18" s="12" customFormat="1" x14ac:dyDescent="0.15">
      <c r="B865" s="12" t="s">
        <v>4361</v>
      </c>
      <c r="C865" s="13" t="s">
        <v>970</v>
      </c>
      <c r="D865" s="13" t="s">
        <v>969</v>
      </c>
      <c r="E865" s="15"/>
      <c r="F865" s="15">
        <f>SUM(F866:F867)</f>
        <v>140</v>
      </c>
      <c r="G865" s="14">
        <f>G866</f>
        <v>44237</v>
      </c>
      <c r="M865" s="13"/>
      <c r="N865" s="13"/>
      <c r="O865" s="13"/>
      <c r="P865" s="13"/>
      <c r="Q865" s="13"/>
      <c r="R865" s="13"/>
    </row>
    <row r="866" spans="2:18" x14ac:dyDescent="0.15">
      <c r="C866" s="2" t="s">
        <v>8</v>
      </c>
      <c r="D866" s="2" t="s">
        <v>2141</v>
      </c>
      <c r="E866" s="3">
        <v>200</v>
      </c>
      <c r="F866" s="3">
        <v>40</v>
      </c>
      <c r="G866" s="4">
        <v>44237</v>
      </c>
    </row>
    <row r="867" spans="2:18" x14ac:dyDescent="0.15">
      <c r="C867" s="2" t="s">
        <v>18</v>
      </c>
      <c r="D867" s="2" t="s">
        <v>2141</v>
      </c>
      <c r="E867" s="3">
        <v>100</v>
      </c>
      <c r="F867" s="3">
        <v>100</v>
      </c>
      <c r="G867" s="4">
        <v>44158</v>
      </c>
    </row>
    <row r="868" spans="2:18" x14ac:dyDescent="0.15">
      <c r="G868" s="4"/>
    </row>
    <row r="869" spans="2:18" s="12" customFormat="1" x14ac:dyDescent="0.15">
      <c r="B869" s="12" t="s">
        <v>257</v>
      </c>
      <c r="C869" s="13" t="s">
        <v>970</v>
      </c>
      <c r="D869" s="13" t="s">
        <v>969</v>
      </c>
      <c r="E869" s="15"/>
      <c r="F869" s="15">
        <f>SUM(F870:F871)</f>
        <v>137.5</v>
      </c>
      <c r="G869" s="14">
        <f>G870</f>
        <v>44502</v>
      </c>
      <c r="M869" s="13"/>
      <c r="N869" s="13"/>
      <c r="O869" s="13"/>
      <c r="P869" s="13"/>
      <c r="Q869" s="13"/>
      <c r="R869" s="13"/>
    </row>
    <row r="870" spans="2:18" x14ac:dyDescent="0.15">
      <c r="C870" s="2" t="s">
        <v>8</v>
      </c>
      <c r="D870" s="2" t="s">
        <v>253</v>
      </c>
      <c r="E870" s="3">
        <v>600</v>
      </c>
      <c r="F870" s="3">
        <f>500/8</f>
        <v>62.5</v>
      </c>
      <c r="G870" s="4">
        <v>44502</v>
      </c>
    </row>
    <row r="871" spans="2:18" x14ac:dyDescent="0.15">
      <c r="C871" s="2" t="s">
        <v>18</v>
      </c>
      <c r="D871" s="2" t="s">
        <v>253</v>
      </c>
      <c r="E871" s="3">
        <v>500</v>
      </c>
      <c r="F871" s="3">
        <v>75</v>
      </c>
      <c r="G871" s="4">
        <v>44144</v>
      </c>
    </row>
    <row r="872" spans="2:18" x14ac:dyDescent="0.15">
      <c r="G872" s="4"/>
    </row>
    <row r="873" spans="2:18" s="12" customFormat="1" x14ac:dyDescent="0.15">
      <c r="B873" s="12" t="s">
        <v>1101</v>
      </c>
      <c r="C873" s="13" t="s">
        <v>970</v>
      </c>
      <c r="D873" s="13" t="s">
        <v>969</v>
      </c>
      <c r="E873" s="15"/>
      <c r="F873" s="15">
        <f>SUM(F874:F886)</f>
        <v>134.83571428571429</v>
      </c>
      <c r="G873" s="14">
        <f>G874</f>
        <v>45090</v>
      </c>
      <c r="I873" s="12" t="s">
        <v>6768</v>
      </c>
    </row>
    <row r="874" spans="2:18" x14ac:dyDescent="0.15">
      <c r="C874" s="2" t="s">
        <v>18</v>
      </c>
      <c r="D874" s="2" t="s">
        <v>404</v>
      </c>
      <c r="E874" s="3">
        <v>90</v>
      </c>
      <c r="F874" s="3">
        <v>15</v>
      </c>
      <c r="G874" s="4">
        <v>45090</v>
      </c>
      <c r="M874" s="1"/>
      <c r="N874" s="1"/>
      <c r="O874" s="1"/>
      <c r="P874" s="1"/>
      <c r="Q874" s="1"/>
      <c r="R874" s="1"/>
    </row>
    <row r="875" spans="2:18" x14ac:dyDescent="0.15">
      <c r="C875" s="2" t="s">
        <v>7</v>
      </c>
      <c r="D875" s="2" t="s">
        <v>404</v>
      </c>
      <c r="E875" s="3">
        <v>50</v>
      </c>
      <c r="F875" s="3">
        <f>30/6</f>
        <v>5</v>
      </c>
      <c r="G875" s="4">
        <v>44538</v>
      </c>
      <c r="M875" s="1"/>
      <c r="N875" s="1"/>
      <c r="O875" s="1"/>
      <c r="P875" s="1"/>
      <c r="Q875" s="1"/>
      <c r="R875" s="1"/>
    </row>
    <row r="876" spans="2:18" x14ac:dyDescent="0.15">
      <c r="C876" s="2" t="s">
        <v>5</v>
      </c>
      <c r="D876" s="2" t="s">
        <v>404</v>
      </c>
      <c r="E876" s="3">
        <v>12.5</v>
      </c>
      <c r="F876" s="3">
        <f>+E876/2</f>
        <v>6.25</v>
      </c>
      <c r="G876" s="4">
        <v>44306</v>
      </c>
      <c r="M876" s="1"/>
      <c r="N876" s="1"/>
      <c r="O876" s="1"/>
      <c r="P876" s="1"/>
      <c r="Q876" s="1"/>
      <c r="R876" s="1"/>
    </row>
    <row r="877" spans="2:18" x14ac:dyDescent="0.15">
      <c r="C877" s="2" t="s">
        <v>18</v>
      </c>
      <c r="D877" s="2" t="s">
        <v>374</v>
      </c>
      <c r="E877" s="3">
        <v>130</v>
      </c>
      <c r="F877" s="3">
        <f>100/7</f>
        <v>14.285714285714286</v>
      </c>
      <c r="G877" s="4">
        <v>44323</v>
      </c>
      <c r="M877" s="1"/>
      <c r="N877" s="1"/>
      <c r="O877" s="1"/>
      <c r="P877" s="1"/>
      <c r="Q877" s="1"/>
      <c r="R877" s="1"/>
    </row>
    <row r="878" spans="2:18" x14ac:dyDescent="0.15">
      <c r="C878" s="2" t="s">
        <v>7</v>
      </c>
      <c r="D878" s="2" t="s">
        <v>374</v>
      </c>
      <c r="E878" s="3">
        <v>44</v>
      </c>
      <c r="F878" s="3">
        <v>5</v>
      </c>
      <c r="G878" s="4">
        <v>43909</v>
      </c>
      <c r="M878" s="1"/>
      <c r="N878" s="1"/>
      <c r="O878" s="1"/>
      <c r="P878" s="1"/>
      <c r="Q878" s="1"/>
      <c r="R878" s="1"/>
    </row>
    <row r="879" spans="2:18" x14ac:dyDescent="0.15">
      <c r="C879" s="2" t="s">
        <v>5</v>
      </c>
      <c r="D879" s="2" t="s">
        <v>374</v>
      </c>
      <c r="E879" s="3">
        <v>15</v>
      </c>
      <c r="F879" s="3">
        <v>5</v>
      </c>
      <c r="G879" s="4">
        <v>43452</v>
      </c>
      <c r="M879" s="1"/>
      <c r="N879" s="1"/>
      <c r="O879" s="1"/>
      <c r="P879" s="1"/>
      <c r="Q879" s="1"/>
      <c r="R879" s="1"/>
    </row>
    <row r="880" spans="2:18" x14ac:dyDescent="0.15">
      <c r="C880" s="2" t="s">
        <v>9</v>
      </c>
      <c r="D880" s="2" t="s">
        <v>154</v>
      </c>
      <c r="E880" s="3">
        <v>400</v>
      </c>
      <c r="F880" s="3">
        <v>36</v>
      </c>
      <c r="G880" s="4">
        <v>44413</v>
      </c>
      <c r="M880" s="1"/>
      <c r="N880" s="1"/>
      <c r="O880" s="1"/>
      <c r="P880" s="1"/>
      <c r="Q880" s="1"/>
      <c r="R880" s="1"/>
    </row>
    <row r="881" spans="2:18" x14ac:dyDescent="0.15">
      <c r="C881" s="2" t="s">
        <v>8</v>
      </c>
      <c r="D881" s="2" t="s">
        <v>154</v>
      </c>
      <c r="E881" s="3">
        <v>100</v>
      </c>
      <c r="F881" s="3">
        <f>75/6</f>
        <v>12.5</v>
      </c>
      <c r="G881" s="4">
        <v>44067</v>
      </c>
      <c r="M881" s="1"/>
      <c r="N881" s="1"/>
      <c r="O881" s="1"/>
      <c r="P881" s="1"/>
      <c r="Q881" s="1"/>
      <c r="R881" s="1"/>
    </row>
    <row r="882" spans="2:18" x14ac:dyDescent="0.15">
      <c r="C882" s="2" t="s">
        <v>18</v>
      </c>
      <c r="D882" s="2" t="s">
        <v>154</v>
      </c>
      <c r="E882" s="3">
        <v>101</v>
      </c>
      <c r="F882" s="3">
        <f>60/4</f>
        <v>15</v>
      </c>
      <c r="G882" s="4">
        <v>43453</v>
      </c>
      <c r="M882" s="1"/>
      <c r="N882" s="1"/>
      <c r="O882" s="1"/>
      <c r="P882" s="1"/>
      <c r="Q882" s="1"/>
      <c r="R882" s="1"/>
    </row>
    <row r="883" spans="2:18" x14ac:dyDescent="0.15">
      <c r="C883" s="2" t="s">
        <v>7</v>
      </c>
      <c r="D883" s="2" t="s">
        <v>154</v>
      </c>
      <c r="E883" s="3">
        <v>14</v>
      </c>
      <c r="F883" s="3">
        <v>10</v>
      </c>
      <c r="G883" s="4">
        <v>42668</v>
      </c>
      <c r="M883" s="1"/>
      <c r="N883" s="1"/>
      <c r="O883" s="1"/>
      <c r="P883" s="1"/>
      <c r="Q883" s="1"/>
      <c r="R883" s="1"/>
    </row>
    <row r="884" spans="2:18" x14ac:dyDescent="0.15">
      <c r="C884" s="193" t="s">
        <v>5</v>
      </c>
      <c r="D884" s="193" t="s">
        <v>2032</v>
      </c>
      <c r="E884" s="3">
        <v>21</v>
      </c>
      <c r="F884" s="3">
        <f>12/3</f>
        <v>4</v>
      </c>
      <c r="G884" s="4">
        <v>44334</v>
      </c>
      <c r="M884" s="1"/>
      <c r="N884" s="1"/>
      <c r="O884" s="1"/>
      <c r="P884" s="1"/>
      <c r="Q884" s="1"/>
      <c r="R884" s="1"/>
    </row>
    <row r="885" spans="2:18" x14ac:dyDescent="0.15">
      <c r="C885" s="193" t="s">
        <v>5</v>
      </c>
      <c r="D885" s="193" t="s">
        <v>2028</v>
      </c>
      <c r="E885" s="3">
        <v>15.3</v>
      </c>
      <c r="F885" s="3">
        <v>5.3</v>
      </c>
      <c r="G885" s="4">
        <v>44733</v>
      </c>
      <c r="M885" s="1"/>
      <c r="N885" s="1"/>
      <c r="O885" s="1"/>
      <c r="P885" s="1"/>
      <c r="Q885" s="1"/>
      <c r="R885" s="1"/>
    </row>
    <row r="886" spans="2:18" x14ac:dyDescent="0.15">
      <c r="C886" s="193" t="s">
        <v>4</v>
      </c>
      <c r="D886" s="193" t="s">
        <v>2028</v>
      </c>
      <c r="E886" s="3">
        <v>3.5</v>
      </c>
      <c r="F886" s="3">
        <v>1.5</v>
      </c>
      <c r="G886" s="4">
        <v>44609</v>
      </c>
      <c r="M886" s="1"/>
      <c r="N886" s="1"/>
      <c r="O886" s="1"/>
      <c r="P886" s="1"/>
      <c r="Q886" s="1"/>
      <c r="R886" s="1"/>
    </row>
    <row r="887" spans="2:18" x14ac:dyDescent="0.15">
      <c r="G887" s="4"/>
      <c r="M887" s="1"/>
      <c r="N887" s="1"/>
      <c r="O887" s="1"/>
      <c r="P887" s="1"/>
      <c r="Q887" s="1"/>
      <c r="R887" s="1"/>
    </row>
    <row r="888" spans="2:18" s="12" customFormat="1" x14ac:dyDescent="0.15">
      <c r="B888" s="12" t="s">
        <v>193</v>
      </c>
      <c r="C888" s="13" t="s">
        <v>970</v>
      </c>
      <c r="D888" s="13" t="s">
        <v>969</v>
      </c>
      <c r="E888" s="15"/>
      <c r="F888" s="15">
        <f>SUM(F889:F892)</f>
        <v>131.18333333333334</v>
      </c>
      <c r="G888" s="14">
        <f>G890</f>
        <v>44384</v>
      </c>
      <c r="M888" s="13"/>
      <c r="N888" s="13"/>
      <c r="O888" s="13"/>
      <c r="P888" s="13"/>
      <c r="Q888" s="13"/>
      <c r="R888" s="13"/>
    </row>
    <row r="889" spans="2:18" x14ac:dyDescent="0.15">
      <c r="C889" s="2" t="s">
        <v>53</v>
      </c>
      <c r="D889" s="2" t="s">
        <v>176</v>
      </c>
      <c r="E889" s="3">
        <v>475</v>
      </c>
      <c r="F889" s="3">
        <f>E889/12</f>
        <v>39.583333333333336</v>
      </c>
      <c r="G889" s="4">
        <v>44278</v>
      </c>
    </row>
    <row r="890" spans="2:18" x14ac:dyDescent="0.15">
      <c r="C890" s="2" t="s">
        <v>18</v>
      </c>
      <c r="D890" s="2" t="s">
        <v>192</v>
      </c>
      <c r="E890" s="3">
        <v>235</v>
      </c>
      <c r="F890" s="3">
        <v>75</v>
      </c>
      <c r="G890" s="4">
        <v>44384</v>
      </c>
    </row>
    <row r="891" spans="2:18" x14ac:dyDescent="0.15">
      <c r="C891" s="2" t="s">
        <v>7</v>
      </c>
      <c r="D891" s="2" t="s">
        <v>192</v>
      </c>
      <c r="E891" s="3">
        <v>43</v>
      </c>
      <c r="F891" s="3">
        <f>+E891/5</f>
        <v>8.6</v>
      </c>
      <c r="G891" s="4">
        <v>44077</v>
      </c>
    </row>
    <row r="892" spans="2:18" x14ac:dyDescent="0.15">
      <c r="C892" s="2" t="s">
        <v>5</v>
      </c>
      <c r="D892" s="2" t="s">
        <v>192</v>
      </c>
      <c r="E892" s="3">
        <v>28</v>
      </c>
      <c r="F892" s="3">
        <v>8</v>
      </c>
      <c r="G892" s="4">
        <v>43301</v>
      </c>
    </row>
    <row r="893" spans="2:18" x14ac:dyDescent="0.15">
      <c r="G893" s="4"/>
    </row>
    <row r="894" spans="2:18" s="12" customFormat="1" x14ac:dyDescent="0.15">
      <c r="B894" s="12" t="s">
        <v>559</v>
      </c>
      <c r="C894" s="13" t="s">
        <v>970</v>
      </c>
      <c r="D894" s="13" t="s">
        <v>969</v>
      </c>
      <c r="E894" s="15"/>
      <c r="F894" s="15">
        <f>SUM(F895:F897)</f>
        <v>130.5</v>
      </c>
      <c r="G894" s="14">
        <f>G895</f>
        <v>45077</v>
      </c>
    </row>
    <row r="895" spans="2:18" x14ac:dyDescent="0.15">
      <c r="C895" s="2" t="s">
        <v>7</v>
      </c>
      <c r="D895" s="2" t="s">
        <v>549</v>
      </c>
      <c r="E895" s="3">
        <v>20</v>
      </c>
      <c r="F895" s="3">
        <v>8</v>
      </c>
      <c r="G895" s="4">
        <v>45077</v>
      </c>
      <c r="M895" s="1"/>
      <c r="N895" s="1"/>
      <c r="O895" s="1"/>
      <c r="P895" s="1"/>
      <c r="Q895" s="1"/>
      <c r="R895" s="1"/>
    </row>
    <row r="896" spans="2:18" x14ac:dyDescent="0.15">
      <c r="C896" s="2" t="s">
        <v>8</v>
      </c>
      <c r="D896" s="2" t="s">
        <v>232</v>
      </c>
      <c r="E896" s="3">
        <v>750</v>
      </c>
      <c r="F896" s="3">
        <f>450/4</f>
        <v>112.5</v>
      </c>
      <c r="G896" s="4">
        <v>43593</v>
      </c>
      <c r="M896" s="1"/>
      <c r="N896" s="1"/>
      <c r="O896" s="1"/>
      <c r="P896" s="1"/>
      <c r="Q896" s="1"/>
      <c r="R896" s="1"/>
    </row>
    <row r="897" spans="2:18" x14ac:dyDescent="0.15">
      <c r="C897" s="2" t="s">
        <v>7</v>
      </c>
      <c r="D897" s="2" t="s">
        <v>87</v>
      </c>
      <c r="E897" s="3">
        <v>25</v>
      </c>
      <c r="F897" s="3">
        <v>10</v>
      </c>
      <c r="G897" s="4">
        <v>44642</v>
      </c>
      <c r="M897" s="1"/>
      <c r="N897" s="1"/>
      <c r="O897" s="1"/>
      <c r="P897" s="1"/>
      <c r="Q897" s="1"/>
      <c r="R897" s="1"/>
    </row>
    <row r="898" spans="2:18" x14ac:dyDescent="0.15">
      <c r="G898" s="4"/>
      <c r="M898" s="1"/>
      <c r="N898" s="1"/>
      <c r="O898" s="1"/>
      <c r="P898" s="1"/>
      <c r="Q898" s="1"/>
      <c r="R898" s="1"/>
    </row>
    <row r="899" spans="2:18" s="12" customFormat="1" x14ac:dyDescent="0.15">
      <c r="B899" s="12" t="s">
        <v>170</v>
      </c>
      <c r="C899" s="13" t="s">
        <v>970</v>
      </c>
      <c r="D899" s="13" t="s">
        <v>969</v>
      </c>
      <c r="E899" s="15"/>
      <c r="F899" s="15">
        <f>SUM(F900:F901)</f>
        <v>131</v>
      </c>
      <c r="G899" s="14">
        <f>G900</f>
        <v>43886</v>
      </c>
      <c r="M899" s="13"/>
      <c r="N899" s="13"/>
      <c r="O899" s="13"/>
      <c r="P899" s="13"/>
      <c r="Q899" s="13"/>
      <c r="R899" s="13"/>
    </row>
    <row r="900" spans="2:18" x14ac:dyDescent="0.15">
      <c r="C900" s="2" t="s">
        <v>7</v>
      </c>
      <c r="D900" s="2" t="s">
        <v>161</v>
      </c>
      <c r="E900" s="3">
        <v>462</v>
      </c>
      <c r="F900" s="3">
        <f>162/2</f>
        <v>81</v>
      </c>
      <c r="G900" s="4">
        <v>43886</v>
      </c>
      <c r="I900" s="1">
        <v>2500</v>
      </c>
    </row>
    <row r="901" spans="2:18" x14ac:dyDescent="0.15">
      <c r="C901" s="2" t="s">
        <v>7</v>
      </c>
      <c r="D901" s="2" t="s">
        <v>161</v>
      </c>
      <c r="E901" s="3">
        <v>50</v>
      </c>
      <c r="F901" s="3">
        <v>50</v>
      </c>
      <c r="G901" s="4">
        <v>43566</v>
      </c>
    </row>
    <row r="902" spans="2:18" x14ac:dyDescent="0.15">
      <c r="G902" s="4"/>
    </row>
    <row r="903" spans="2:18" s="12" customFormat="1" x14ac:dyDescent="0.15">
      <c r="B903" s="12" t="s">
        <v>1087</v>
      </c>
      <c r="C903" s="13" t="s">
        <v>970</v>
      </c>
      <c r="D903" s="13" t="s">
        <v>969</v>
      </c>
      <c r="E903" s="15"/>
      <c r="F903" s="15">
        <f>SUM(F904:F921)</f>
        <v>131.30000000000001</v>
      </c>
      <c r="G903" s="14">
        <f>G905</f>
        <v>45005</v>
      </c>
      <c r="M903" s="13"/>
      <c r="N903" s="13"/>
      <c r="O903" s="13"/>
      <c r="P903" s="13"/>
      <c r="Q903" s="13"/>
      <c r="R903" s="13"/>
    </row>
    <row r="904" spans="2:18" x14ac:dyDescent="0.15">
      <c r="C904" s="2" t="s">
        <v>5</v>
      </c>
      <c r="D904" s="2" t="s">
        <v>683</v>
      </c>
      <c r="E904" s="3">
        <v>15</v>
      </c>
      <c r="F904" s="3">
        <v>5</v>
      </c>
      <c r="G904" s="4">
        <v>44838</v>
      </c>
    </row>
    <row r="905" spans="2:18" x14ac:dyDescent="0.15">
      <c r="C905" s="2" t="s">
        <v>5</v>
      </c>
      <c r="D905" s="2" t="s">
        <v>689</v>
      </c>
      <c r="E905" s="3">
        <v>13</v>
      </c>
      <c r="F905" s="3">
        <v>3</v>
      </c>
      <c r="G905" s="4">
        <v>45005</v>
      </c>
    </row>
    <row r="906" spans="2:18" x14ac:dyDescent="0.15">
      <c r="C906" s="2" t="s">
        <v>5</v>
      </c>
      <c r="D906" s="2" t="s">
        <v>641</v>
      </c>
      <c r="E906" s="3">
        <v>11</v>
      </c>
      <c r="F906" s="3">
        <v>7</v>
      </c>
      <c r="G906" s="4">
        <v>44959</v>
      </c>
    </row>
    <row r="907" spans="2:18" x14ac:dyDescent="0.15">
      <c r="C907" s="2" t="s">
        <v>8</v>
      </c>
      <c r="D907" s="2" t="s">
        <v>1086</v>
      </c>
      <c r="E907" s="3">
        <v>90</v>
      </c>
      <c r="F907" s="3">
        <v>5</v>
      </c>
      <c r="G907" s="4">
        <v>44776</v>
      </c>
    </row>
    <row r="908" spans="2:18" x14ac:dyDescent="0.15">
      <c r="C908" s="2" t="s">
        <v>18</v>
      </c>
      <c r="D908" s="2" t="s">
        <v>1086</v>
      </c>
      <c r="E908" s="3">
        <v>40</v>
      </c>
      <c r="F908" s="3">
        <v>3.75</v>
      </c>
      <c r="G908" s="4">
        <v>44176</v>
      </c>
    </row>
    <row r="909" spans="2:18" x14ac:dyDescent="0.15">
      <c r="C909" s="2" t="s">
        <v>7</v>
      </c>
      <c r="D909" s="2" t="s">
        <v>1086</v>
      </c>
      <c r="E909" s="3">
        <v>20</v>
      </c>
      <c r="F909" s="3">
        <v>5</v>
      </c>
      <c r="G909" s="4">
        <v>43879</v>
      </c>
    </row>
    <row r="910" spans="2:18" x14ac:dyDescent="0.15">
      <c r="C910" s="2" t="s">
        <v>8</v>
      </c>
      <c r="D910" s="2" t="s">
        <v>131</v>
      </c>
      <c r="E910" s="3">
        <v>135</v>
      </c>
      <c r="F910" s="3">
        <v>8</v>
      </c>
      <c r="G910" s="4">
        <v>44880</v>
      </c>
      <c r="I910" s="1">
        <v>615</v>
      </c>
    </row>
    <row r="911" spans="2:18" x14ac:dyDescent="0.15">
      <c r="C911" s="2" t="s">
        <v>7</v>
      </c>
      <c r="D911" s="2" t="s">
        <v>131</v>
      </c>
      <c r="E911" s="3">
        <v>32</v>
      </c>
      <c r="F911" s="3">
        <f>20/4</f>
        <v>5</v>
      </c>
      <c r="G911" s="4">
        <v>42528</v>
      </c>
    </row>
    <row r="912" spans="2:18" x14ac:dyDescent="0.15">
      <c r="C912" s="2" t="s">
        <v>8</v>
      </c>
      <c r="D912" s="2" t="s">
        <v>55</v>
      </c>
      <c r="E912" s="3">
        <v>200</v>
      </c>
      <c r="F912" s="3">
        <v>18.75</v>
      </c>
      <c r="G912" s="4">
        <v>44055</v>
      </c>
      <c r="I912" s="1">
        <v>2000</v>
      </c>
      <c r="J912" s="1">
        <v>7000</v>
      </c>
    </row>
    <row r="913" spans="2:18" x14ac:dyDescent="0.15">
      <c r="C913" s="2" t="s">
        <v>18</v>
      </c>
      <c r="D913" s="2" t="s">
        <v>55</v>
      </c>
      <c r="E913" s="3">
        <v>65</v>
      </c>
      <c r="F913" s="3">
        <v>8</v>
      </c>
      <c r="G913" s="4">
        <v>43802</v>
      </c>
      <c r="I913" s="1">
        <v>685</v>
      </c>
      <c r="J913" s="1">
        <v>7000</v>
      </c>
    </row>
    <row r="914" spans="2:18" x14ac:dyDescent="0.15">
      <c r="C914" s="2" t="s">
        <v>7</v>
      </c>
      <c r="D914" s="2" t="s">
        <v>55</v>
      </c>
      <c r="E914" s="3">
        <v>40</v>
      </c>
      <c r="F914" s="3">
        <v>6.25</v>
      </c>
      <c r="G914" s="4">
        <v>43503</v>
      </c>
      <c r="J914" s="1">
        <v>7000</v>
      </c>
    </row>
    <row r="915" spans="2:18" x14ac:dyDescent="0.15">
      <c r="C915" s="2" t="s">
        <v>5</v>
      </c>
      <c r="D915" s="2" t="s">
        <v>55</v>
      </c>
      <c r="E915" s="3">
        <v>22</v>
      </c>
      <c r="F915" s="3">
        <v>10</v>
      </c>
      <c r="G915" s="4">
        <v>46550</v>
      </c>
      <c r="J915" s="1">
        <v>7000</v>
      </c>
    </row>
    <row r="916" spans="2:18" x14ac:dyDescent="0.15">
      <c r="C916" s="2" t="s">
        <v>4</v>
      </c>
      <c r="D916" s="2" t="s">
        <v>55</v>
      </c>
      <c r="E916" s="3">
        <v>6</v>
      </c>
      <c r="F916" s="3">
        <v>6</v>
      </c>
      <c r="G916" s="4">
        <v>42542</v>
      </c>
      <c r="J916" s="1">
        <v>7000</v>
      </c>
    </row>
    <row r="917" spans="2:18" x14ac:dyDescent="0.15">
      <c r="C917" s="59" t="s">
        <v>8</v>
      </c>
      <c r="D917" s="59" t="s">
        <v>4926</v>
      </c>
      <c r="E917" s="3">
        <v>83</v>
      </c>
      <c r="F917" s="3">
        <f>68/10</f>
        <v>6.8</v>
      </c>
      <c r="G917" s="4">
        <v>44320</v>
      </c>
      <c r="I917" s="1">
        <v>3600</v>
      </c>
      <c r="J917" s="1">
        <v>3600</v>
      </c>
    </row>
    <row r="918" spans="2:18" x14ac:dyDescent="0.15">
      <c r="C918" s="59" t="s">
        <v>18</v>
      </c>
      <c r="D918" s="59" t="s">
        <v>4926</v>
      </c>
      <c r="E918" s="3">
        <v>100</v>
      </c>
      <c r="F918" s="3">
        <v>10</v>
      </c>
      <c r="G918" s="4">
        <v>43937</v>
      </c>
      <c r="I918" s="1">
        <v>1100</v>
      </c>
      <c r="J918" s="1">
        <v>3600</v>
      </c>
    </row>
    <row r="919" spans="2:18" x14ac:dyDescent="0.15">
      <c r="C919" s="59" t="s">
        <v>7</v>
      </c>
      <c r="D919" s="59" t="s">
        <v>4926</v>
      </c>
      <c r="E919" s="3">
        <v>40</v>
      </c>
      <c r="F919" s="3">
        <v>10</v>
      </c>
      <c r="G919" s="4">
        <v>43522</v>
      </c>
      <c r="J919" s="1">
        <v>3600</v>
      </c>
    </row>
    <row r="920" spans="2:18" x14ac:dyDescent="0.15">
      <c r="C920" s="59" t="s">
        <v>5</v>
      </c>
      <c r="D920" s="59" t="s">
        <v>4926</v>
      </c>
      <c r="E920" s="3">
        <v>25</v>
      </c>
      <c r="F920" s="3">
        <f>E920/4</f>
        <v>6.25</v>
      </c>
      <c r="G920" s="4">
        <v>43172</v>
      </c>
      <c r="J920" s="1">
        <v>3600</v>
      </c>
    </row>
    <row r="921" spans="2:18" x14ac:dyDescent="0.15">
      <c r="C921" s="59" t="s">
        <v>5</v>
      </c>
      <c r="D921" s="59" t="s">
        <v>4926</v>
      </c>
      <c r="E921" s="3">
        <v>15</v>
      </c>
      <c r="F921" s="3">
        <f>E921/2</f>
        <v>7.5</v>
      </c>
      <c r="G921" s="4">
        <v>42371</v>
      </c>
      <c r="J921" s="1">
        <v>3600</v>
      </c>
    </row>
    <row r="922" spans="2:18" x14ac:dyDescent="0.15">
      <c r="G922" s="4"/>
    </row>
    <row r="923" spans="2:18" s="12" customFormat="1" x14ac:dyDescent="0.15">
      <c r="B923" s="12" t="s">
        <v>1104</v>
      </c>
      <c r="C923" s="13" t="s">
        <v>970</v>
      </c>
      <c r="D923" s="13" t="s">
        <v>969</v>
      </c>
      <c r="E923" s="15"/>
      <c r="F923" s="15">
        <f>SUM(F924:F925)</f>
        <v>130</v>
      </c>
      <c r="G923" s="14">
        <f>G924</f>
        <v>44376</v>
      </c>
    </row>
    <row r="924" spans="2:18" x14ac:dyDescent="0.15">
      <c r="B924" s="258" t="s">
        <v>7706</v>
      </c>
      <c r="C924" s="2" t="s">
        <v>505</v>
      </c>
      <c r="D924" s="2" t="s">
        <v>490</v>
      </c>
      <c r="E924" s="3">
        <v>250</v>
      </c>
      <c r="F924" s="3">
        <f>150/5</f>
        <v>30</v>
      </c>
      <c r="G924" s="4">
        <v>44376</v>
      </c>
      <c r="M924" s="1"/>
      <c r="N924" s="1"/>
      <c r="O924" s="1"/>
      <c r="P924" s="1"/>
      <c r="Q924" s="1"/>
      <c r="R924" s="1"/>
    </row>
    <row r="925" spans="2:18" x14ac:dyDescent="0.15">
      <c r="B925" s="274" t="s">
        <v>7703</v>
      </c>
      <c r="C925" s="2" t="s">
        <v>9</v>
      </c>
      <c r="D925" s="2" t="s">
        <v>55</v>
      </c>
      <c r="E925" s="3">
        <v>250</v>
      </c>
      <c r="F925" s="3">
        <v>100</v>
      </c>
      <c r="G925" s="4">
        <v>44350</v>
      </c>
      <c r="I925" s="1">
        <v>7000</v>
      </c>
      <c r="J925" s="1">
        <v>7000</v>
      </c>
      <c r="M925" s="1"/>
      <c r="N925" s="1"/>
      <c r="O925" s="1"/>
      <c r="P925" s="1"/>
      <c r="Q925" s="1"/>
      <c r="R925" s="1"/>
    </row>
    <row r="926" spans="2:18" x14ac:dyDescent="0.15">
      <c r="G926" s="4"/>
      <c r="M926" s="1"/>
      <c r="N926" s="1"/>
      <c r="O926" s="1"/>
      <c r="P926" s="1"/>
      <c r="Q926" s="1"/>
      <c r="R926" s="1"/>
    </row>
    <row r="927" spans="2:18" x14ac:dyDescent="0.15">
      <c r="B927" s="12" t="s">
        <v>1103</v>
      </c>
      <c r="C927" s="13" t="s">
        <v>970</v>
      </c>
      <c r="D927" s="13" t="s">
        <v>969</v>
      </c>
      <c r="F927" s="15">
        <f>SUM(F928:F947)</f>
        <v>130.06666666666669</v>
      </c>
      <c r="G927" s="14">
        <f>G936</f>
        <v>45041</v>
      </c>
    </row>
    <row r="928" spans="2:18" x14ac:dyDescent="0.15">
      <c r="B928" s="12"/>
      <c r="C928" s="2" t="s">
        <v>7</v>
      </c>
      <c r="D928" s="2" t="s">
        <v>950</v>
      </c>
      <c r="E928" s="3">
        <v>350</v>
      </c>
      <c r="F928" s="3">
        <v>20</v>
      </c>
      <c r="G928" s="4">
        <v>44999</v>
      </c>
    </row>
    <row r="929" spans="3:7" x14ac:dyDescent="0.15">
      <c r="C929" s="2" t="s">
        <v>18</v>
      </c>
      <c r="D929" s="2" t="s">
        <v>927</v>
      </c>
      <c r="E929" s="3">
        <v>100</v>
      </c>
      <c r="F929" s="3">
        <v>9</v>
      </c>
      <c r="G929" s="4">
        <v>44690</v>
      </c>
    </row>
    <row r="930" spans="3:7" x14ac:dyDescent="0.15">
      <c r="C930" s="2" t="s">
        <v>4</v>
      </c>
      <c r="D930" s="2" t="s">
        <v>927</v>
      </c>
      <c r="E930" s="3">
        <v>4</v>
      </c>
      <c r="F930" s="3">
        <v>1</v>
      </c>
      <c r="G930" s="4">
        <v>43243</v>
      </c>
    </row>
    <row r="931" spans="3:7" x14ac:dyDescent="0.15">
      <c r="C931" s="2" t="s">
        <v>551</v>
      </c>
      <c r="D931" s="2" t="s">
        <v>927</v>
      </c>
      <c r="E931" s="3">
        <v>1.2</v>
      </c>
      <c r="F931" s="3">
        <v>0.2</v>
      </c>
      <c r="G931" s="4">
        <v>42799</v>
      </c>
    </row>
    <row r="932" spans="3:7" x14ac:dyDescent="0.15">
      <c r="C932" s="2" t="s">
        <v>5</v>
      </c>
      <c r="D932" s="2" t="s">
        <v>936</v>
      </c>
      <c r="E932" s="3">
        <v>150</v>
      </c>
      <c r="F932" s="3">
        <v>10</v>
      </c>
      <c r="G932" s="4">
        <v>45008</v>
      </c>
    </row>
    <row r="933" spans="3:7" x14ac:dyDescent="0.15">
      <c r="C933" s="2" t="s">
        <v>4</v>
      </c>
      <c r="D933" s="2" t="s">
        <v>1006</v>
      </c>
      <c r="E933" s="3">
        <v>5</v>
      </c>
      <c r="F933" s="3">
        <v>1</v>
      </c>
      <c r="G933" s="4">
        <v>43438</v>
      </c>
    </row>
    <row r="934" spans="3:7" x14ac:dyDescent="0.15">
      <c r="C934" s="2" t="s">
        <v>4</v>
      </c>
      <c r="D934" s="2" t="s">
        <v>691</v>
      </c>
      <c r="E934" s="3">
        <v>30</v>
      </c>
      <c r="F934" s="3">
        <v>5</v>
      </c>
      <c r="G934" s="4">
        <v>44742</v>
      </c>
    </row>
    <row r="935" spans="3:7" x14ac:dyDescent="0.15">
      <c r="C935" s="2" t="s">
        <v>5</v>
      </c>
      <c r="D935" s="2" t="s">
        <v>685</v>
      </c>
      <c r="E935" s="3">
        <v>21</v>
      </c>
      <c r="F935" s="3">
        <f>11/3</f>
        <v>3.6666666666666665</v>
      </c>
      <c r="G935" s="4">
        <v>45027</v>
      </c>
    </row>
    <row r="936" spans="3:7" x14ac:dyDescent="0.15">
      <c r="C936" s="2" t="s">
        <v>7</v>
      </c>
      <c r="D936" s="2" t="s">
        <v>908</v>
      </c>
      <c r="E936" s="3">
        <v>97.4</v>
      </c>
      <c r="F936" s="3">
        <f>47/6</f>
        <v>7.833333333333333</v>
      </c>
      <c r="G936" s="4">
        <v>45041</v>
      </c>
    </row>
    <row r="937" spans="3:7" x14ac:dyDescent="0.15">
      <c r="C937" s="2" t="s">
        <v>278</v>
      </c>
      <c r="D937" s="2" t="s">
        <v>777</v>
      </c>
      <c r="E937" s="3">
        <v>4.5</v>
      </c>
      <c r="F937" s="3">
        <v>1</v>
      </c>
      <c r="G937" s="4">
        <v>44691</v>
      </c>
    </row>
    <row r="938" spans="3:7" x14ac:dyDescent="0.15">
      <c r="C938" s="2" t="s">
        <v>5</v>
      </c>
      <c r="D938" s="2" t="s">
        <v>1070</v>
      </c>
      <c r="E938" s="3">
        <v>5.3</v>
      </c>
      <c r="F938" s="3">
        <v>2.5</v>
      </c>
      <c r="G938" s="4">
        <v>44978</v>
      </c>
    </row>
    <row r="939" spans="3:7" x14ac:dyDescent="0.15">
      <c r="C939" s="2" t="s">
        <v>5</v>
      </c>
      <c r="D939" s="2" t="s">
        <v>521</v>
      </c>
      <c r="E939" s="3">
        <v>7</v>
      </c>
      <c r="F939" s="3">
        <v>1</v>
      </c>
      <c r="G939" s="4">
        <v>42885</v>
      </c>
    </row>
    <row r="940" spans="3:7" x14ac:dyDescent="0.15">
      <c r="C940" s="2" t="s">
        <v>4</v>
      </c>
      <c r="D940" s="2" t="s">
        <v>521</v>
      </c>
      <c r="E940" s="3">
        <v>3</v>
      </c>
      <c r="F940" s="3">
        <v>0.5</v>
      </c>
      <c r="G940" s="4">
        <v>42606</v>
      </c>
    </row>
    <row r="941" spans="3:7" x14ac:dyDescent="0.15">
      <c r="C941" s="2" t="s">
        <v>7</v>
      </c>
      <c r="D941" s="2" t="s">
        <v>1102</v>
      </c>
      <c r="E941" s="3">
        <v>18</v>
      </c>
      <c r="F941" s="3">
        <v>4.5</v>
      </c>
      <c r="G941" s="4">
        <v>44831</v>
      </c>
    </row>
    <row r="942" spans="3:7" x14ac:dyDescent="0.15">
      <c r="C942" s="2" t="s">
        <v>5</v>
      </c>
      <c r="D942" s="2" t="s">
        <v>1102</v>
      </c>
      <c r="E942" s="3">
        <v>18.5</v>
      </c>
      <c r="F942" s="3">
        <v>5</v>
      </c>
      <c r="G942" s="4">
        <v>44658</v>
      </c>
    </row>
    <row r="943" spans="3:7" x14ac:dyDescent="0.15">
      <c r="C943" s="2" t="s">
        <v>4</v>
      </c>
      <c r="D943" s="2" t="s">
        <v>425</v>
      </c>
      <c r="E943" s="3">
        <v>7</v>
      </c>
      <c r="F943" s="3">
        <v>0.83333333333333337</v>
      </c>
      <c r="G943" s="4">
        <v>43046</v>
      </c>
    </row>
    <row r="944" spans="3:7" x14ac:dyDescent="0.15">
      <c r="C944" s="2" t="s">
        <v>4</v>
      </c>
      <c r="D944" s="2" t="s">
        <v>302</v>
      </c>
      <c r="E944" s="3">
        <v>1.8</v>
      </c>
      <c r="F944" s="3">
        <f>+E944/9</f>
        <v>0.2</v>
      </c>
      <c r="G944" s="4">
        <v>42690</v>
      </c>
    </row>
    <row r="945" spans="2:18" x14ac:dyDescent="0.15">
      <c r="C945" s="2" t="s">
        <v>7</v>
      </c>
      <c r="D945" s="2" t="s">
        <v>74</v>
      </c>
      <c r="E945" s="3">
        <v>25</v>
      </c>
      <c r="F945" s="3">
        <v>5</v>
      </c>
      <c r="G945" s="4">
        <v>42723</v>
      </c>
      <c r="I945" s="1">
        <v>245</v>
      </c>
      <c r="J945" s="1">
        <v>3800</v>
      </c>
    </row>
    <row r="946" spans="2:18" x14ac:dyDescent="0.15">
      <c r="C946" s="2" t="s">
        <v>1</v>
      </c>
      <c r="D946" s="2" t="s">
        <v>0</v>
      </c>
      <c r="E946" s="3">
        <v>300</v>
      </c>
      <c r="F946" s="3">
        <v>50</v>
      </c>
      <c r="G946" s="4">
        <v>45044</v>
      </c>
      <c r="I946" s="1">
        <v>28700</v>
      </c>
      <c r="J946" s="1">
        <v>28700</v>
      </c>
    </row>
    <row r="947" spans="2:18" x14ac:dyDescent="0.15">
      <c r="C947" s="100" t="s">
        <v>5</v>
      </c>
      <c r="D947" s="100" t="s">
        <v>1146</v>
      </c>
      <c r="E947" s="3">
        <v>19</v>
      </c>
      <c r="F947" s="3">
        <f>11/6</f>
        <v>1.8333333333333333</v>
      </c>
      <c r="G947" s="4">
        <v>45097</v>
      </c>
      <c r="I947" s="1">
        <v>100</v>
      </c>
      <c r="J947" s="1">
        <v>100</v>
      </c>
    </row>
    <row r="948" spans="2:18" x14ac:dyDescent="0.15">
      <c r="G948" s="4"/>
    </row>
    <row r="949" spans="2:18" s="12" customFormat="1" x14ac:dyDescent="0.15">
      <c r="B949" s="12" t="s">
        <v>6769</v>
      </c>
      <c r="C949" s="13" t="s">
        <v>970</v>
      </c>
      <c r="D949" s="13" t="s">
        <v>969</v>
      </c>
      <c r="E949" s="15"/>
      <c r="F949" s="15">
        <f>SUM(F950:F957)</f>
        <v>130.82619047619048</v>
      </c>
      <c r="G949" s="14">
        <f>G951</f>
        <v>44811</v>
      </c>
      <c r="M949" s="13"/>
      <c r="N949" s="13"/>
      <c r="O949" s="13"/>
      <c r="P949" s="13"/>
      <c r="Q949" s="13"/>
      <c r="R949" s="13"/>
    </row>
    <row r="950" spans="2:18" x14ac:dyDescent="0.15">
      <c r="C950" s="2" t="s">
        <v>4</v>
      </c>
      <c r="D950" s="2" t="s">
        <v>679</v>
      </c>
      <c r="E950" s="3">
        <v>15</v>
      </c>
      <c r="F950" s="3">
        <f>15/7</f>
        <v>2.1428571428571428</v>
      </c>
      <c r="G950" s="4">
        <v>44691</v>
      </c>
    </row>
    <row r="951" spans="2:18" x14ac:dyDescent="0.15">
      <c r="C951" s="2" t="s">
        <v>7</v>
      </c>
      <c r="D951" s="2" t="s">
        <v>543</v>
      </c>
      <c r="E951" s="3">
        <v>40</v>
      </c>
      <c r="F951" s="3">
        <f>25/4</f>
        <v>6.25</v>
      </c>
      <c r="G951" s="4">
        <v>44811</v>
      </c>
    </row>
    <row r="952" spans="2:18" x14ac:dyDescent="0.15">
      <c r="C952" s="2" t="s">
        <v>5</v>
      </c>
      <c r="D952" s="2" t="s">
        <v>543</v>
      </c>
      <c r="E952" s="3">
        <v>14</v>
      </c>
      <c r="F952" s="3">
        <f>8/5</f>
        <v>1.6</v>
      </c>
      <c r="G952" s="4">
        <v>44447</v>
      </c>
    </row>
    <row r="953" spans="2:18" x14ac:dyDescent="0.15">
      <c r="C953" s="2" t="s">
        <v>5</v>
      </c>
      <c r="D953" s="2" t="s">
        <v>543</v>
      </c>
      <c r="E953" s="3">
        <v>12</v>
      </c>
      <c r="F953" s="3">
        <v>4</v>
      </c>
      <c r="G953" s="4">
        <v>43532</v>
      </c>
    </row>
    <row r="954" spans="2:18" x14ac:dyDescent="0.15">
      <c r="C954" s="2" t="s">
        <v>9</v>
      </c>
      <c r="D954" s="2" t="s">
        <v>3</v>
      </c>
      <c r="E954" s="3">
        <v>90</v>
      </c>
      <c r="F954" s="3">
        <v>10</v>
      </c>
      <c r="G954" s="4">
        <v>44721</v>
      </c>
      <c r="I954" s="1">
        <v>2200</v>
      </c>
      <c r="J954" s="1">
        <v>2200</v>
      </c>
    </row>
    <row r="955" spans="2:18" x14ac:dyDescent="0.15">
      <c r="C955" s="2" t="s">
        <v>8</v>
      </c>
      <c r="D955" s="2" t="s">
        <v>3</v>
      </c>
      <c r="E955" s="3">
        <v>210</v>
      </c>
      <c r="F955" s="3">
        <v>33.333333333333336</v>
      </c>
      <c r="G955" s="4">
        <v>44432</v>
      </c>
      <c r="I955" s="1">
        <v>1000</v>
      </c>
      <c r="J955" s="1">
        <v>2200</v>
      </c>
    </row>
    <row r="956" spans="2:18" x14ac:dyDescent="0.15">
      <c r="C956" s="2" t="s">
        <v>18</v>
      </c>
      <c r="D956" s="2" t="s">
        <v>3</v>
      </c>
      <c r="E956" s="3">
        <v>70</v>
      </c>
      <c r="F956" s="3">
        <v>70</v>
      </c>
      <c r="G956" s="4">
        <v>44250</v>
      </c>
      <c r="J956" s="1">
        <v>2200</v>
      </c>
    </row>
    <row r="957" spans="2:18" x14ac:dyDescent="0.15">
      <c r="C957" s="261" t="s">
        <v>4</v>
      </c>
      <c r="D957" s="261" t="s">
        <v>2013</v>
      </c>
      <c r="E957" s="3">
        <v>7</v>
      </c>
      <c r="F957" s="3">
        <v>3.5</v>
      </c>
      <c r="G957" s="4">
        <v>44216</v>
      </c>
    </row>
    <row r="958" spans="2:18" x14ac:dyDescent="0.15">
      <c r="G958" s="4"/>
    </row>
    <row r="959" spans="2:18" s="12" customFormat="1" x14ac:dyDescent="0.15">
      <c r="B959" s="12" t="s">
        <v>509</v>
      </c>
      <c r="C959" s="13" t="s">
        <v>970</v>
      </c>
      <c r="D959" s="13" t="s">
        <v>969</v>
      </c>
      <c r="E959" s="15"/>
      <c r="F959" s="15">
        <f>SUM(F960:F963)</f>
        <v>125.5</v>
      </c>
      <c r="G959" s="14">
        <f>G960</f>
        <v>44376</v>
      </c>
    </row>
    <row r="960" spans="2:18" x14ac:dyDescent="0.15">
      <c r="C960" s="2" t="s">
        <v>505</v>
      </c>
      <c r="D960" s="2" t="s">
        <v>490</v>
      </c>
      <c r="E960" s="3">
        <v>250</v>
      </c>
      <c r="F960" s="3">
        <v>50</v>
      </c>
      <c r="G960" s="4">
        <v>44376</v>
      </c>
      <c r="M960" s="1"/>
      <c r="N960" s="1"/>
      <c r="O960" s="1"/>
      <c r="P960" s="1"/>
      <c r="Q960" s="1"/>
      <c r="R960" s="1"/>
    </row>
    <row r="961" spans="2:18" x14ac:dyDescent="0.15">
      <c r="C961" s="2" t="s">
        <v>53</v>
      </c>
      <c r="D961" s="2" t="s">
        <v>490</v>
      </c>
      <c r="E961" s="3">
        <v>270</v>
      </c>
      <c r="F961" s="3">
        <v>50</v>
      </c>
      <c r="G961" s="4">
        <v>44152</v>
      </c>
      <c r="M961" s="1"/>
      <c r="N961" s="1"/>
      <c r="O961" s="1"/>
      <c r="P961" s="1"/>
      <c r="Q961" s="1"/>
      <c r="R961" s="1"/>
    </row>
    <row r="962" spans="2:18" x14ac:dyDescent="0.15">
      <c r="C962" s="2" t="s">
        <v>8</v>
      </c>
      <c r="D962" s="2" t="s">
        <v>240</v>
      </c>
      <c r="E962" s="3">
        <v>81</v>
      </c>
      <c r="F962" s="3">
        <f>+E962/6</f>
        <v>13.5</v>
      </c>
      <c r="G962" s="4">
        <v>43418</v>
      </c>
      <c r="I962" s="1">
        <v>1700</v>
      </c>
      <c r="J962" s="1">
        <v>3800</v>
      </c>
      <c r="M962" s="1"/>
      <c r="N962" s="1"/>
      <c r="O962" s="1"/>
      <c r="P962" s="1"/>
      <c r="Q962" s="1"/>
      <c r="R962" s="1"/>
    </row>
    <row r="963" spans="2:18" x14ac:dyDescent="0.15">
      <c r="C963" s="2" t="s">
        <v>18</v>
      </c>
      <c r="D963" s="2" t="s">
        <v>240</v>
      </c>
      <c r="E963" s="3">
        <v>60</v>
      </c>
      <c r="F963" s="3">
        <f>+E963/5</f>
        <v>12</v>
      </c>
      <c r="G963" s="4">
        <v>42736</v>
      </c>
      <c r="I963" s="1">
        <v>800</v>
      </c>
      <c r="J963" s="1">
        <v>3800</v>
      </c>
      <c r="M963" s="1"/>
      <c r="N963" s="1"/>
      <c r="O963" s="1"/>
      <c r="P963" s="1"/>
      <c r="Q963" s="1"/>
      <c r="R963" s="1"/>
    </row>
    <row r="964" spans="2:18" x14ac:dyDescent="0.15">
      <c r="G964" s="4"/>
      <c r="M964" s="1"/>
      <c r="N964" s="1"/>
      <c r="O964" s="1"/>
      <c r="P964" s="1"/>
      <c r="Q964" s="1"/>
      <c r="R964" s="1"/>
    </row>
    <row r="965" spans="2:18" x14ac:dyDescent="0.15">
      <c r="B965" s="12" t="s">
        <v>6770</v>
      </c>
      <c r="C965" s="13" t="s">
        <v>970</v>
      </c>
      <c r="D965" s="13" t="s">
        <v>969</v>
      </c>
      <c r="E965" s="15"/>
      <c r="F965" s="15">
        <f>SUM(F966:F975)</f>
        <v>126.08571428571427</v>
      </c>
      <c r="G965" s="14">
        <f>G966</f>
        <v>45048</v>
      </c>
      <c r="I965" s="1" t="s">
        <v>1</v>
      </c>
      <c r="J965" s="1" t="s">
        <v>1</v>
      </c>
      <c r="K965" s="1" t="s">
        <v>1</v>
      </c>
    </row>
    <row r="966" spans="2:18" x14ac:dyDescent="0.15">
      <c r="C966" s="2" t="s">
        <v>18</v>
      </c>
      <c r="D966" s="2" t="s">
        <v>953</v>
      </c>
      <c r="E966" s="3">
        <v>270</v>
      </c>
      <c r="F966" s="3">
        <v>24</v>
      </c>
      <c r="G966" s="4">
        <v>45048</v>
      </c>
    </row>
    <row r="967" spans="2:18" x14ac:dyDescent="0.15">
      <c r="C967" s="2" t="s">
        <v>7</v>
      </c>
      <c r="D967" s="2" t="s">
        <v>950</v>
      </c>
      <c r="E967" s="3">
        <v>350</v>
      </c>
      <c r="F967" s="3">
        <v>20</v>
      </c>
      <c r="G967" s="4">
        <v>44999</v>
      </c>
    </row>
    <row r="968" spans="2:18" x14ac:dyDescent="0.15">
      <c r="C968" s="2" t="s">
        <v>7</v>
      </c>
      <c r="D968" s="2" t="s">
        <v>457</v>
      </c>
      <c r="E968" s="3">
        <v>26.8</v>
      </c>
      <c r="F968" s="3">
        <f>20/5</f>
        <v>4</v>
      </c>
      <c r="G968" s="4">
        <v>44600</v>
      </c>
    </row>
    <row r="969" spans="2:18" x14ac:dyDescent="0.15">
      <c r="C969" s="2" t="s">
        <v>8</v>
      </c>
      <c r="D969" s="2" t="s">
        <v>131</v>
      </c>
      <c r="E969" s="3">
        <v>135</v>
      </c>
      <c r="F969" s="3">
        <v>8</v>
      </c>
      <c r="G969" s="4">
        <v>44880</v>
      </c>
    </row>
    <row r="970" spans="2:18" x14ac:dyDescent="0.15">
      <c r="C970" s="2" t="s">
        <v>18</v>
      </c>
      <c r="D970" s="2" t="s">
        <v>131</v>
      </c>
      <c r="E970" s="3">
        <v>73</v>
      </c>
      <c r="F970" s="3">
        <f>53/7</f>
        <v>7.5714285714285712</v>
      </c>
      <c r="G970" s="4">
        <v>44565</v>
      </c>
    </row>
    <row r="971" spans="2:18" x14ac:dyDescent="0.15">
      <c r="C971" s="2" t="s">
        <v>18</v>
      </c>
      <c r="D971" s="2" t="s">
        <v>131</v>
      </c>
      <c r="E971" s="3">
        <v>31.7</v>
      </c>
      <c r="F971" s="3">
        <v>7</v>
      </c>
      <c r="G971" s="4">
        <v>43599</v>
      </c>
    </row>
    <row r="972" spans="2:18" x14ac:dyDescent="0.15">
      <c r="C972" s="2" t="s">
        <v>9</v>
      </c>
      <c r="D972" s="2" t="s">
        <v>39</v>
      </c>
      <c r="E972" s="3">
        <v>230</v>
      </c>
      <c r="F972" s="3">
        <v>24</v>
      </c>
      <c r="G972" s="4">
        <v>44984</v>
      </c>
      <c r="I972" s="1">
        <v>2000</v>
      </c>
      <c r="J972" s="1">
        <v>2000</v>
      </c>
    </row>
    <row r="973" spans="2:18" x14ac:dyDescent="0.15">
      <c r="C973" s="59" t="s">
        <v>8</v>
      </c>
      <c r="D973" s="59" t="s">
        <v>4926</v>
      </c>
      <c r="E973" s="3">
        <v>83</v>
      </c>
      <c r="F973" s="3">
        <f>68/10</f>
        <v>6.8</v>
      </c>
      <c r="G973" s="4">
        <v>44320</v>
      </c>
      <c r="I973" s="1">
        <v>3600</v>
      </c>
      <c r="J973" s="1">
        <v>3600</v>
      </c>
    </row>
    <row r="974" spans="2:18" x14ac:dyDescent="0.15">
      <c r="C974" s="62" t="s">
        <v>9</v>
      </c>
      <c r="D974" s="62" t="s">
        <v>2117</v>
      </c>
      <c r="E974" s="3">
        <v>100</v>
      </c>
      <c r="F974" s="3">
        <f>75/7</f>
        <v>10.714285714285714</v>
      </c>
      <c r="G974" s="4">
        <v>44507</v>
      </c>
      <c r="I974" s="1">
        <v>1600</v>
      </c>
      <c r="J974" s="1">
        <v>1600</v>
      </c>
    </row>
    <row r="975" spans="2:18" x14ac:dyDescent="0.15">
      <c r="C975" s="62" t="s">
        <v>53</v>
      </c>
      <c r="D975" s="62" t="s">
        <v>5044</v>
      </c>
      <c r="E975" s="3">
        <v>100</v>
      </c>
      <c r="F975" s="3">
        <f>70/5</f>
        <v>14</v>
      </c>
      <c r="G975" s="4">
        <v>44474</v>
      </c>
    </row>
    <row r="976" spans="2:18" x14ac:dyDescent="0.15">
      <c r="G976" s="4"/>
    </row>
    <row r="977" spans="2:19" s="12" customFormat="1" x14ac:dyDescent="0.15">
      <c r="B977" s="12" t="s">
        <v>160</v>
      </c>
      <c r="C977" s="13" t="s">
        <v>970</v>
      </c>
      <c r="D977" s="13" t="s">
        <v>969</v>
      </c>
      <c r="E977" s="15"/>
      <c r="F977" s="15">
        <f>SUM(F978:F981)</f>
        <v>131.05555555555554</v>
      </c>
      <c r="G977" s="14">
        <f>G981</f>
        <v>45063</v>
      </c>
      <c r="M977" s="13"/>
      <c r="N977" s="13"/>
      <c r="O977" s="13"/>
      <c r="P977" s="13"/>
      <c r="Q977" s="13"/>
      <c r="R977" s="13"/>
    </row>
    <row r="978" spans="2:19" x14ac:dyDescent="0.15">
      <c r="C978" s="2" t="s">
        <v>53</v>
      </c>
      <c r="D978" s="2" t="s">
        <v>154</v>
      </c>
      <c r="E978" s="3">
        <v>200</v>
      </c>
      <c r="F978" s="3">
        <v>50</v>
      </c>
      <c r="G978" s="4">
        <v>44907</v>
      </c>
      <c r="I978" s="1">
        <v>3500</v>
      </c>
    </row>
    <row r="979" spans="2:19" x14ac:dyDescent="0.15">
      <c r="C979" s="2" t="s">
        <v>9</v>
      </c>
      <c r="D979" s="2" t="s">
        <v>154</v>
      </c>
      <c r="E979" s="3">
        <v>400</v>
      </c>
      <c r="F979" s="3">
        <f>320/9</f>
        <v>35.555555555555557</v>
      </c>
      <c r="G979" s="4">
        <v>44413</v>
      </c>
      <c r="I979" s="1">
        <v>4200</v>
      </c>
    </row>
    <row r="980" spans="2:19" x14ac:dyDescent="0.15">
      <c r="C980" s="2" t="s">
        <v>18</v>
      </c>
      <c r="D980" s="2" t="s">
        <v>32</v>
      </c>
      <c r="E980" s="3">
        <v>230</v>
      </c>
      <c r="F980" s="3">
        <v>40</v>
      </c>
      <c r="G980" s="4">
        <v>43634</v>
      </c>
      <c r="I980" s="1">
        <v>770</v>
      </c>
      <c r="J980" s="1">
        <v>770</v>
      </c>
    </row>
    <row r="981" spans="2:19" x14ac:dyDescent="0.15">
      <c r="C981" s="261" t="s">
        <v>5</v>
      </c>
      <c r="D981" s="261" t="s">
        <v>2013</v>
      </c>
      <c r="E981" s="3">
        <v>11.5</v>
      </c>
      <c r="F981" s="3">
        <v>5.5</v>
      </c>
      <c r="G981" s="4">
        <v>45063</v>
      </c>
    </row>
    <row r="982" spans="2:19" x14ac:dyDescent="0.15">
      <c r="G982" s="4"/>
    </row>
    <row r="983" spans="2:19" s="12" customFormat="1" x14ac:dyDescent="0.15">
      <c r="B983" s="12" t="s">
        <v>172</v>
      </c>
      <c r="C983" s="13" t="s">
        <v>970</v>
      </c>
      <c r="D983" s="13" t="s">
        <v>969</v>
      </c>
      <c r="E983" s="15"/>
      <c r="F983" s="15">
        <f>SUM(F984:F989)</f>
        <v>125.4</v>
      </c>
      <c r="G983" s="14">
        <f>G988</f>
        <v>44550</v>
      </c>
      <c r="M983" s="13"/>
      <c r="N983" s="13"/>
      <c r="O983" s="13"/>
      <c r="P983" s="13"/>
      <c r="Q983" s="13"/>
      <c r="R983" s="13"/>
    </row>
    <row r="984" spans="2:19" x14ac:dyDescent="0.15">
      <c r="C984" s="2" t="s">
        <v>18</v>
      </c>
      <c r="D984" s="2" t="s">
        <v>161</v>
      </c>
      <c r="E984" s="3">
        <v>100</v>
      </c>
      <c r="F984" s="3">
        <v>14</v>
      </c>
      <c r="G984" s="4">
        <v>44235</v>
      </c>
      <c r="I984" s="1">
        <v>5200</v>
      </c>
    </row>
    <row r="985" spans="2:19" x14ac:dyDescent="0.15">
      <c r="C985" s="2" t="s">
        <v>18</v>
      </c>
      <c r="D985" s="2" t="s">
        <v>161</v>
      </c>
      <c r="E985" s="3">
        <v>267</v>
      </c>
      <c r="F985" s="3">
        <f>167/5</f>
        <v>33.4</v>
      </c>
      <c r="G985" s="4">
        <v>44140</v>
      </c>
      <c r="I985" s="1">
        <v>5000</v>
      </c>
    </row>
    <row r="986" spans="2:19" x14ac:dyDescent="0.15">
      <c r="C986" s="2" t="s">
        <v>5</v>
      </c>
      <c r="D986" s="2" t="s">
        <v>161</v>
      </c>
      <c r="E986" s="3">
        <v>102</v>
      </c>
      <c r="F986" s="3">
        <v>8</v>
      </c>
      <c r="G986" s="4">
        <v>43292</v>
      </c>
    </row>
    <row r="987" spans="2:19" x14ac:dyDescent="0.15">
      <c r="C987" s="2" t="s">
        <v>5</v>
      </c>
      <c r="D987" s="2" t="s">
        <v>161</v>
      </c>
      <c r="E987" s="3">
        <v>112</v>
      </c>
      <c r="F987" s="3">
        <v>20</v>
      </c>
      <c r="G987" s="4">
        <v>43115</v>
      </c>
    </row>
    <row r="988" spans="2:19" x14ac:dyDescent="0.15">
      <c r="C988" s="2" t="s">
        <v>7</v>
      </c>
      <c r="D988" s="2" t="s">
        <v>64</v>
      </c>
      <c r="E988" s="3">
        <f>1600/7</f>
        <v>228.57142857142858</v>
      </c>
      <c r="F988" s="3">
        <v>40</v>
      </c>
      <c r="G988" s="4">
        <v>44550</v>
      </c>
    </row>
    <row r="989" spans="2:19" x14ac:dyDescent="0.15">
      <c r="C989" s="2" t="s">
        <v>5</v>
      </c>
      <c r="D989" s="2" t="s">
        <v>64</v>
      </c>
      <c r="E989" s="3">
        <v>50</v>
      </c>
      <c r="F989" s="3">
        <v>10</v>
      </c>
      <c r="G989" s="4">
        <v>44165</v>
      </c>
    </row>
    <row r="990" spans="2:19" x14ac:dyDescent="0.15">
      <c r="G990" s="4"/>
    </row>
    <row r="991" spans="2:19" x14ac:dyDescent="0.15">
      <c r="B991" s="12" t="s">
        <v>1094</v>
      </c>
      <c r="C991" s="13" t="s">
        <v>970</v>
      </c>
      <c r="D991" s="13" t="s">
        <v>969</v>
      </c>
      <c r="E991" s="15"/>
      <c r="F991" s="15">
        <f>SUM(F992:F1001)</f>
        <v>125.33333333333333</v>
      </c>
      <c r="G991" s="14">
        <f>+G995</f>
        <v>45104</v>
      </c>
      <c r="I991" s="1">
        <v>350</v>
      </c>
      <c r="J991" s="19">
        <f>+F991/I991</f>
        <v>0.35809523809523808</v>
      </c>
      <c r="K991" s="1">
        <v>2017</v>
      </c>
      <c r="S991" s="1" t="s">
        <v>1093</v>
      </c>
    </row>
    <row r="992" spans="2:19" x14ac:dyDescent="0.15">
      <c r="B992" s="273" t="s">
        <v>7704</v>
      </c>
      <c r="C992" s="2" t="s">
        <v>7</v>
      </c>
      <c r="D992" s="2" t="s">
        <v>953</v>
      </c>
      <c r="E992" s="3">
        <v>130</v>
      </c>
      <c r="F992" s="3">
        <f>70/3</f>
        <v>23.333333333333332</v>
      </c>
      <c r="G992" s="4">
        <v>44607</v>
      </c>
    </row>
    <row r="993" spans="2:18" x14ac:dyDescent="0.15">
      <c r="C993" s="2" t="s">
        <v>5</v>
      </c>
      <c r="D993" s="2" t="s">
        <v>953</v>
      </c>
      <c r="E993" s="3">
        <v>40</v>
      </c>
      <c r="F993" s="3">
        <v>10</v>
      </c>
      <c r="G993" s="4">
        <v>44446</v>
      </c>
    </row>
    <row r="994" spans="2:18" x14ac:dyDescent="0.15">
      <c r="C994" s="2" t="s">
        <v>5</v>
      </c>
      <c r="D994" s="2" t="s">
        <v>780</v>
      </c>
      <c r="E994" s="3">
        <v>33</v>
      </c>
      <c r="F994" s="3">
        <v>10</v>
      </c>
      <c r="G994" s="4">
        <v>44893</v>
      </c>
    </row>
    <row r="995" spans="2:18" x14ac:dyDescent="0.15">
      <c r="C995" s="2" t="s">
        <v>5</v>
      </c>
      <c r="D995" s="2" t="s">
        <v>547</v>
      </c>
      <c r="E995" s="3">
        <v>58</v>
      </c>
      <c r="F995" s="3">
        <v>20</v>
      </c>
      <c r="G995" s="4">
        <v>45104</v>
      </c>
    </row>
    <row r="996" spans="2:18" x14ac:dyDescent="0.15">
      <c r="C996" s="2" t="s">
        <v>18</v>
      </c>
      <c r="D996" s="2" t="s">
        <v>425</v>
      </c>
      <c r="E996" s="3">
        <v>75</v>
      </c>
      <c r="F996" s="3">
        <v>20</v>
      </c>
      <c r="G996" s="4">
        <v>45020</v>
      </c>
    </row>
    <row r="997" spans="2:18" x14ac:dyDescent="0.15">
      <c r="C997" s="2" t="s">
        <v>18</v>
      </c>
      <c r="D997" s="2" t="s">
        <v>425</v>
      </c>
      <c r="E997" s="3">
        <v>80</v>
      </c>
      <c r="F997" s="3">
        <v>10</v>
      </c>
      <c r="G997" s="4">
        <v>44404</v>
      </c>
    </row>
    <row r="998" spans="2:18" x14ac:dyDescent="0.15">
      <c r="C998" s="2" t="s">
        <v>7</v>
      </c>
      <c r="D998" s="2" t="s">
        <v>425</v>
      </c>
      <c r="E998" s="3">
        <v>40</v>
      </c>
      <c r="F998" s="3">
        <v>10</v>
      </c>
      <c r="G998" s="4">
        <v>43957</v>
      </c>
    </row>
    <row r="999" spans="2:18" x14ac:dyDescent="0.15">
      <c r="C999" s="100" t="s">
        <v>18</v>
      </c>
      <c r="D999" s="100" t="s">
        <v>6040</v>
      </c>
      <c r="E999" s="3">
        <v>15</v>
      </c>
      <c r="F999" s="3">
        <f>E999/2</f>
        <v>7.5</v>
      </c>
      <c r="G999" s="4">
        <v>45006</v>
      </c>
      <c r="I999" s="1">
        <v>250</v>
      </c>
      <c r="J999" s="1">
        <v>250</v>
      </c>
    </row>
    <row r="1000" spans="2:18" x14ac:dyDescent="0.15">
      <c r="C1000" s="100" t="s">
        <v>7</v>
      </c>
      <c r="D1000" s="100" t="s">
        <v>6040</v>
      </c>
      <c r="E1000" s="3">
        <v>50</v>
      </c>
      <c r="F1000" s="3">
        <v>7</v>
      </c>
      <c r="G1000" s="4">
        <v>44670</v>
      </c>
      <c r="J1000" s="1">
        <v>250</v>
      </c>
    </row>
    <row r="1001" spans="2:18" x14ac:dyDescent="0.15">
      <c r="C1001" s="184" t="s">
        <v>5</v>
      </c>
      <c r="D1001" s="184" t="s">
        <v>2037</v>
      </c>
      <c r="E1001" s="3">
        <v>30</v>
      </c>
      <c r="F1001" s="3">
        <v>7.5</v>
      </c>
      <c r="G1001" s="4">
        <v>44729</v>
      </c>
    </row>
    <row r="1002" spans="2:18" x14ac:dyDescent="0.15">
      <c r="G1002" s="4"/>
    </row>
    <row r="1003" spans="2:18" s="12" customFormat="1" x14ac:dyDescent="0.15">
      <c r="B1003" s="12" t="s">
        <v>1100</v>
      </c>
      <c r="C1003" s="13" t="s">
        <v>970</v>
      </c>
      <c r="D1003" s="13" t="s">
        <v>969</v>
      </c>
      <c r="E1003" s="15"/>
      <c r="F1003" s="15">
        <f>SUM(F1004:F1012)</f>
        <v>122.44444444444444</v>
      </c>
      <c r="G1003" s="14">
        <f>G1005</f>
        <v>45090</v>
      </c>
      <c r="M1003" s="13"/>
      <c r="N1003" s="13"/>
      <c r="O1003" s="13"/>
      <c r="P1003" s="13"/>
      <c r="Q1003" s="13"/>
      <c r="R1003" s="13"/>
    </row>
    <row r="1004" spans="2:18" x14ac:dyDescent="0.15">
      <c r="C1004" s="2" t="s">
        <v>5</v>
      </c>
      <c r="D1004" s="2" t="s">
        <v>1000</v>
      </c>
      <c r="E1004" s="3">
        <v>25</v>
      </c>
      <c r="F1004" s="3">
        <v>5</v>
      </c>
      <c r="G1004" s="4">
        <v>44699</v>
      </c>
    </row>
    <row r="1005" spans="2:18" x14ac:dyDescent="0.15">
      <c r="C1005" s="2" t="s">
        <v>4</v>
      </c>
      <c r="D1005" s="2" t="s">
        <v>706</v>
      </c>
      <c r="E1005" s="3">
        <v>113</v>
      </c>
      <c r="F1005" s="3">
        <v>8</v>
      </c>
      <c r="G1005" s="4">
        <v>45090</v>
      </c>
    </row>
    <row r="1006" spans="2:18" x14ac:dyDescent="0.15">
      <c r="C1006" s="2" t="s">
        <v>4</v>
      </c>
      <c r="D1006" s="2" t="s">
        <v>653</v>
      </c>
      <c r="E1006" s="3">
        <v>12</v>
      </c>
      <c r="F1006" s="3">
        <v>4</v>
      </c>
      <c r="G1006" s="4">
        <v>44971</v>
      </c>
    </row>
    <row r="1007" spans="2:18" x14ac:dyDescent="0.15">
      <c r="C1007" s="2" t="s">
        <v>5</v>
      </c>
      <c r="D1007" s="2" t="s">
        <v>161</v>
      </c>
      <c r="E1007" s="3">
        <v>102</v>
      </c>
      <c r="F1007" s="3">
        <f>70/9</f>
        <v>7.7777777777777777</v>
      </c>
      <c r="G1007" s="4">
        <v>43292</v>
      </c>
    </row>
    <row r="1008" spans="2:18" x14ac:dyDescent="0.15">
      <c r="C1008" s="2" t="s">
        <v>18</v>
      </c>
      <c r="D1008" s="2" t="s">
        <v>80</v>
      </c>
      <c r="E1008" s="3">
        <v>257</v>
      </c>
      <c r="F1008" s="3">
        <f>107/3</f>
        <v>35.666666666666664</v>
      </c>
      <c r="G1008" s="4">
        <v>44201</v>
      </c>
    </row>
    <row r="1009" spans="2:10" x14ac:dyDescent="0.15">
      <c r="C1009" s="2" t="s">
        <v>7</v>
      </c>
      <c r="D1009" s="2" t="s">
        <v>80</v>
      </c>
      <c r="E1009" s="3">
        <v>100</v>
      </c>
      <c r="F1009" s="3">
        <v>20</v>
      </c>
      <c r="G1009" s="4">
        <v>43958</v>
      </c>
    </row>
    <row r="1010" spans="2:10" x14ac:dyDescent="0.15">
      <c r="C1010" s="2" t="s">
        <v>5</v>
      </c>
      <c r="D1010" s="2" t="s">
        <v>80</v>
      </c>
      <c r="E1010" s="3">
        <v>43</v>
      </c>
      <c r="F1010" s="3">
        <f>+E1010/6</f>
        <v>7.166666666666667</v>
      </c>
      <c r="G1010" s="4">
        <v>43622</v>
      </c>
    </row>
    <row r="1011" spans="2:10" x14ac:dyDescent="0.15">
      <c r="C1011" s="2" t="s">
        <v>7</v>
      </c>
      <c r="D1011" s="2" t="s">
        <v>64</v>
      </c>
      <c r="E1011" s="3">
        <f>1600/7</f>
        <v>228.57142857142858</v>
      </c>
      <c r="F1011" s="3">
        <f>149/6</f>
        <v>24.833333333333332</v>
      </c>
      <c r="G1011" s="4">
        <v>44550</v>
      </c>
    </row>
    <row r="1012" spans="2:10" x14ac:dyDescent="0.15">
      <c r="C1012" s="2" t="s">
        <v>5</v>
      </c>
      <c r="D1012" s="2" t="s">
        <v>64</v>
      </c>
      <c r="E1012" s="3">
        <v>50</v>
      </c>
      <c r="F1012" s="3">
        <v>10</v>
      </c>
      <c r="G1012" s="4">
        <v>44165</v>
      </c>
    </row>
    <row r="1013" spans="2:10" x14ac:dyDescent="0.15">
      <c r="G1013" s="4"/>
    </row>
    <row r="1014" spans="2:10" x14ac:dyDescent="0.15">
      <c r="B1014" s="12" t="s">
        <v>1095</v>
      </c>
      <c r="C1014" s="13" t="s">
        <v>970</v>
      </c>
      <c r="D1014" s="13" t="s">
        <v>969</v>
      </c>
      <c r="F1014" s="15">
        <f>SUM(F1015:F1024)</f>
        <v>121.91666666666667</v>
      </c>
      <c r="G1014" s="14">
        <f>G1015</f>
        <v>45036</v>
      </c>
    </row>
    <row r="1015" spans="2:10" x14ac:dyDescent="0.15">
      <c r="B1015" s="273" t="s">
        <v>7704</v>
      </c>
      <c r="C1015" s="2" t="s">
        <v>7</v>
      </c>
      <c r="D1015" s="2" t="s">
        <v>797</v>
      </c>
      <c r="E1015" s="3">
        <v>50</v>
      </c>
      <c r="F1015" s="3">
        <v>6</v>
      </c>
      <c r="G1015" s="4">
        <v>45036</v>
      </c>
    </row>
    <row r="1016" spans="2:10" x14ac:dyDescent="0.15">
      <c r="C1016" s="2" t="s">
        <v>7</v>
      </c>
      <c r="D1016" s="2" t="s">
        <v>985</v>
      </c>
      <c r="E1016" s="3">
        <v>38</v>
      </c>
      <c r="F1016" s="3">
        <f>20/3</f>
        <v>6.666666666666667</v>
      </c>
      <c r="G1016" s="4">
        <v>44812</v>
      </c>
    </row>
    <row r="1017" spans="2:10" x14ac:dyDescent="0.15">
      <c r="C1017" s="2" t="s">
        <v>5</v>
      </c>
      <c r="D1017" s="2" t="s">
        <v>985</v>
      </c>
      <c r="E1017" s="3">
        <v>19</v>
      </c>
      <c r="F1017" s="3">
        <v>7</v>
      </c>
      <c r="G1017" s="4">
        <v>44467</v>
      </c>
    </row>
    <row r="1018" spans="2:10" x14ac:dyDescent="0.15">
      <c r="C1018" s="2" t="s">
        <v>5</v>
      </c>
      <c r="D1018" s="2" t="s">
        <v>517</v>
      </c>
      <c r="E1018" s="3">
        <v>14.5</v>
      </c>
      <c r="F1018" s="3">
        <v>3</v>
      </c>
      <c r="G1018" s="4">
        <v>43389</v>
      </c>
    </row>
    <row r="1019" spans="2:10" x14ac:dyDescent="0.15">
      <c r="C1019" s="2" t="s">
        <v>9</v>
      </c>
      <c r="D1019" s="2" t="s">
        <v>154</v>
      </c>
      <c r="E1019" s="3">
        <v>400</v>
      </c>
      <c r="F1019" s="3">
        <v>36</v>
      </c>
      <c r="G1019" s="4">
        <v>44413</v>
      </c>
      <c r="I1019" s="1">
        <v>4200</v>
      </c>
    </row>
    <row r="1020" spans="2:10" x14ac:dyDescent="0.15">
      <c r="C1020" s="2" t="s">
        <v>8</v>
      </c>
      <c r="D1020" s="2" t="s">
        <v>154</v>
      </c>
      <c r="E1020" s="3">
        <v>100</v>
      </c>
      <c r="F1020" s="3">
        <f>75/6</f>
        <v>12.5</v>
      </c>
      <c r="G1020" s="4">
        <v>44067</v>
      </c>
    </row>
    <row r="1021" spans="2:10" x14ac:dyDescent="0.15">
      <c r="C1021" s="2" t="s">
        <v>8</v>
      </c>
      <c r="D1021" s="2" t="s">
        <v>55</v>
      </c>
      <c r="E1021" s="3">
        <v>200</v>
      </c>
      <c r="F1021" s="3">
        <f>150/8</f>
        <v>18.75</v>
      </c>
      <c r="G1021" s="4">
        <v>44055</v>
      </c>
      <c r="I1021" s="1">
        <v>2000</v>
      </c>
      <c r="J1021" s="1">
        <v>7000</v>
      </c>
    </row>
    <row r="1022" spans="2:10" x14ac:dyDescent="0.15">
      <c r="C1022" s="2" t="s">
        <v>18</v>
      </c>
      <c r="D1022" s="2" t="s">
        <v>55</v>
      </c>
      <c r="E1022" s="3">
        <v>65</v>
      </c>
      <c r="F1022" s="3">
        <v>8</v>
      </c>
      <c r="G1022" s="4">
        <v>43802</v>
      </c>
      <c r="I1022" s="1">
        <v>685</v>
      </c>
      <c r="J1022" s="1">
        <v>7000</v>
      </c>
    </row>
    <row r="1023" spans="2:10" x14ac:dyDescent="0.15">
      <c r="C1023" s="2" t="s">
        <v>7</v>
      </c>
      <c r="D1023" s="2" t="s">
        <v>55</v>
      </c>
      <c r="E1023" s="3">
        <v>40</v>
      </c>
      <c r="F1023" s="3">
        <v>15</v>
      </c>
      <c r="G1023" s="4">
        <v>43503</v>
      </c>
      <c r="J1023" s="1">
        <v>7000</v>
      </c>
    </row>
    <row r="1024" spans="2:10" x14ac:dyDescent="0.15">
      <c r="C1024" s="2" t="s">
        <v>5</v>
      </c>
      <c r="D1024" s="2" t="s">
        <v>2030</v>
      </c>
      <c r="E1024" s="3">
        <v>18</v>
      </c>
      <c r="F1024" s="3">
        <v>9</v>
      </c>
      <c r="G1024" s="4">
        <v>44866</v>
      </c>
    </row>
    <row r="1025" spans="2:18" x14ac:dyDescent="0.15">
      <c r="G1025" s="4"/>
    </row>
    <row r="1026" spans="2:18" s="12" customFormat="1" x14ac:dyDescent="0.15">
      <c r="B1026" s="12" t="s">
        <v>5030</v>
      </c>
      <c r="C1026" s="13" t="s">
        <v>970</v>
      </c>
      <c r="D1026" s="13" t="s">
        <v>969</v>
      </c>
      <c r="E1026" s="15"/>
      <c r="F1026" s="15">
        <f>SUM(F1027:F1028)</f>
        <v>121</v>
      </c>
      <c r="G1026" s="14">
        <f>G1027</f>
        <v>44648</v>
      </c>
      <c r="M1026" s="13"/>
      <c r="N1026" s="13"/>
      <c r="O1026" s="13"/>
      <c r="P1026" s="13"/>
      <c r="Q1026" s="13"/>
      <c r="R1026" s="13"/>
    </row>
    <row r="1027" spans="2:18" x14ac:dyDescent="0.15">
      <c r="B1027" s="61"/>
      <c r="C1027" s="2" t="s">
        <v>7</v>
      </c>
      <c r="D1027" s="2" t="s">
        <v>2137</v>
      </c>
      <c r="E1027" s="3">
        <f>1300/7</f>
        <v>185.71428571428572</v>
      </c>
      <c r="F1027" s="3">
        <v>96</v>
      </c>
      <c r="G1027" s="4">
        <v>44648</v>
      </c>
    </row>
    <row r="1028" spans="2:18" x14ac:dyDescent="0.15">
      <c r="C1028" s="62" t="s">
        <v>8</v>
      </c>
      <c r="D1028" s="62" t="s">
        <v>2117</v>
      </c>
      <c r="E1028" s="3">
        <v>72.5</v>
      </c>
      <c r="F1028" s="3">
        <v>25</v>
      </c>
      <c r="G1028" s="4">
        <v>43697</v>
      </c>
      <c r="J1028" s="1">
        <v>1600</v>
      </c>
    </row>
    <row r="1029" spans="2:18" x14ac:dyDescent="0.15">
      <c r="G1029" s="4"/>
    </row>
    <row r="1030" spans="2:18" s="12" customFormat="1" x14ac:dyDescent="0.15">
      <c r="B1030" s="12" t="s">
        <v>1099</v>
      </c>
      <c r="C1030" s="13" t="s">
        <v>970</v>
      </c>
      <c r="D1030" s="13" t="s">
        <v>969</v>
      </c>
      <c r="E1030" s="15"/>
      <c r="F1030" s="15">
        <f>SUM(F1031:F1051)</f>
        <v>121.18333333333334</v>
      </c>
      <c r="G1030" s="14">
        <f>G1031</f>
        <v>45041</v>
      </c>
      <c r="M1030" s="13"/>
      <c r="N1030" s="13"/>
      <c r="O1030" s="13"/>
      <c r="P1030" s="13"/>
      <c r="Q1030" s="13"/>
      <c r="R1030" s="13"/>
    </row>
    <row r="1031" spans="2:18" x14ac:dyDescent="0.15">
      <c r="B1031" s="273" t="s">
        <v>7704</v>
      </c>
      <c r="C1031" s="2" t="s">
        <v>7</v>
      </c>
      <c r="D1031" s="2" t="s">
        <v>908</v>
      </c>
      <c r="E1031" s="3">
        <v>97.4</v>
      </c>
      <c r="F1031" s="3">
        <f>47/6</f>
        <v>7.833333333333333</v>
      </c>
      <c r="G1031" s="4">
        <v>45041</v>
      </c>
    </row>
    <row r="1032" spans="2:18" x14ac:dyDescent="0.15">
      <c r="C1032" s="2" t="s">
        <v>7</v>
      </c>
      <c r="D1032" s="2" t="s">
        <v>543</v>
      </c>
      <c r="E1032" s="3">
        <v>40</v>
      </c>
      <c r="F1032" s="3">
        <f>25/4</f>
        <v>6.25</v>
      </c>
      <c r="G1032" s="4">
        <v>44811</v>
      </c>
    </row>
    <row r="1033" spans="2:18" x14ac:dyDescent="0.15">
      <c r="C1033" s="2" t="s">
        <v>5</v>
      </c>
      <c r="D1033" s="2" t="s">
        <v>543</v>
      </c>
      <c r="E1033" s="3">
        <v>14</v>
      </c>
      <c r="F1033" s="3">
        <v>6</v>
      </c>
      <c r="G1033" s="4">
        <v>44447</v>
      </c>
    </row>
    <row r="1034" spans="2:18" x14ac:dyDescent="0.15">
      <c r="C1034" s="2" t="s">
        <v>5</v>
      </c>
      <c r="D1034" s="2" t="s">
        <v>466</v>
      </c>
      <c r="E1034" s="3">
        <v>15.5</v>
      </c>
      <c r="F1034" s="3">
        <v>1.625</v>
      </c>
      <c r="G1034" s="4">
        <v>44727</v>
      </c>
    </row>
    <row r="1035" spans="2:18" x14ac:dyDescent="0.15">
      <c r="C1035" s="2" t="s">
        <v>5</v>
      </c>
      <c r="D1035" s="2" t="s">
        <v>466</v>
      </c>
      <c r="E1035" s="3">
        <v>12</v>
      </c>
      <c r="F1035" s="3">
        <v>3</v>
      </c>
      <c r="G1035" s="4">
        <v>43948</v>
      </c>
    </row>
    <row r="1036" spans="2:18" x14ac:dyDescent="0.15">
      <c r="C1036" s="2" t="s">
        <v>5</v>
      </c>
      <c r="D1036" s="2" t="s">
        <v>542</v>
      </c>
      <c r="E1036" s="3">
        <v>5</v>
      </c>
      <c r="F1036" s="3">
        <v>3</v>
      </c>
      <c r="G1036" s="4">
        <v>44514</v>
      </c>
    </row>
    <row r="1037" spans="2:18" x14ac:dyDescent="0.15">
      <c r="C1037" s="2" t="s">
        <v>8</v>
      </c>
      <c r="D1037" s="2" t="s">
        <v>449</v>
      </c>
      <c r="E1037" s="3">
        <v>90</v>
      </c>
      <c r="F1037" s="3">
        <v>5</v>
      </c>
      <c r="G1037" s="4">
        <v>44776</v>
      </c>
    </row>
    <row r="1038" spans="2:18" x14ac:dyDescent="0.15">
      <c r="C1038" s="2" t="s">
        <v>18</v>
      </c>
      <c r="D1038" s="2" t="s">
        <v>449</v>
      </c>
      <c r="E1038" s="3">
        <v>40</v>
      </c>
      <c r="F1038" s="3">
        <v>4</v>
      </c>
      <c r="G1038" s="4">
        <v>44176</v>
      </c>
    </row>
    <row r="1039" spans="2:18" x14ac:dyDescent="0.15">
      <c r="C1039" s="2" t="s">
        <v>7</v>
      </c>
      <c r="D1039" s="2" t="s">
        <v>449</v>
      </c>
      <c r="E1039" s="3">
        <v>20</v>
      </c>
      <c r="F1039" s="3">
        <v>3</v>
      </c>
      <c r="G1039" s="4">
        <v>43879</v>
      </c>
    </row>
    <row r="1040" spans="2:18" x14ac:dyDescent="0.15">
      <c r="C1040" s="2" t="s">
        <v>7</v>
      </c>
      <c r="D1040" s="2" t="s">
        <v>417</v>
      </c>
      <c r="E1040" s="3">
        <v>16</v>
      </c>
      <c r="F1040" s="3">
        <v>4</v>
      </c>
      <c r="G1040" s="4">
        <v>42995</v>
      </c>
    </row>
    <row r="1041" spans="2:18" x14ac:dyDescent="0.15">
      <c r="C1041" s="2" t="s">
        <v>5</v>
      </c>
      <c r="D1041" s="2" t="s">
        <v>417</v>
      </c>
      <c r="E1041" s="3">
        <v>8</v>
      </c>
      <c r="F1041" s="3">
        <v>4</v>
      </c>
      <c r="G1041" s="4">
        <v>42416</v>
      </c>
    </row>
    <row r="1042" spans="2:18" x14ac:dyDescent="0.15">
      <c r="C1042" s="2" t="s">
        <v>7</v>
      </c>
      <c r="D1042" s="2" t="s">
        <v>360</v>
      </c>
      <c r="E1042" s="3">
        <v>27.5</v>
      </c>
      <c r="F1042" s="3">
        <f>E1042/4</f>
        <v>6.875</v>
      </c>
      <c r="G1042" s="4">
        <v>44181</v>
      </c>
    </row>
    <row r="1043" spans="2:18" x14ac:dyDescent="0.15">
      <c r="C1043" s="2" t="s">
        <v>5</v>
      </c>
      <c r="D1043" s="2" t="s">
        <v>360</v>
      </c>
      <c r="E1043" s="3">
        <v>10.7</v>
      </c>
      <c r="F1043" s="3">
        <v>4</v>
      </c>
      <c r="G1043" s="4">
        <v>43250</v>
      </c>
    </row>
    <row r="1044" spans="2:18" x14ac:dyDescent="0.15">
      <c r="C1044" s="2" t="s">
        <v>5</v>
      </c>
      <c r="D1044" s="2" t="s">
        <v>302</v>
      </c>
      <c r="E1044" s="3">
        <v>10</v>
      </c>
      <c r="F1044" s="3">
        <v>3</v>
      </c>
      <c r="G1044" s="4">
        <v>44637</v>
      </c>
    </row>
    <row r="1045" spans="2:18" x14ac:dyDescent="0.15">
      <c r="C1045" s="2" t="s">
        <v>4</v>
      </c>
      <c r="D1045" s="2" t="s">
        <v>302</v>
      </c>
      <c r="E1045" s="3">
        <v>4.5</v>
      </c>
      <c r="F1045" s="3">
        <v>2</v>
      </c>
      <c r="G1045" s="4">
        <v>44175</v>
      </c>
    </row>
    <row r="1046" spans="2:18" x14ac:dyDescent="0.15">
      <c r="C1046" s="2" t="s">
        <v>4</v>
      </c>
      <c r="D1046" s="2" t="s">
        <v>1057</v>
      </c>
      <c r="E1046" s="3">
        <v>4.3</v>
      </c>
      <c r="F1046" s="3">
        <f>E1046/3</f>
        <v>1.4333333333333333</v>
      </c>
      <c r="G1046" s="4">
        <v>42821</v>
      </c>
    </row>
    <row r="1047" spans="2:18" x14ac:dyDescent="0.15">
      <c r="C1047" s="2" t="s">
        <v>53</v>
      </c>
      <c r="D1047" s="2" t="s">
        <v>47</v>
      </c>
      <c r="E1047" s="3">
        <v>100</v>
      </c>
      <c r="F1047" s="3">
        <v>11</v>
      </c>
      <c r="G1047" s="4">
        <v>44515</v>
      </c>
      <c r="I1047" s="1">
        <v>4100</v>
      </c>
      <c r="J1047" s="1">
        <v>4100</v>
      </c>
    </row>
    <row r="1048" spans="2:18" x14ac:dyDescent="0.15">
      <c r="C1048" s="2" t="s">
        <v>8</v>
      </c>
      <c r="D1048" s="2" t="s">
        <v>47</v>
      </c>
      <c r="E1048" s="3">
        <v>145</v>
      </c>
      <c r="F1048" s="3">
        <f>85/6</f>
        <v>14.166666666666666</v>
      </c>
      <c r="G1048" s="4">
        <v>43228</v>
      </c>
      <c r="I1048" s="1">
        <v>855</v>
      </c>
      <c r="J1048" s="1">
        <v>4100</v>
      </c>
    </row>
    <row r="1049" spans="2:18" x14ac:dyDescent="0.15">
      <c r="C1049" s="2" t="s">
        <v>18</v>
      </c>
      <c r="D1049" s="2" t="s">
        <v>47</v>
      </c>
      <c r="E1049" s="3">
        <v>50</v>
      </c>
      <c r="F1049" s="3">
        <v>10</v>
      </c>
      <c r="G1049" s="4">
        <v>42509</v>
      </c>
      <c r="J1049" s="1">
        <v>4100</v>
      </c>
    </row>
    <row r="1050" spans="2:18" x14ac:dyDescent="0.15">
      <c r="C1050" s="2" t="s">
        <v>7</v>
      </c>
      <c r="D1050" s="2" t="s">
        <v>47</v>
      </c>
      <c r="E1050" s="3">
        <v>30</v>
      </c>
      <c r="F1050" s="3">
        <v>20</v>
      </c>
      <c r="G1050" s="4">
        <v>41808</v>
      </c>
      <c r="J1050" s="1">
        <v>4100</v>
      </c>
    </row>
    <row r="1051" spans="2:18" x14ac:dyDescent="0.15">
      <c r="C1051" s="261" t="s">
        <v>5</v>
      </c>
      <c r="D1051" s="261" t="s">
        <v>7656</v>
      </c>
      <c r="E1051" s="3">
        <v>2.2000000000000002</v>
      </c>
      <c r="F1051" s="3">
        <v>1</v>
      </c>
      <c r="G1051" s="4">
        <v>43906</v>
      </c>
    </row>
    <row r="1052" spans="2:18" x14ac:dyDescent="0.15">
      <c r="G1052" s="4"/>
    </row>
    <row r="1053" spans="2:18" s="12" customFormat="1" x14ac:dyDescent="0.15">
      <c r="B1053" s="12" t="s">
        <v>11</v>
      </c>
      <c r="C1053" s="13" t="s">
        <v>970</v>
      </c>
      <c r="D1053" s="13" t="s">
        <v>969</v>
      </c>
      <c r="E1053" s="15"/>
      <c r="F1053" s="15">
        <f>SUM(F1054:F1055)</f>
        <v>120</v>
      </c>
      <c r="G1053" s="14">
        <f>G1054</f>
        <v>44721</v>
      </c>
      <c r="M1053" s="13"/>
      <c r="N1053" s="13"/>
      <c r="O1053" s="13"/>
      <c r="P1053" s="13"/>
      <c r="Q1053" s="13"/>
      <c r="R1053" s="13"/>
    </row>
    <row r="1054" spans="2:18" x14ac:dyDescent="0.15">
      <c r="C1054" s="2" t="s">
        <v>9</v>
      </c>
      <c r="D1054" s="2" t="s">
        <v>3</v>
      </c>
      <c r="E1054" s="3">
        <v>90</v>
      </c>
      <c r="F1054" s="3">
        <v>10</v>
      </c>
      <c r="G1054" s="4">
        <v>44721</v>
      </c>
      <c r="I1054" s="1">
        <v>2200</v>
      </c>
      <c r="J1054" s="1">
        <v>2200</v>
      </c>
    </row>
    <row r="1055" spans="2:18" x14ac:dyDescent="0.15">
      <c r="C1055" s="2" t="s">
        <v>8</v>
      </c>
      <c r="D1055" s="2" t="s">
        <v>3</v>
      </c>
      <c r="E1055" s="3">
        <v>210</v>
      </c>
      <c r="F1055" s="3">
        <v>110</v>
      </c>
      <c r="G1055" s="4">
        <v>44432</v>
      </c>
      <c r="I1055" s="1">
        <v>1000</v>
      </c>
      <c r="J1055" s="1">
        <v>2200</v>
      </c>
    </row>
    <row r="1056" spans="2:18" x14ac:dyDescent="0.15">
      <c r="G1056" s="4"/>
    </row>
    <row r="1057" spans="2:18" s="12" customFormat="1" x14ac:dyDescent="0.15">
      <c r="B1057" s="12" t="s">
        <v>207</v>
      </c>
      <c r="C1057" s="13" t="s">
        <v>970</v>
      </c>
      <c r="D1057" s="13" t="s">
        <v>969</v>
      </c>
      <c r="E1057" s="15"/>
      <c r="F1057" s="15">
        <f>SUM(F1058:F1059)</f>
        <v>120</v>
      </c>
      <c r="G1057" s="14">
        <f>G1058</f>
        <v>44274</v>
      </c>
      <c r="M1057" s="13"/>
      <c r="N1057" s="13"/>
      <c r="O1057" s="13"/>
      <c r="P1057" s="13"/>
      <c r="Q1057" s="13"/>
      <c r="R1057" s="13"/>
    </row>
    <row r="1058" spans="2:18" x14ac:dyDescent="0.15">
      <c r="B1058" s="258" t="s">
        <v>7708</v>
      </c>
      <c r="C1058" s="2" t="s">
        <v>18</v>
      </c>
      <c r="D1058" s="2" t="s">
        <v>197</v>
      </c>
      <c r="E1058" s="3">
        <v>500</v>
      </c>
      <c r="F1058" s="3">
        <v>100</v>
      </c>
      <c r="G1058" s="4">
        <v>44274</v>
      </c>
    </row>
    <row r="1059" spans="2:18" x14ac:dyDescent="0.15">
      <c r="B1059" s="274" t="s">
        <v>7703</v>
      </c>
      <c r="C1059" s="2" t="s">
        <v>8</v>
      </c>
      <c r="D1059" s="2" t="s">
        <v>2141</v>
      </c>
      <c r="E1059" s="3">
        <v>200</v>
      </c>
      <c r="F1059" s="3">
        <v>20</v>
      </c>
      <c r="G1059" s="4">
        <v>44237</v>
      </c>
    </row>
    <row r="1060" spans="2:18" x14ac:dyDescent="0.15">
      <c r="G1060" s="4"/>
    </row>
    <row r="1061" spans="2:18" x14ac:dyDescent="0.15">
      <c r="B1061" s="12" t="s">
        <v>1097</v>
      </c>
      <c r="C1061" s="13" t="s">
        <v>970</v>
      </c>
      <c r="D1061" s="13" t="s">
        <v>969</v>
      </c>
      <c r="F1061" s="15">
        <f>SUM(F1062:F1066)</f>
        <v>118.75</v>
      </c>
      <c r="G1061" s="14">
        <f>G1063</f>
        <v>45050</v>
      </c>
    </row>
    <row r="1062" spans="2:18" x14ac:dyDescent="0.15">
      <c r="C1062" s="2" t="s">
        <v>18</v>
      </c>
      <c r="D1062" s="2" t="s">
        <v>804</v>
      </c>
      <c r="E1062" s="3">
        <v>100</v>
      </c>
      <c r="F1062" s="3">
        <v>13</v>
      </c>
      <c r="G1062" s="4">
        <v>43682</v>
      </c>
    </row>
    <row r="1063" spans="2:18" x14ac:dyDescent="0.15">
      <c r="C1063" s="2" t="s">
        <v>4</v>
      </c>
      <c r="D1063" s="2" t="s">
        <v>1096</v>
      </c>
      <c r="E1063" s="3">
        <v>8</v>
      </c>
      <c r="F1063" s="3">
        <v>7</v>
      </c>
      <c r="G1063" s="4">
        <v>45050</v>
      </c>
    </row>
    <row r="1064" spans="2:18" x14ac:dyDescent="0.15">
      <c r="C1064" s="2" t="s">
        <v>9</v>
      </c>
      <c r="D1064" s="2" t="s">
        <v>55</v>
      </c>
      <c r="E1064" s="3">
        <v>250</v>
      </c>
      <c r="F1064" s="3">
        <f>150/5</f>
        <v>30</v>
      </c>
      <c r="G1064" s="4">
        <v>44350</v>
      </c>
      <c r="I1064" s="1">
        <v>7000</v>
      </c>
      <c r="J1064" s="1">
        <v>7000</v>
      </c>
    </row>
    <row r="1065" spans="2:18" x14ac:dyDescent="0.15">
      <c r="C1065" s="2" t="s">
        <v>8</v>
      </c>
      <c r="D1065" s="2" t="s">
        <v>55</v>
      </c>
      <c r="E1065" s="3">
        <v>200</v>
      </c>
      <c r="F1065" s="3">
        <f>150/8</f>
        <v>18.75</v>
      </c>
      <c r="G1065" s="4">
        <v>44055</v>
      </c>
      <c r="I1065" s="1">
        <v>2000</v>
      </c>
      <c r="J1065" s="1">
        <v>7000</v>
      </c>
    </row>
    <row r="1066" spans="2:18" x14ac:dyDescent="0.15">
      <c r="C1066" s="2" t="s">
        <v>1</v>
      </c>
      <c r="D1066" s="2" t="s">
        <v>0</v>
      </c>
      <c r="E1066" s="3">
        <v>300</v>
      </c>
      <c r="F1066" s="3">
        <v>50</v>
      </c>
      <c r="G1066" s="4">
        <v>45044</v>
      </c>
      <c r="I1066" s="1">
        <v>28700</v>
      </c>
      <c r="J1066" s="1">
        <v>28700</v>
      </c>
    </row>
    <row r="1067" spans="2:18" x14ac:dyDescent="0.15">
      <c r="G1067" s="4"/>
    </row>
    <row r="1068" spans="2:18" x14ac:dyDescent="0.15">
      <c r="B1068" s="12" t="s">
        <v>7365</v>
      </c>
      <c r="C1068" s="13" t="s">
        <v>970</v>
      </c>
      <c r="D1068" s="13" t="s">
        <v>969</v>
      </c>
      <c r="E1068" s="15"/>
      <c r="F1068" s="15">
        <f>SUM(F1069:F1084)</f>
        <v>117.86666666666667</v>
      </c>
      <c r="G1068" s="14">
        <f>G1076</f>
        <v>45005</v>
      </c>
      <c r="I1068" s="233" t="s">
        <v>7364</v>
      </c>
    </row>
    <row r="1069" spans="2:18" x14ac:dyDescent="0.15">
      <c r="B1069" s="273" t="s">
        <v>7704</v>
      </c>
      <c r="C1069" s="2" t="s">
        <v>18</v>
      </c>
      <c r="D1069" s="2" t="s">
        <v>958</v>
      </c>
      <c r="E1069" s="3">
        <v>50</v>
      </c>
      <c r="F1069" s="3">
        <f>30/5</f>
        <v>6</v>
      </c>
      <c r="G1069" s="4">
        <v>44900</v>
      </c>
    </row>
    <row r="1070" spans="2:18" x14ac:dyDescent="0.15">
      <c r="C1070" s="2" t="s">
        <v>18</v>
      </c>
      <c r="D1070" s="2" t="s">
        <v>1065</v>
      </c>
      <c r="E1070" s="3">
        <v>85</v>
      </c>
      <c r="F1070" s="3">
        <v>10</v>
      </c>
      <c r="G1070" s="4">
        <v>44501</v>
      </c>
    </row>
    <row r="1071" spans="2:18" x14ac:dyDescent="0.15">
      <c r="C1071" s="2" t="s">
        <v>7</v>
      </c>
      <c r="D1071" s="2" t="s">
        <v>1065</v>
      </c>
      <c r="E1071" s="3">
        <v>28</v>
      </c>
      <c r="F1071" s="3">
        <v>5</v>
      </c>
      <c r="G1071" s="4">
        <v>44272</v>
      </c>
    </row>
    <row r="1072" spans="2:18" x14ac:dyDescent="0.15">
      <c r="C1072" s="2" t="s">
        <v>5</v>
      </c>
      <c r="D1072" s="2" t="s">
        <v>1065</v>
      </c>
      <c r="E1072" s="3">
        <v>15</v>
      </c>
      <c r="F1072" s="3">
        <v>5</v>
      </c>
      <c r="G1072" s="4">
        <v>43924</v>
      </c>
    </row>
    <row r="1073" spans="2:18" x14ac:dyDescent="0.15">
      <c r="C1073" s="2" t="s">
        <v>4</v>
      </c>
      <c r="D1073" s="2" t="s">
        <v>1065</v>
      </c>
      <c r="E1073" s="3">
        <v>3.9</v>
      </c>
      <c r="F1073" s="3">
        <v>2.9</v>
      </c>
      <c r="G1073" s="4">
        <v>43761</v>
      </c>
    </row>
    <row r="1074" spans="2:18" x14ac:dyDescent="0.15">
      <c r="C1074" s="2" t="s">
        <v>4</v>
      </c>
      <c r="D1074" s="2" t="s">
        <v>1025</v>
      </c>
      <c r="E1074" s="3">
        <v>2.8</v>
      </c>
      <c r="F1074" s="3">
        <v>0.8</v>
      </c>
      <c r="G1074" s="4">
        <v>44994</v>
      </c>
    </row>
    <row r="1075" spans="2:18" x14ac:dyDescent="0.15">
      <c r="C1075" s="2" t="s">
        <v>4</v>
      </c>
      <c r="D1075" s="2" t="s">
        <v>1025</v>
      </c>
      <c r="E1075" s="3">
        <v>2.6</v>
      </c>
      <c r="F1075" s="3">
        <v>1</v>
      </c>
      <c r="G1075" s="4">
        <v>44147</v>
      </c>
    </row>
    <row r="1076" spans="2:18" x14ac:dyDescent="0.15">
      <c r="C1076" s="2" t="s">
        <v>5</v>
      </c>
      <c r="D1076" s="2" t="s">
        <v>689</v>
      </c>
      <c r="E1076" s="3">
        <v>12.5</v>
      </c>
      <c r="F1076" s="3">
        <v>7</v>
      </c>
      <c r="G1076" s="4">
        <v>45005</v>
      </c>
    </row>
    <row r="1077" spans="2:18" x14ac:dyDescent="0.15">
      <c r="C1077" s="2" t="s">
        <v>4</v>
      </c>
      <c r="D1077" s="2" t="s">
        <v>653</v>
      </c>
      <c r="E1077" s="3">
        <v>12</v>
      </c>
      <c r="F1077" s="3">
        <v>2</v>
      </c>
      <c r="G1077" s="4">
        <v>44971</v>
      </c>
    </row>
    <row r="1078" spans="2:18" x14ac:dyDescent="0.15">
      <c r="C1078" s="2" t="s">
        <v>4</v>
      </c>
      <c r="D1078" s="2" t="s">
        <v>597</v>
      </c>
      <c r="E1078" s="3">
        <v>6</v>
      </c>
      <c r="F1078" s="3">
        <v>2</v>
      </c>
      <c r="G1078" s="4">
        <v>44781</v>
      </c>
    </row>
    <row r="1079" spans="2:18" x14ac:dyDescent="0.15">
      <c r="C1079" s="2" t="s">
        <v>278</v>
      </c>
      <c r="D1079" s="2" t="s">
        <v>597</v>
      </c>
      <c r="E1079" s="3">
        <v>1</v>
      </c>
      <c r="F1079" s="3">
        <v>0.5</v>
      </c>
      <c r="G1079" s="4">
        <v>44476</v>
      </c>
    </row>
    <row r="1080" spans="2:18" x14ac:dyDescent="0.15">
      <c r="C1080" s="2" t="s">
        <v>7</v>
      </c>
      <c r="D1080" s="2" t="s">
        <v>1064</v>
      </c>
      <c r="E1080" s="3">
        <v>100</v>
      </c>
      <c r="F1080" s="3">
        <v>15</v>
      </c>
      <c r="G1080" s="4">
        <v>45106</v>
      </c>
    </row>
    <row r="1081" spans="2:18" x14ac:dyDescent="0.15">
      <c r="C1081" s="100" t="s">
        <v>7</v>
      </c>
      <c r="D1081" s="100" t="s">
        <v>5491</v>
      </c>
      <c r="E1081" s="3">
        <v>75</v>
      </c>
      <c r="F1081" s="3">
        <f>50/3</f>
        <v>16.666666666666668</v>
      </c>
      <c r="G1081" s="4">
        <v>44677</v>
      </c>
    </row>
    <row r="1082" spans="2:18" x14ac:dyDescent="0.15">
      <c r="C1082" s="100" t="s">
        <v>5</v>
      </c>
      <c r="D1082" s="100" t="s">
        <v>5491</v>
      </c>
      <c r="E1082" s="3">
        <v>40</v>
      </c>
      <c r="F1082" s="3">
        <v>40</v>
      </c>
      <c r="G1082" s="4">
        <v>44682</v>
      </c>
    </row>
    <row r="1083" spans="2:18" x14ac:dyDescent="0.15">
      <c r="C1083" s="100" t="s">
        <v>5</v>
      </c>
      <c r="D1083" s="100" t="s">
        <v>2022</v>
      </c>
      <c r="E1083" s="3">
        <v>10</v>
      </c>
      <c r="F1083" s="3">
        <v>2</v>
      </c>
      <c r="G1083" s="4">
        <v>44504</v>
      </c>
    </row>
    <row r="1084" spans="2:18" x14ac:dyDescent="0.15">
      <c r="C1084" s="100" t="s">
        <v>4</v>
      </c>
      <c r="D1084" s="100" t="s">
        <v>2022</v>
      </c>
      <c r="E1084" s="3">
        <v>4</v>
      </c>
      <c r="F1084" s="3">
        <v>2</v>
      </c>
      <c r="G1084" s="4">
        <v>44097</v>
      </c>
    </row>
    <row r="1085" spans="2:18" x14ac:dyDescent="0.15">
      <c r="G1085" s="4"/>
    </row>
    <row r="1086" spans="2:18" s="12" customFormat="1" x14ac:dyDescent="0.15">
      <c r="B1086" s="12" t="s">
        <v>497</v>
      </c>
      <c r="C1086" s="13" t="s">
        <v>970</v>
      </c>
      <c r="D1086" s="13" t="s">
        <v>969</v>
      </c>
      <c r="E1086" s="15"/>
      <c r="F1086" s="15">
        <f>SUM(F1087:F1088)</f>
        <v>114</v>
      </c>
      <c r="G1086" s="14">
        <f>G1088</f>
        <v>44608</v>
      </c>
    </row>
    <row r="1087" spans="2:18" x14ac:dyDescent="0.15">
      <c r="C1087" s="2" t="s">
        <v>9</v>
      </c>
      <c r="D1087" s="2" t="s">
        <v>490</v>
      </c>
      <c r="E1087" s="3">
        <v>206</v>
      </c>
      <c r="F1087" s="3">
        <v>14</v>
      </c>
      <c r="G1087" s="4">
        <v>43725</v>
      </c>
      <c r="M1087" s="1"/>
      <c r="N1087" s="1"/>
      <c r="O1087" s="1"/>
      <c r="P1087" s="1"/>
      <c r="Q1087" s="1"/>
      <c r="R1087" s="1"/>
    </row>
    <row r="1088" spans="2:18" x14ac:dyDescent="0.15">
      <c r="C1088" s="2" t="s">
        <v>9</v>
      </c>
      <c r="D1088" s="2" t="s">
        <v>386</v>
      </c>
      <c r="E1088" s="3">
        <v>400</v>
      </c>
      <c r="F1088" s="3">
        <v>100</v>
      </c>
      <c r="G1088" s="4">
        <v>44608</v>
      </c>
      <c r="M1088" s="1"/>
      <c r="N1088" s="1"/>
      <c r="O1088" s="1"/>
      <c r="P1088" s="1"/>
      <c r="Q1088" s="1"/>
      <c r="R1088" s="1"/>
    </row>
    <row r="1089" spans="2:18" x14ac:dyDescent="0.15">
      <c r="G1089" s="4"/>
      <c r="M1089" s="1"/>
      <c r="N1089" s="1"/>
      <c r="O1089" s="1"/>
      <c r="P1089" s="1"/>
      <c r="Q1089" s="1"/>
      <c r="R1089" s="1"/>
    </row>
    <row r="1090" spans="2:18" s="12" customFormat="1" x14ac:dyDescent="0.15">
      <c r="B1090" s="12" t="s">
        <v>825</v>
      </c>
      <c r="C1090" s="13" t="s">
        <v>4262</v>
      </c>
      <c r="D1090" s="13" t="s">
        <v>969</v>
      </c>
      <c r="E1090" s="15"/>
      <c r="F1090" s="15">
        <f>SUM(F1091:F1093)</f>
        <v>110.5</v>
      </c>
      <c r="G1090" s="14">
        <f>G1091</f>
        <v>44578</v>
      </c>
      <c r="M1090" s="13"/>
      <c r="N1090" s="13"/>
      <c r="O1090" s="13"/>
      <c r="P1090" s="13"/>
      <c r="Q1090" s="13"/>
      <c r="R1090" s="13"/>
    </row>
    <row r="1091" spans="2:18" x14ac:dyDescent="0.15">
      <c r="C1091" s="2" t="s">
        <v>5</v>
      </c>
      <c r="D1091" s="2" t="s">
        <v>820</v>
      </c>
      <c r="E1091" s="3">
        <v>20</v>
      </c>
      <c r="F1091" s="3">
        <v>2</v>
      </c>
      <c r="G1091" s="4">
        <v>44578</v>
      </c>
    </row>
    <row r="1092" spans="2:18" x14ac:dyDescent="0.15">
      <c r="C1092" s="2" t="s">
        <v>8</v>
      </c>
      <c r="D1092" s="2" t="s">
        <v>253</v>
      </c>
      <c r="E1092" s="3">
        <v>600</v>
      </c>
      <c r="F1092" s="3">
        <f>500/8</f>
        <v>62.5</v>
      </c>
      <c r="G1092" s="4">
        <v>44502</v>
      </c>
    </row>
    <row r="1093" spans="2:18" x14ac:dyDescent="0.15">
      <c r="C1093" s="2" t="s">
        <v>5</v>
      </c>
      <c r="D1093" s="2" t="s">
        <v>253</v>
      </c>
      <c r="E1093" s="3">
        <v>92</v>
      </c>
      <c r="F1093" s="3">
        <f>E1093/2</f>
        <v>46</v>
      </c>
      <c r="G1093" s="4">
        <v>43130</v>
      </c>
    </row>
    <row r="1094" spans="2:18" x14ac:dyDescent="0.15">
      <c r="G1094" s="4"/>
    </row>
    <row r="1095" spans="2:18" s="12" customFormat="1" x14ac:dyDescent="0.15">
      <c r="B1095" s="12" t="s">
        <v>20</v>
      </c>
      <c r="C1095" s="13" t="s">
        <v>970</v>
      </c>
      <c r="D1095" s="13" t="s">
        <v>969</v>
      </c>
      <c r="E1095" s="15"/>
      <c r="F1095" s="15">
        <f>SUM(F1096:F1097)</f>
        <v>110</v>
      </c>
      <c r="G1095" s="14">
        <f>G1096</f>
        <v>44502</v>
      </c>
      <c r="M1095" s="13"/>
      <c r="N1095" s="13"/>
      <c r="O1095" s="13"/>
      <c r="P1095" s="13"/>
      <c r="Q1095" s="13"/>
      <c r="R1095" s="13"/>
    </row>
    <row r="1096" spans="2:18" x14ac:dyDescent="0.15">
      <c r="C1096" s="2" t="s">
        <v>8</v>
      </c>
      <c r="D1096" s="2" t="s">
        <v>15</v>
      </c>
      <c r="E1096" s="3">
        <v>220</v>
      </c>
      <c r="F1096" s="3">
        <v>50</v>
      </c>
      <c r="G1096" s="4">
        <v>44502</v>
      </c>
      <c r="I1096" s="1">
        <v>794</v>
      </c>
      <c r="J1096" s="1">
        <v>794</v>
      </c>
    </row>
    <row r="1097" spans="2:18" x14ac:dyDescent="0.15">
      <c r="C1097" s="2" t="s">
        <v>8</v>
      </c>
      <c r="D1097" s="2" t="s">
        <v>15</v>
      </c>
      <c r="E1097" s="3">
        <v>220</v>
      </c>
      <c r="F1097" s="3">
        <v>60</v>
      </c>
      <c r="G1097" s="4">
        <v>44322</v>
      </c>
      <c r="I1097" s="1">
        <v>780</v>
      </c>
      <c r="J1097" s="1">
        <v>780</v>
      </c>
    </row>
    <row r="1098" spans="2:18" x14ac:dyDescent="0.15">
      <c r="G1098" s="4"/>
    </row>
    <row r="1099" spans="2:18" s="12" customFormat="1" x14ac:dyDescent="0.15">
      <c r="B1099" s="12" t="s">
        <v>121</v>
      </c>
      <c r="C1099" s="13" t="s">
        <v>970</v>
      </c>
      <c r="D1099" s="13" t="s">
        <v>969</v>
      </c>
      <c r="E1099" s="15"/>
      <c r="F1099" s="15">
        <f>SUM(F1100:F1101)</f>
        <v>106.25</v>
      </c>
      <c r="G1099" s="14">
        <f>G1100</f>
        <v>44510</v>
      </c>
      <c r="M1099" s="13"/>
      <c r="N1099" s="13"/>
      <c r="O1099" s="13"/>
      <c r="P1099" s="13"/>
      <c r="Q1099" s="13"/>
      <c r="R1099" s="13"/>
    </row>
    <row r="1100" spans="2:18" x14ac:dyDescent="0.15">
      <c r="C1100" s="2" t="s">
        <v>5</v>
      </c>
      <c r="D1100" s="2" t="s">
        <v>110</v>
      </c>
      <c r="E1100" s="3">
        <v>25</v>
      </c>
      <c r="F1100" s="3">
        <v>8</v>
      </c>
      <c r="G1100" s="4">
        <v>44510</v>
      </c>
    </row>
    <row r="1101" spans="2:18" x14ac:dyDescent="0.15">
      <c r="C1101" s="2" t="s">
        <v>2493</v>
      </c>
      <c r="D1101" s="2" t="s">
        <v>3962</v>
      </c>
      <c r="E1101" s="3">
        <v>196.5</v>
      </c>
      <c r="F1101" s="3">
        <f>E1101/2</f>
        <v>98.25</v>
      </c>
      <c r="G1101" s="4">
        <v>41544</v>
      </c>
      <c r="I1101" s="1">
        <v>8000</v>
      </c>
      <c r="J1101" s="1">
        <v>32500</v>
      </c>
    </row>
    <row r="1102" spans="2:18" x14ac:dyDescent="0.15">
      <c r="G1102" s="4"/>
    </row>
    <row r="1103" spans="2:18" s="12" customFormat="1" x14ac:dyDescent="0.15">
      <c r="B1103" s="12" t="s">
        <v>1074</v>
      </c>
      <c r="C1103" s="13" t="s">
        <v>970</v>
      </c>
      <c r="D1103" s="13" t="s">
        <v>969</v>
      </c>
      <c r="E1103" s="15"/>
      <c r="F1103" s="15">
        <f>SUM(F1104:F1116)</f>
        <v>105.71666666666667</v>
      </c>
      <c r="G1103" s="14">
        <f>G1105</f>
        <v>44860</v>
      </c>
      <c r="M1103" s="13"/>
      <c r="N1103" s="13"/>
      <c r="O1103" s="13"/>
      <c r="P1103" s="13"/>
      <c r="Q1103" s="13"/>
      <c r="R1103" s="13"/>
    </row>
    <row r="1104" spans="2:18" x14ac:dyDescent="0.15">
      <c r="C1104" s="2" t="s">
        <v>7</v>
      </c>
      <c r="D1104" s="2" t="s">
        <v>892</v>
      </c>
      <c r="E1104" s="3">
        <v>40</v>
      </c>
      <c r="F1104" s="3">
        <v>10</v>
      </c>
      <c r="G1104" s="4">
        <v>44650</v>
      </c>
    </row>
    <row r="1105" spans="2:18" x14ac:dyDescent="0.15">
      <c r="C1105" s="2" t="s">
        <v>7</v>
      </c>
      <c r="D1105" s="2" t="s">
        <v>1073</v>
      </c>
      <c r="E1105" s="3">
        <v>37</v>
      </c>
      <c r="F1105" s="3">
        <v>4</v>
      </c>
      <c r="G1105" s="4">
        <v>44860</v>
      </c>
    </row>
    <row r="1106" spans="2:18" x14ac:dyDescent="0.15">
      <c r="C1106" s="2" t="s">
        <v>7</v>
      </c>
      <c r="D1106" s="2" t="s">
        <v>1073</v>
      </c>
      <c r="E1106" s="3">
        <v>80</v>
      </c>
      <c r="F1106" s="3">
        <v>10</v>
      </c>
      <c r="G1106" s="4">
        <v>44327</v>
      </c>
    </row>
    <row r="1107" spans="2:18" x14ac:dyDescent="0.15">
      <c r="C1107" s="2" t="s">
        <v>5</v>
      </c>
      <c r="D1107" s="2" t="s">
        <v>1073</v>
      </c>
      <c r="E1107" s="3">
        <v>30</v>
      </c>
      <c r="F1107" s="3">
        <v>10</v>
      </c>
      <c r="G1107" s="4">
        <v>43963</v>
      </c>
    </row>
    <row r="1108" spans="2:18" x14ac:dyDescent="0.15">
      <c r="C1108" s="2" t="s">
        <v>9</v>
      </c>
      <c r="D1108" s="2" t="s">
        <v>22</v>
      </c>
      <c r="E1108" s="3">
        <v>222</v>
      </c>
      <c r="F1108" s="3">
        <v>10</v>
      </c>
      <c r="G1108" s="4">
        <v>44194</v>
      </c>
      <c r="I1108" s="1">
        <v>2500</v>
      </c>
      <c r="J1108" s="1">
        <v>2500</v>
      </c>
    </row>
    <row r="1109" spans="2:18" x14ac:dyDescent="0.15">
      <c r="C1109" s="2" t="s">
        <v>8</v>
      </c>
      <c r="D1109" s="2" t="s">
        <v>22</v>
      </c>
      <c r="E1109" s="3">
        <v>200</v>
      </c>
      <c r="F1109" s="3">
        <v>13</v>
      </c>
      <c r="G1109" s="4">
        <v>43452</v>
      </c>
      <c r="I1109" s="1">
        <v>1500</v>
      </c>
      <c r="J1109" s="1">
        <v>2500</v>
      </c>
    </row>
    <row r="1110" spans="2:18" x14ac:dyDescent="0.15">
      <c r="C1110" s="2" t="s">
        <v>18</v>
      </c>
      <c r="D1110" s="2" t="s">
        <v>22</v>
      </c>
      <c r="E1110" s="3">
        <v>50</v>
      </c>
      <c r="F1110" s="3">
        <v>5</v>
      </c>
      <c r="G1110" s="4">
        <v>43051</v>
      </c>
      <c r="J1110" s="1">
        <v>2500</v>
      </c>
    </row>
    <row r="1111" spans="2:18" x14ac:dyDescent="0.15">
      <c r="C1111" s="2" t="s">
        <v>7</v>
      </c>
      <c r="D1111" s="2" t="s">
        <v>22</v>
      </c>
      <c r="E1111" s="3">
        <v>30</v>
      </c>
      <c r="F1111" s="3">
        <v>3</v>
      </c>
      <c r="G1111" s="4">
        <v>42936</v>
      </c>
      <c r="J1111" s="1">
        <v>2500</v>
      </c>
    </row>
    <row r="1112" spans="2:18" x14ac:dyDescent="0.15">
      <c r="C1112" s="59" t="s">
        <v>8</v>
      </c>
      <c r="D1112" s="59" t="s">
        <v>4926</v>
      </c>
      <c r="E1112" s="3">
        <v>83</v>
      </c>
      <c r="F1112" s="3">
        <v>6.8</v>
      </c>
      <c r="G1112" s="4">
        <v>44320</v>
      </c>
      <c r="I1112" s="1">
        <v>3600</v>
      </c>
      <c r="J1112" s="1">
        <v>3600</v>
      </c>
    </row>
    <row r="1113" spans="2:18" x14ac:dyDescent="0.15">
      <c r="C1113" s="59" t="s">
        <v>18</v>
      </c>
      <c r="D1113" s="59" t="s">
        <v>4926</v>
      </c>
      <c r="E1113" s="3">
        <v>100</v>
      </c>
      <c r="F1113" s="3">
        <v>10</v>
      </c>
      <c r="G1113" s="4">
        <v>43937</v>
      </c>
      <c r="I1113" s="1">
        <v>1100</v>
      </c>
      <c r="J1113" s="1">
        <v>3600</v>
      </c>
    </row>
    <row r="1114" spans="2:18" x14ac:dyDescent="0.15">
      <c r="C1114" s="59" t="s">
        <v>7</v>
      </c>
      <c r="D1114" s="59" t="s">
        <v>4926</v>
      </c>
      <c r="E1114" s="3">
        <v>40</v>
      </c>
      <c r="F1114" s="3">
        <v>10</v>
      </c>
      <c r="G1114" s="4">
        <v>43522</v>
      </c>
      <c r="J1114" s="1">
        <v>3600</v>
      </c>
    </row>
    <row r="1115" spans="2:18" x14ac:dyDescent="0.15">
      <c r="C1115" s="59" t="s">
        <v>5</v>
      </c>
      <c r="D1115" s="59" t="s">
        <v>4926</v>
      </c>
      <c r="E1115" s="3">
        <v>25</v>
      </c>
      <c r="F1115" s="3">
        <f>E1115/4</f>
        <v>6.25</v>
      </c>
      <c r="G1115" s="4">
        <v>43172</v>
      </c>
      <c r="J1115" s="1">
        <v>3600</v>
      </c>
    </row>
    <row r="1116" spans="2:18" x14ac:dyDescent="0.15">
      <c r="C1116" s="62" t="s">
        <v>9</v>
      </c>
      <c r="D1116" s="62" t="s">
        <v>5044</v>
      </c>
      <c r="E1116" s="3">
        <v>43</v>
      </c>
      <c r="F1116" s="3">
        <f>23/3</f>
        <v>7.666666666666667</v>
      </c>
      <c r="G1116" s="4">
        <v>43992</v>
      </c>
    </row>
    <row r="1117" spans="2:18" x14ac:dyDescent="0.15">
      <c r="G1117" s="4"/>
    </row>
    <row r="1118" spans="2:18" s="12" customFormat="1" x14ac:dyDescent="0.15">
      <c r="B1118" s="12" t="s">
        <v>248</v>
      </c>
      <c r="C1118" s="13" t="s">
        <v>970</v>
      </c>
      <c r="D1118" s="13" t="s">
        <v>969</v>
      </c>
      <c r="E1118" s="15"/>
      <c r="F1118" s="15">
        <f>SUM(F1119:F1120)</f>
        <v>105</v>
      </c>
      <c r="G1118" s="14">
        <f>G1119</f>
        <v>43223</v>
      </c>
      <c r="M1118" s="13"/>
      <c r="N1118" s="13"/>
      <c r="O1118" s="13"/>
      <c r="P1118" s="13"/>
      <c r="Q1118" s="13"/>
      <c r="R1118" s="13"/>
    </row>
    <row r="1119" spans="2:18" x14ac:dyDescent="0.15">
      <c r="C1119" s="2" t="s">
        <v>18</v>
      </c>
      <c r="D1119" s="2" t="s">
        <v>245</v>
      </c>
      <c r="E1119" s="3">
        <v>820</v>
      </c>
      <c r="F1119" s="3">
        <f>600/6</f>
        <v>100</v>
      </c>
      <c r="G1119" s="4">
        <v>43223</v>
      </c>
    </row>
    <row r="1120" spans="2:18" x14ac:dyDescent="0.15">
      <c r="C1120" s="62" t="s">
        <v>18</v>
      </c>
      <c r="D1120" s="62" t="s">
        <v>2117</v>
      </c>
      <c r="E1120" s="3">
        <v>40</v>
      </c>
      <c r="F1120" s="3">
        <v>5</v>
      </c>
      <c r="G1120" s="4">
        <v>43069</v>
      </c>
      <c r="J1120" s="1">
        <v>1600</v>
      </c>
    </row>
    <row r="1121" spans="2:18" x14ac:dyDescent="0.15">
      <c r="G1121" s="4"/>
    </row>
    <row r="1122" spans="2:18" s="12" customFormat="1" x14ac:dyDescent="0.15">
      <c r="B1122" s="12" t="s">
        <v>76</v>
      </c>
      <c r="C1122" s="13" t="s">
        <v>970</v>
      </c>
      <c r="D1122" s="13" t="s">
        <v>969</v>
      </c>
      <c r="E1122" s="15"/>
      <c r="F1122" s="15">
        <f>SUM(F1123:F1129)</f>
        <v>104.5</v>
      </c>
      <c r="G1122" s="14">
        <f>G1127</f>
        <v>44578</v>
      </c>
      <c r="K1122" s="53"/>
      <c r="M1122" s="13"/>
      <c r="N1122" s="13"/>
      <c r="O1122" s="13"/>
      <c r="P1122" s="13"/>
      <c r="Q1122" s="13"/>
      <c r="R1122" s="13"/>
    </row>
    <row r="1123" spans="2:18" x14ac:dyDescent="0.15">
      <c r="C1123" s="2" t="s">
        <v>8</v>
      </c>
      <c r="D1123" s="2" t="s">
        <v>74</v>
      </c>
      <c r="E1123" s="3">
        <v>81</v>
      </c>
      <c r="F1123" s="3">
        <f>+E1123/6</f>
        <v>13.5</v>
      </c>
      <c r="G1123" s="4">
        <v>43418</v>
      </c>
      <c r="I1123" s="1">
        <v>1700</v>
      </c>
      <c r="J1123" s="1">
        <v>3800</v>
      </c>
      <c r="K1123" s="5">
        <f>(E1123/(I1123+E1123))*J1123*(F1123/E1123)</f>
        <v>28.804042672655811</v>
      </c>
    </row>
    <row r="1124" spans="2:18" x14ac:dyDescent="0.15">
      <c r="C1124" s="2" t="s">
        <v>18</v>
      </c>
      <c r="D1124" s="2" t="s">
        <v>74</v>
      </c>
      <c r="E1124" s="3">
        <v>60</v>
      </c>
      <c r="F1124" s="3">
        <f>+E1124/5</f>
        <v>12</v>
      </c>
      <c r="G1124" s="4">
        <v>42736</v>
      </c>
      <c r="I1124" s="1">
        <v>800</v>
      </c>
      <c r="J1124" s="1">
        <v>3800</v>
      </c>
      <c r="K1124" s="5">
        <f>(E1124/(I1124+E1124))*J1124*(F1124/E1124)</f>
        <v>53.023255813953483</v>
      </c>
    </row>
    <row r="1125" spans="2:18" x14ac:dyDescent="0.15">
      <c r="C1125" s="2" t="s">
        <v>7</v>
      </c>
      <c r="D1125" s="2" t="s">
        <v>74</v>
      </c>
      <c r="E1125" s="3">
        <v>25</v>
      </c>
      <c r="F1125" s="3">
        <v>15</v>
      </c>
      <c r="G1125" s="4">
        <v>42723</v>
      </c>
      <c r="I1125" s="1">
        <v>245</v>
      </c>
      <c r="J1125" s="1">
        <v>3800</v>
      </c>
      <c r="K1125" s="5">
        <f>(E1125/(I1125+E1125))*J1125*(F1125/E1125)</f>
        <v>211.11111111111111</v>
      </c>
    </row>
    <row r="1126" spans="2:18" x14ac:dyDescent="0.15">
      <c r="C1126" s="2" t="s">
        <v>5</v>
      </c>
      <c r="D1126" s="2" t="s">
        <v>74</v>
      </c>
      <c r="E1126" s="3">
        <v>27</v>
      </c>
      <c r="F1126" s="3">
        <v>27</v>
      </c>
      <c r="G1126" s="4">
        <v>42495</v>
      </c>
      <c r="I1126" s="5">
        <v>62.5</v>
      </c>
      <c r="J1126" s="1">
        <v>3800</v>
      </c>
      <c r="K1126" s="5">
        <f>(E1126/(I1126+E1126))*J1126*(F1126/E1126)</f>
        <v>1146.3687150837989</v>
      </c>
    </row>
    <row r="1127" spans="2:18" x14ac:dyDescent="0.15">
      <c r="C1127" s="2" t="s">
        <v>7</v>
      </c>
      <c r="D1127" s="2" t="s">
        <v>2136</v>
      </c>
      <c r="E1127" s="3">
        <v>176</v>
      </c>
      <c r="F1127" s="3">
        <v>26</v>
      </c>
      <c r="G1127" s="4">
        <v>44578</v>
      </c>
      <c r="I1127" s="5"/>
      <c r="K1127" s="5"/>
    </row>
    <row r="1128" spans="2:18" x14ac:dyDescent="0.15">
      <c r="C1128" s="2" t="s">
        <v>5</v>
      </c>
      <c r="D1128" s="2" t="s">
        <v>2136</v>
      </c>
      <c r="E1128" s="3">
        <v>20</v>
      </c>
      <c r="F1128" s="3">
        <v>3</v>
      </c>
      <c r="G1128" s="4">
        <v>44044</v>
      </c>
      <c r="I1128" s="5"/>
      <c r="K1128" s="5"/>
    </row>
    <row r="1129" spans="2:18" x14ac:dyDescent="0.15">
      <c r="C1129" s="2" t="s">
        <v>5</v>
      </c>
      <c r="D1129" s="2" t="s">
        <v>2136</v>
      </c>
      <c r="E1129" s="3">
        <v>20</v>
      </c>
      <c r="F1129" s="3">
        <v>8</v>
      </c>
      <c r="G1129" s="4">
        <v>43647</v>
      </c>
      <c r="I1129" s="5"/>
      <c r="K1129" s="5"/>
    </row>
    <row r="1130" spans="2:18" x14ac:dyDescent="0.15">
      <c r="G1130" s="4"/>
      <c r="I1130" s="5"/>
      <c r="K1130" s="5"/>
    </row>
    <row r="1131" spans="2:18" s="12" customFormat="1" x14ac:dyDescent="0.15">
      <c r="B1131" s="12" t="s">
        <v>1092</v>
      </c>
      <c r="C1131" s="13" t="s">
        <v>970</v>
      </c>
      <c r="D1131" s="13" t="s">
        <v>969</v>
      </c>
      <c r="E1131" s="15"/>
      <c r="F1131" s="15">
        <f>SUM(F1132:F1137)</f>
        <v>104.26984126984127</v>
      </c>
      <c r="G1131" s="14">
        <f>G1133</f>
        <v>45104</v>
      </c>
      <c r="I1131" s="1" t="s">
        <v>1</v>
      </c>
      <c r="J1131" s="1" t="s">
        <v>1</v>
      </c>
      <c r="K1131" s="1" t="s">
        <v>1</v>
      </c>
      <c r="M1131" s="13"/>
      <c r="N1131" s="13"/>
      <c r="O1131" s="13"/>
      <c r="P1131" s="13"/>
      <c r="Q1131" s="13"/>
      <c r="R1131" s="13"/>
    </row>
    <row r="1132" spans="2:18" x14ac:dyDescent="0.15">
      <c r="C1132" s="2" t="s">
        <v>18</v>
      </c>
      <c r="D1132" s="2" t="s">
        <v>1006</v>
      </c>
      <c r="E1132" s="3">
        <v>100</v>
      </c>
      <c r="F1132" s="3">
        <v>10</v>
      </c>
      <c r="G1132" s="4">
        <v>44754</v>
      </c>
    </row>
    <row r="1133" spans="2:18" x14ac:dyDescent="0.15">
      <c r="C1133" s="2" t="s">
        <v>5</v>
      </c>
      <c r="D1133" s="2" t="s">
        <v>547</v>
      </c>
      <c r="E1133" s="3">
        <v>58</v>
      </c>
      <c r="F1133" s="3">
        <v>8</v>
      </c>
      <c r="G1133" s="4">
        <v>45104</v>
      </c>
    </row>
    <row r="1134" spans="2:18" x14ac:dyDescent="0.15">
      <c r="C1134" s="2" t="s">
        <v>53</v>
      </c>
      <c r="D1134" s="2" t="s">
        <v>490</v>
      </c>
      <c r="E1134" s="3">
        <v>50</v>
      </c>
      <c r="F1134" s="3">
        <v>20</v>
      </c>
      <c r="G1134" s="4">
        <v>44174</v>
      </c>
    </row>
    <row r="1135" spans="2:18" x14ac:dyDescent="0.15">
      <c r="C1135" s="2" t="s">
        <v>9</v>
      </c>
      <c r="D1135" s="2" t="s">
        <v>154</v>
      </c>
      <c r="E1135" s="3">
        <v>400</v>
      </c>
      <c r="F1135" s="3">
        <v>35.555555555555557</v>
      </c>
      <c r="G1135" s="4">
        <v>44413</v>
      </c>
    </row>
    <row r="1136" spans="2:18" x14ac:dyDescent="0.15">
      <c r="C1136" s="2" t="s">
        <v>53</v>
      </c>
      <c r="D1136" s="2" t="s">
        <v>47</v>
      </c>
      <c r="E1136" s="3">
        <v>100</v>
      </c>
      <c r="F1136" s="3">
        <f>75/7</f>
        <v>10.714285714285714</v>
      </c>
      <c r="G1136" s="4">
        <v>44515</v>
      </c>
      <c r="I1136" s="1">
        <v>4100</v>
      </c>
      <c r="J1136" s="1">
        <v>4100</v>
      </c>
    </row>
    <row r="1137" spans="2:18" x14ac:dyDescent="0.15">
      <c r="C1137" s="2" t="s">
        <v>1091</v>
      </c>
      <c r="D1137" s="2" t="s">
        <v>47</v>
      </c>
      <c r="E1137" s="3">
        <v>20</v>
      </c>
      <c r="F1137" s="3">
        <v>20</v>
      </c>
      <c r="G1137" s="4">
        <v>44265</v>
      </c>
    </row>
    <row r="1138" spans="2:18" x14ac:dyDescent="0.15">
      <c r="G1138" s="4"/>
    </row>
    <row r="1139" spans="2:18" s="12" customFormat="1" x14ac:dyDescent="0.15">
      <c r="B1139" s="12" t="s">
        <v>174</v>
      </c>
      <c r="C1139" s="13" t="s">
        <v>970</v>
      </c>
      <c r="D1139" s="13" t="s">
        <v>969</v>
      </c>
      <c r="E1139" s="15"/>
      <c r="F1139" s="15">
        <f>SUM(F1140:F1143)</f>
        <v>103.4</v>
      </c>
      <c r="G1139" s="14">
        <f>G1143</f>
        <v>44287</v>
      </c>
      <c r="M1139" s="13"/>
      <c r="N1139" s="13"/>
      <c r="O1139" s="13"/>
      <c r="P1139" s="13"/>
      <c r="Q1139" s="13"/>
      <c r="R1139" s="13"/>
    </row>
    <row r="1140" spans="2:18" x14ac:dyDescent="0.15">
      <c r="C1140" s="2" t="s">
        <v>18</v>
      </c>
      <c r="D1140" s="2" t="s">
        <v>161</v>
      </c>
      <c r="E1140" s="3">
        <v>100</v>
      </c>
      <c r="F1140" s="3">
        <v>14</v>
      </c>
      <c r="G1140" s="4">
        <v>44235</v>
      </c>
      <c r="I1140" s="1">
        <v>5200</v>
      </c>
    </row>
    <row r="1141" spans="2:18" x14ac:dyDescent="0.15">
      <c r="C1141" s="2" t="s">
        <v>18</v>
      </c>
      <c r="D1141" s="2" t="s">
        <v>161</v>
      </c>
      <c r="E1141" s="3">
        <v>267</v>
      </c>
      <c r="F1141" s="3">
        <f>167/5</f>
        <v>33.4</v>
      </c>
      <c r="G1141" s="4">
        <v>44140</v>
      </c>
      <c r="I1141" s="1">
        <v>5000</v>
      </c>
    </row>
    <row r="1142" spans="2:18" x14ac:dyDescent="0.15">
      <c r="C1142" s="2" t="s">
        <v>5</v>
      </c>
      <c r="D1142" s="2" t="s">
        <v>161</v>
      </c>
      <c r="E1142" s="3">
        <v>102</v>
      </c>
      <c r="F1142" s="3">
        <v>16</v>
      </c>
      <c r="G1142" s="4">
        <v>43292</v>
      </c>
    </row>
    <row r="1143" spans="2:18" x14ac:dyDescent="0.15">
      <c r="C1143" s="2" t="s">
        <v>8</v>
      </c>
      <c r="D1143" s="2" t="s">
        <v>2141</v>
      </c>
      <c r="E1143" s="3">
        <v>220</v>
      </c>
      <c r="F1143" s="3">
        <v>40</v>
      </c>
      <c r="G1143" s="4">
        <v>44287</v>
      </c>
    </row>
    <row r="1144" spans="2:18" x14ac:dyDescent="0.15">
      <c r="G1144" s="4"/>
    </row>
    <row r="1145" spans="2:18" s="12" customFormat="1" x14ac:dyDescent="0.15">
      <c r="B1145" s="12" t="s">
        <v>78</v>
      </c>
      <c r="C1145" s="13" t="s">
        <v>970</v>
      </c>
      <c r="D1145" s="13" t="s">
        <v>969</v>
      </c>
      <c r="E1145" s="15"/>
      <c r="F1145" s="15">
        <f>SUM(F1146:F1148)</f>
        <v>101.5</v>
      </c>
      <c r="G1145" s="14">
        <f>G1146</f>
        <v>44510</v>
      </c>
      <c r="K1145" s="53"/>
      <c r="M1145" s="13"/>
      <c r="N1145" s="13"/>
      <c r="O1145" s="13"/>
      <c r="P1145" s="13"/>
      <c r="Q1145" s="13"/>
      <c r="R1145" s="13"/>
    </row>
    <row r="1146" spans="2:18" x14ac:dyDescent="0.15">
      <c r="C1146" s="2" t="s">
        <v>53</v>
      </c>
      <c r="D1146" s="2" t="s">
        <v>74</v>
      </c>
      <c r="E1146" s="3">
        <v>250</v>
      </c>
      <c r="F1146" s="3">
        <v>50</v>
      </c>
      <c r="G1146" s="4">
        <v>44510</v>
      </c>
      <c r="I1146" s="1">
        <v>3800</v>
      </c>
      <c r="J1146" s="1">
        <v>3800</v>
      </c>
      <c r="K1146" s="5">
        <f>(E1146/(I1146+E1146))*J1146*(F1146/E1146)</f>
        <v>46.913580246913583</v>
      </c>
    </row>
    <row r="1147" spans="2:18" x14ac:dyDescent="0.15">
      <c r="C1147" s="2" t="s">
        <v>9</v>
      </c>
      <c r="D1147" s="2" t="s">
        <v>47</v>
      </c>
      <c r="E1147" s="3">
        <v>248</v>
      </c>
      <c r="F1147" s="3">
        <f>150/4</f>
        <v>37.5</v>
      </c>
      <c r="G1147" s="4">
        <v>43678</v>
      </c>
      <c r="I1147" s="1">
        <v>1700</v>
      </c>
      <c r="J1147" s="1">
        <v>4100</v>
      </c>
      <c r="K1147" s="5">
        <f>(E1147/(I1147+E1147))*J1147*(F1147/E1147)</f>
        <v>78.927104722792606</v>
      </c>
    </row>
    <row r="1148" spans="2:18" x14ac:dyDescent="0.15">
      <c r="C1148" s="62" t="s">
        <v>53</v>
      </c>
      <c r="D1148" s="62" t="s">
        <v>5044</v>
      </c>
      <c r="E1148" s="3">
        <v>100</v>
      </c>
      <c r="F1148" s="3">
        <f>70/5</f>
        <v>14</v>
      </c>
      <c r="G1148" s="4">
        <v>44474</v>
      </c>
      <c r="K1148" s="5"/>
    </row>
    <row r="1149" spans="2:18" x14ac:dyDescent="0.15">
      <c r="G1149" s="4"/>
      <c r="K1149" s="5"/>
    </row>
    <row r="1150" spans="2:18" s="12" customFormat="1" x14ac:dyDescent="0.15">
      <c r="B1150" s="12" t="s">
        <v>6047</v>
      </c>
      <c r="C1150" s="13" t="s">
        <v>970</v>
      </c>
      <c r="D1150" s="13" t="s">
        <v>969</v>
      </c>
      <c r="E1150" s="15"/>
      <c r="F1150" s="15">
        <f>SUM(F1151:F1156)</f>
        <v>102.1857142857143</v>
      </c>
      <c r="G1150" s="14">
        <f>G1151</f>
        <v>45037</v>
      </c>
    </row>
    <row r="1151" spans="2:18" x14ac:dyDescent="0.15">
      <c r="C1151" s="2" t="s">
        <v>4</v>
      </c>
      <c r="D1151" s="2" t="s">
        <v>510</v>
      </c>
      <c r="E1151" s="3">
        <v>3</v>
      </c>
      <c r="F1151" s="3">
        <v>0.5</v>
      </c>
      <c r="G1151" s="4">
        <v>45037</v>
      </c>
      <c r="M1151" s="1"/>
      <c r="N1151" s="1"/>
      <c r="O1151" s="1"/>
      <c r="P1151" s="1"/>
      <c r="Q1151" s="1"/>
      <c r="R1151" s="1"/>
    </row>
    <row r="1152" spans="2:18" x14ac:dyDescent="0.15">
      <c r="C1152" s="2" t="s">
        <v>7</v>
      </c>
      <c r="D1152" s="2" t="s">
        <v>476</v>
      </c>
      <c r="E1152" s="3">
        <v>90</v>
      </c>
      <c r="F1152" s="3">
        <v>6</v>
      </c>
      <c r="G1152" s="4">
        <v>44398</v>
      </c>
      <c r="M1152" s="1"/>
      <c r="N1152" s="1"/>
      <c r="O1152" s="1"/>
      <c r="P1152" s="1"/>
      <c r="Q1152" s="1"/>
      <c r="R1152" s="1"/>
    </row>
    <row r="1153" spans="2:18" x14ac:dyDescent="0.15">
      <c r="C1153" s="2" t="s">
        <v>9</v>
      </c>
      <c r="D1153" s="2" t="s">
        <v>176</v>
      </c>
      <c r="E1153" s="3">
        <v>392</v>
      </c>
      <c r="F1153" s="3">
        <f>E1153/5</f>
        <v>78.400000000000006</v>
      </c>
      <c r="G1153" s="4">
        <v>43280</v>
      </c>
      <c r="M1153" s="1"/>
      <c r="N1153" s="1"/>
      <c r="O1153" s="1"/>
      <c r="P1153" s="1"/>
      <c r="Q1153" s="1"/>
      <c r="R1153" s="1"/>
    </row>
    <row r="1154" spans="2:18" x14ac:dyDescent="0.15">
      <c r="C1154" s="59" t="s">
        <v>18</v>
      </c>
      <c r="D1154" s="59" t="s">
        <v>2124</v>
      </c>
      <c r="E1154" s="3">
        <v>300</v>
      </c>
      <c r="F1154" s="3">
        <f>200/14</f>
        <v>14.285714285714286</v>
      </c>
      <c r="G1154" s="4">
        <v>44300</v>
      </c>
      <c r="M1154" s="1"/>
      <c r="N1154" s="1"/>
      <c r="O1154" s="1"/>
      <c r="P1154" s="1"/>
      <c r="Q1154" s="1"/>
      <c r="R1154" s="1"/>
    </row>
    <row r="1155" spans="2:18" x14ac:dyDescent="0.15">
      <c r="C1155" s="100" t="s">
        <v>5</v>
      </c>
      <c r="D1155" s="100" t="s">
        <v>6042</v>
      </c>
      <c r="E1155" s="3">
        <v>3</v>
      </c>
      <c r="F1155" s="3">
        <v>1</v>
      </c>
      <c r="G1155" s="4">
        <v>44140</v>
      </c>
      <c r="J1155" s="1">
        <v>250</v>
      </c>
      <c r="M1155" s="1"/>
      <c r="N1155" s="1"/>
      <c r="O1155" s="1"/>
      <c r="P1155" s="1"/>
      <c r="Q1155" s="1"/>
      <c r="R1155" s="1"/>
    </row>
    <row r="1156" spans="2:18" x14ac:dyDescent="0.15">
      <c r="C1156" s="100" t="s">
        <v>5</v>
      </c>
      <c r="D1156" s="100" t="s">
        <v>6042</v>
      </c>
      <c r="E1156" s="3">
        <v>12</v>
      </c>
      <c r="F1156" s="3">
        <v>2</v>
      </c>
      <c r="G1156" s="4">
        <v>43941</v>
      </c>
      <c r="J1156" s="1">
        <v>250</v>
      </c>
      <c r="M1156" s="1"/>
      <c r="N1156" s="1"/>
      <c r="O1156" s="1"/>
      <c r="P1156" s="1"/>
      <c r="Q1156" s="1"/>
      <c r="R1156" s="1"/>
    </row>
    <row r="1157" spans="2:18" x14ac:dyDescent="0.15">
      <c r="G1157" s="4"/>
      <c r="M1157" s="1"/>
      <c r="N1157" s="1"/>
      <c r="O1157" s="1"/>
      <c r="P1157" s="1"/>
      <c r="Q1157" s="1"/>
      <c r="R1157" s="1"/>
    </row>
    <row r="1158" spans="2:18" s="12" customFormat="1" x14ac:dyDescent="0.15">
      <c r="B1158" s="12" t="s">
        <v>46</v>
      </c>
      <c r="C1158" s="13" t="s">
        <v>970</v>
      </c>
      <c r="D1158" s="13" t="s">
        <v>969</v>
      </c>
      <c r="E1158" s="15"/>
      <c r="F1158" s="15">
        <f>SUM(F1159:F1161)</f>
        <v>95</v>
      </c>
      <c r="G1158" s="14">
        <f>G1159</f>
        <v>44984</v>
      </c>
      <c r="M1158" s="13"/>
      <c r="N1158" s="13"/>
      <c r="O1158" s="13"/>
      <c r="P1158" s="13"/>
      <c r="Q1158" s="13"/>
      <c r="R1158" s="13"/>
    </row>
    <row r="1159" spans="2:18" x14ac:dyDescent="0.15">
      <c r="C1159" s="2" t="s">
        <v>9</v>
      </c>
      <c r="D1159" s="2" t="s">
        <v>39</v>
      </c>
      <c r="E1159" s="3">
        <v>230</v>
      </c>
      <c r="F1159" s="3">
        <v>60</v>
      </c>
      <c r="G1159" s="4">
        <v>44984</v>
      </c>
      <c r="I1159" s="1">
        <v>2000</v>
      </c>
      <c r="J1159" s="1">
        <v>2000</v>
      </c>
    </row>
    <row r="1160" spans="2:18" x14ac:dyDescent="0.15">
      <c r="C1160" s="2" t="s">
        <v>8</v>
      </c>
      <c r="D1160" s="2" t="s">
        <v>39</v>
      </c>
      <c r="E1160" s="3">
        <v>170</v>
      </c>
      <c r="F1160" s="3">
        <v>22</v>
      </c>
      <c r="G1160" s="4">
        <v>44255</v>
      </c>
      <c r="I1160" s="1">
        <v>830</v>
      </c>
      <c r="J1160" s="1">
        <v>2000</v>
      </c>
    </row>
    <row r="1161" spans="2:18" x14ac:dyDescent="0.15">
      <c r="C1161" s="2" t="s">
        <v>7</v>
      </c>
      <c r="D1161" s="2" t="s">
        <v>2136</v>
      </c>
      <c r="E1161" s="3">
        <v>176</v>
      </c>
      <c r="F1161" s="3">
        <v>13</v>
      </c>
      <c r="G1161" s="4">
        <v>44578</v>
      </c>
    </row>
    <row r="1162" spans="2:18" x14ac:dyDescent="0.15">
      <c r="G1162" s="4"/>
    </row>
    <row r="1163" spans="2:18" s="12" customFormat="1" x14ac:dyDescent="0.15">
      <c r="B1163" s="12" t="s">
        <v>1089</v>
      </c>
      <c r="C1163" s="13" t="s">
        <v>970</v>
      </c>
      <c r="D1163" s="13" t="s">
        <v>969</v>
      </c>
      <c r="E1163" s="15"/>
      <c r="F1163" s="15">
        <f>SUM(F1164:F1179)</f>
        <v>92.738095238095241</v>
      </c>
      <c r="G1163" s="14">
        <f>G1164</f>
        <v>45042</v>
      </c>
      <c r="M1163" s="13"/>
      <c r="N1163" s="13"/>
      <c r="O1163" s="13"/>
      <c r="P1163" s="13"/>
      <c r="Q1163" s="13"/>
      <c r="R1163" s="13"/>
    </row>
    <row r="1164" spans="2:18" x14ac:dyDescent="0.15">
      <c r="B1164" s="273" t="s">
        <v>7704</v>
      </c>
      <c r="C1164" s="2" t="s">
        <v>7</v>
      </c>
      <c r="D1164" s="2" t="s">
        <v>1088</v>
      </c>
      <c r="E1164" s="3">
        <v>100</v>
      </c>
      <c r="F1164" s="3">
        <v>5</v>
      </c>
      <c r="G1164" s="4">
        <v>45042</v>
      </c>
    </row>
    <row r="1165" spans="2:18" x14ac:dyDescent="0.15">
      <c r="C1165" s="2" t="s">
        <v>5</v>
      </c>
      <c r="D1165" s="2" t="s">
        <v>1088</v>
      </c>
      <c r="E1165" s="3">
        <v>28</v>
      </c>
      <c r="F1165" s="3">
        <v>6</v>
      </c>
      <c r="G1165" s="4">
        <v>44649</v>
      </c>
    </row>
    <row r="1166" spans="2:18" x14ac:dyDescent="0.15">
      <c r="C1166" s="2" t="s">
        <v>4</v>
      </c>
      <c r="D1166" s="2" t="s">
        <v>1088</v>
      </c>
      <c r="E1166" s="3">
        <v>10</v>
      </c>
      <c r="F1166" s="3">
        <v>5</v>
      </c>
      <c r="G1166" s="4">
        <v>44223</v>
      </c>
    </row>
    <row r="1167" spans="2:18" x14ac:dyDescent="0.15">
      <c r="C1167" s="2" t="s">
        <v>7</v>
      </c>
      <c r="D1167" s="2" t="s">
        <v>1012</v>
      </c>
      <c r="E1167" s="3">
        <v>43</v>
      </c>
      <c r="F1167" s="3">
        <f>30/5</f>
        <v>6</v>
      </c>
      <c r="G1167" s="4">
        <v>44978</v>
      </c>
    </row>
    <row r="1168" spans="2:18" x14ac:dyDescent="0.15">
      <c r="C1168" s="2" t="s">
        <v>7</v>
      </c>
      <c r="D1168" s="2" t="s">
        <v>861</v>
      </c>
      <c r="E1168" s="3">
        <v>25</v>
      </c>
      <c r="F1168" s="3">
        <f>18/7</f>
        <v>2.5714285714285716</v>
      </c>
      <c r="G1168" s="4">
        <v>44636</v>
      </c>
    </row>
    <row r="1169" spans="2:18" x14ac:dyDescent="0.15">
      <c r="C1169" s="2" t="s">
        <v>5</v>
      </c>
      <c r="D1169" s="2" t="s">
        <v>861</v>
      </c>
      <c r="E1169" s="3">
        <v>12.2</v>
      </c>
      <c r="F1169" s="3">
        <v>4</v>
      </c>
      <c r="G1169" s="4">
        <v>44179</v>
      </c>
    </row>
    <row r="1170" spans="2:18" x14ac:dyDescent="0.15">
      <c r="C1170" s="2" t="s">
        <v>4</v>
      </c>
      <c r="D1170" s="2" t="s">
        <v>861</v>
      </c>
      <c r="E1170" s="3">
        <v>5.0999999999999996</v>
      </c>
      <c r="F1170" s="3">
        <v>1</v>
      </c>
      <c r="G1170" s="4">
        <v>44046</v>
      </c>
    </row>
    <row r="1171" spans="2:18" x14ac:dyDescent="0.15">
      <c r="C1171" s="2" t="s">
        <v>4</v>
      </c>
      <c r="D1171" s="2" t="s">
        <v>830</v>
      </c>
      <c r="E1171" s="3">
        <v>4.5</v>
      </c>
      <c r="F1171" s="3">
        <v>0.5</v>
      </c>
      <c r="G1171" s="4">
        <v>45056</v>
      </c>
    </row>
    <row r="1172" spans="2:18" x14ac:dyDescent="0.15">
      <c r="C1172" s="2" t="s">
        <v>5</v>
      </c>
      <c r="D1172" s="2" t="s">
        <v>720</v>
      </c>
      <c r="E1172" s="3">
        <v>11</v>
      </c>
      <c r="F1172" s="3">
        <v>4</v>
      </c>
      <c r="G1172" s="4">
        <v>44483</v>
      </c>
    </row>
    <row r="1173" spans="2:18" x14ac:dyDescent="0.15">
      <c r="C1173" s="2" t="s">
        <v>7</v>
      </c>
      <c r="D1173" s="2" t="s">
        <v>399</v>
      </c>
      <c r="E1173" s="3">
        <v>37</v>
      </c>
      <c r="F1173" s="3">
        <v>4</v>
      </c>
      <c r="G1173" s="4">
        <v>44860</v>
      </c>
    </row>
    <row r="1174" spans="2:18" x14ac:dyDescent="0.15">
      <c r="C1174" s="2" t="s">
        <v>7</v>
      </c>
      <c r="D1174" s="2" t="s">
        <v>399</v>
      </c>
      <c r="E1174" s="3">
        <v>80</v>
      </c>
      <c r="F1174" s="3">
        <v>10</v>
      </c>
      <c r="G1174" s="4">
        <v>44327</v>
      </c>
    </row>
    <row r="1175" spans="2:18" x14ac:dyDescent="0.15">
      <c r="C1175" s="2" t="s">
        <v>5</v>
      </c>
      <c r="D1175" s="2" t="s">
        <v>399</v>
      </c>
      <c r="E1175" s="3">
        <v>30</v>
      </c>
      <c r="F1175" s="3">
        <v>6.666666666666667</v>
      </c>
      <c r="G1175" s="4">
        <v>43963</v>
      </c>
    </row>
    <row r="1176" spans="2:18" x14ac:dyDescent="0.15">
      <c r="C1176" s="2" t="s">
        <v>8</v>
      </c>
      <c r="D1176" s="2" t="s">
        <v>55</v>
      </c>
      <c r="E1176" s="3">
        <v>200</v>
      </c>
      <c r="F1176" s="3">
        <f>150/8</f>
        <v>18.75</v>
      </c>
      <c r="G1176" s="4">
        <v>44055</v>
      </c>
      <c r="I1176" s="1">
        <v>2000</v>
      </c>
      <c r="J1176" s="1">
        <v>7000</v>
      </c>
    </row>
    <row r="1177" spans="2:18" x14ac:dyDescent="0.15">
      <c r="C1177" s="2" t="s">
        <v>18</v>
      </c>
      <c r="D1177" s="2" t="s">
        <v>55</v>
      </c>
      <c r="E1177" s="3">
        <v>65</v>
      </c>
      <c r="F1177" s="3">
        <v>8</v>
      </c>
      <c r="G1177" s="4">
        <v>43802</v>
      </c>
      <c r="I1177" s="1">
        <v>685</v>
      </c>
      <c r="J1177" s="1">
        <v>7000</v>
      </c>
    </row>
    <row r="1178" spans="2:18" x14ac:dyDescent="0.15">
      <c r="C1178" s="2" t="s">
        <v>7</v>
      </c>
      <c r="D1178" s="2" t="s">
        <v>55</v>
      </c>
      <c r="E1178" s="3">
        <v>40</v>
      </c>
      <c r="F1178" s="3">
        <v>6.25</v>
      </c>
      <c r="G1178" s="4">
        <v>43503</v>
      </c>
      <c r="J1178" s="1">
        <v>7000</v>
      </c>
    </row>
    <row r="1179" spans="2:18" x14ac:dyDescent="0.15">
      <c r="C1179" s="2" t="s">
        <v>5</v>
      </c>
      <c r="D1179" s="2" t="s">
        <v>55</v>
      </c>
      <c r="E1179" s="3">
        <v>20</v>
      </c>
      <c r="F1179" s="3">
        <v>5</v>
      </c>
      <c r="G1179" s="4">
        <v>42898</v>
      </c>
    </row>
    <row r="1180" spans="2:18" x14ac:dyDescent="0.15">
      <c r="G1180" s="4"/>
    </row>
    <row r="1181" spans="2:18" s="12" customFormat="1" x14ac:dyDescent="0.15">
      <c r="B1181" s="12" t="s">
        <v>72</v>
      </c>
      <c r="C1181" s="13" t="s">
        <v>970</v>
      </c>
      <c r="D1181" s="13" t="s">
        <v>969</v>
      </c>
      <c r="E1181" s="15"/>
      <c r="F1181" s="15" cm="1">
        <f t="array" ref="F1181">SUM(F1182+F1182:F1184)</f>
        <v>89.714285714285722</v>
      </c>
      <c r="G1181" s="14">
        <f>G1182</f>
        <v>44825</v>
      </c>
      <c r="M1181" s="13"/>
      <c r="N1181" s="13"/>
      <c r="O1181" s="13"/>
      <c r="P1181" s="13"/>
      <c r="Q1181" s="13"/>
      <c r="R1181" s="13"/>
    </row>
    <row r="1182" spans="2:18" x14ac:dyDescent="0.15">
      <c r="C1182" s="2" t="s">
        <v>5</v>
      </c>
      <c r="D1182" s="2" t="s">
        <v>71</v>
      </c>
      <c r="E1182" s="3">
        <v>10</v>
      </c>
      <c r="F1182" s="3">
        <v>6</v>
      </c>
      <c r="G1182" s="4">
        <v>44825</v>
      </c>
    </row>
    <row r="1183" spans="2:18" x14ac:dyDescent="0.15">
      <c r="C1183" s="2" t="s">
        <v>7</v>
      </c>
      <c r="D1183" s="2" t="s">
        <v>64</v>
      </c>
      <c r="E1183" s="3">
        <f>1600/7</f>
        <v>228.57142857142858</v>
      </c>
      <c r="F1183" s="3">
        <v>30</v>
      </c>
      <c r="G1183" s="4">
        <v>44550</v>
      </c>
    </row>
    <row r="1184" spans="2:18" x14ac:dyDescent="0.15">
      <c r="C1184" s="2" t="s">
        <v>5</v>
      </c>
      <c r="D1184" s="2" t="s">
        <v>64</v>
      </c>
      <c r="E1184" s="3">
        <f>500/7</f>
        <v>71.428571428571431</v>
      </c>
      <c r="F1184" s="3">
        <f>E1184/2</f>
        <v>35.714285714285715</v>
      </c>
      <c r="G1184" s="4">
        <v>44315</v>
      </c>
    </row>
    <row r="1186" spans="2:18" s="12" customFormat="1" x14ac:dyDescent="0.15">
      <c r="B1186" s="12" t="s">
        <v>236</v>
      </c>
      <c r="C1186" s="13" t="s">
        <v>970</v>
      </c>
      <c r="D1186" s="13" t="s">
        <v>969</v>
      </c>
      <c r="E1186" s="15"/>
      <c r="F1186" s="15">
        <f>SUM(F1187:F1189)</f>
        <v>88.8888888888889</v>
      </c>
      <c r="G1186" s="14">
        <f>G1188</f>
        <v>44218</v>
      </c>
      <c r="M1186" s="13"/>
      <c r="N1186" s="13"/>
      <c r="O1186" s="13"/>
      <c r="P1186" s="13"/>
      <c r="Q1186" s="13"/>
      <c r="R1186" s="13"/>
    </row>
    <row r="1187" spans="2:18" x14ac:dyDescent="0.15">
      <c r="C1187" s="2" t="s">
        <v>18</v>
      </c>
      <c r="D1187" s="2" t="s">
        <v>232</v>
      </c>
      <c r="E1187" s="3">
        <v>460</v>
      </c>
      <c r="F1187" s="3">
        <f>160/4</f>
        <v>40</v>
      </c>
      <c r="G1187" s="4">
        <v>43040</v>
      </c>
    </row>
    <row r="1188" spans="2:18" x14ac:dyDescent="0.15">
      <c r="C1188" s="2" t="s">
        <v>8</v>
      </c>
      <c r="D1188" s="2" t="s">
        <v>211</v>
      </c>
      <c r="E1188" s="3">
        <v>700</v>
      </c>
      <c r="F1188" s="3">
        <f>400/12</f>
        <v>33.333333333333336</v>
      </c>
      <c r="G1188" s="4">
        <v>44218</v>
      </c>
    </row>
    <row r="1189" spans="2:18" x14ac:dyDescent="0.15">
      <c r="C1189" s="2" t="s">
        <v>18</v>
      </c>
      <c r="D1189" s="2" t="s">
        <v>211</v>
      </c>
      <c r="E1189" s="3">
        <v>140</v>
      </c>
      <c r="F1189" s="3">
        <f>E1189/9</f>
        <v>15.555555555555555</v>
      </c>
      <c r="G1189" s="4">
        <v>43453</v>
      </c>
    </row>
    <row r="1190" spans="2:18" x14ac:dyDescent="0.15">
      <c r="G1190" s="4"/>
    </row>
    <row r="1191" spans="2:18" s="12" customFormat="1" x14ac:dyDescent="0.15">
      <c r="B1191" s="12" t="s">
        <v>604</v>
      </c>
      <c r="C1191" s="13" t="s">
        <v>970</v>
      </c>
      <c r="D1191" s="13" t="s">
        <v>969</v>
      </c>
      <c r="E1191" s="15"/>
      <c r="F1191" s="15">
        <f>SUM(F1192:F1196)</f>
        <v>86.174999999999997</v>
      </c>
      <c r="G1191" s="14">
        <f>G1192</f>
        <v>44663</v>
      </c>
    </row>
    <row r="1192" spans="2:18" x14ac:dyDescent="0.15">
      <c r="C1192" s="2" t="s">
        <v>18</v>
      </c>
      <c r="D1192" s="2" t="s">
        <v>600</v>
      </c>
      <c r="E1192" s="3">
        <v>125</v>
      </c>
      <c r="F1192" s="3">
        <f>75/8</f>
        <v>9.375</v>
      </c>
      <c r="G1192" s="4">
        <v>44663</v>
      </c>
      <c r="M1192" s="1"/>
      <c r="N1192" s="1"/>
      <c r="O1192" s="1"/>
      <c r="P1192" s="1"/>
      <c r="Q1192" s="1"/>
      <c r="R1192" s="1"/>
    </row>
    <row r="1193" spans="2:18" x14ac:dyDescent="0.15">
      <c r="C1193" s="2" t="s">
        <v>7</v>
      </c>
      <c r="D1193" s="2" t="s">
        <v>600</v>
      </c>
      <c r="E1193" s="3">
        <v>54</v>
      </c>
      <c r="F1193" s="3">
        <f>40/5</f>
        <v>8</v>
      </c>
      <c r="G1193" s="4">
        <v>44089</v>
      </c>
      <c r="M1193" s="1"/>
      <c r="N1193" s="1"/>
      <c r="O1193" s="1"/>
      <c r="P1193" s="1"/>
      <c r="Q1193" s="1"/>
      <c r="R1193" s="1"/>
    </row>
    <row r="1194" spans="2:18" x14ac:dyDescent="0.15">
      <c r="C1194" s="2" t="s">
        <v>8</v>
      </c>
      <c r="D1194" s="2" t="s">
        <v>39</v>
      </c>
      <c r="E1194" s="3">
        <v>170</v>
      </c>
      <c r="F1194" s="3">
        <v>22</v>
      </c>
      <c r="G1194" s="4">
        <v>44255</v>
      </c>
      <c r="I1194" s="1">
        <v>830</v>
      </c>
      <c r="J1194" s="1">
        <v>2000</v>
      </c>
      <c r="M1194" s="1"/>
      <c r="N1194" s="1"/>
      <c r="O1194" s="1"/>
      <c r="P1194" s="1"/>
      <c r="Q1194" s="1"/>
      <c r="R1194" s="1"/>
    </row>
    <row r="1195" spans="2:18" x14ac:dyDescent="0.15">
      <c r="C1195" s="2" t="s">
        <v>18</v>
      </c>
      <c r="D1195" s="2" t="s">
        <v>39</v>
      </c>
      <c r="E1195" s="3">
        <v>100</v>
      </c>
      <c r="F1195" s="3">
        <v>40</v>
      </c>
      <c r="G1195" s="4">
        <v>44025</v>
      </c>
      <c r="J1195" s="1">
        <v>2000</v>
      </c>
      <c r="M1195" s="1"/>
      <c r="N1195" s="1"/>
      <c r="O1195" s="1"/>
      <c r="P1195" s="1"/>
      <c r="Q1195" s="1"/>
      <c r="R1195" s="1"/>
    </row>
    <row r="1196" spans="2:18" x14ac:dyDescent="0.15">
      <c r="C1196" s="59" t="s">
        <v>8</v>
      </c>
      <c r="D1196" s="59" t="s">
        <v>4926</v>
      </c>
      <c r="E1196" s="3">
        <v>83</v>
      </c>
      <c r="F1196" s="3">
        <v>6.8</v>
      </c>
      <c r="G1196" s="4">
        <v>44320</v>
      </c>
      <c r="I1196" s="1">
        <v>3600</v>
      </c>
      <c r="J1196" s="1">
        <v>3600</v>
      </c>
      <c r="M1196" s="1"/>
      <c r="N1196" s="1"/>
      <c r="O1196" s="1"/>
      <c r="P1196" s="1"/>
      <c r="Q1196" s="1"/>
      <c r="R1196" s="1"/>
    </row>
    <row r="1197" spans="2:18" x14ac:dyDescent="0.15">
      <c r="C1197" s="59" t="s">
        <v>18</v>
      </c>
      <c r="D1197" s="59" t="s">
        <v>4926</v>
      </c>
      <c r="E1197" s="3">
        <v>100</v>
      </c>
      <c r="F1197" s="3">
        <v>20</v>
      </c>
      <c r="G1197" s="4">
        <v>43937</v>
      </c>
      <c r="I1197" s="1">
        <v>1100</v>
      </c>
      <c r="J1197" s="1">
        <v>3600</v>
      </c>
      <c r="M1197" s="1"/>
      <c r="N1197" s="1"/>
      <c r="O1197" s="1"/>
      <c r="P1197" s="1"/>
      <c r="Q1197" s="1"/>
      <c r="R1197" s="1"/>
    </row>
    <row r="1198" spans="2:18" x14ac:dyDescent="0.15">
      <c r="G1198" s="4"/>
      <c r="M1198" s="1"/>
      <c r="N1198" s="1"/>
      <c r="O1198" s="1"/>
      <c r="P1198" s="1"/>
      <c r="Q1198" s="1"/>
      <c r="R1198" s="1"/>
    </row>
    <row r="1199" spans="2:18" s="12" customFormat="1" x14ac:dyDescent="0.15">
      <c r="B1199" s="12" t="s">
        <v>620</v>
      </c>
      <c r="C1199" s="13" t="s">
        <v>970</v>
      </c>
      <c r="D1199" s="13" t="s">
        <v>969</v>
      </c>
      <c r="E1199" s="15"/>
      <c r="F1199" s="15">
        <f>SUM(F1200:F1204)</f>
        <v>85.333333333333343</v>
      </c>
      <c r="G1199" s="14">
        <f>G1203</f>
        <v>44867</v>
      </c>
    </row>
    <row r="1200" spans="2:18" x14ac:dyDescent="0.15">
      <c r="C1200" s="2" t="s">
        <v>9</v>
      </c>
      <c r="D1200" s="2" t="s">
        <v>607</v>
      </c>
      <c r="E1200" s="3">
        <v>132</v>
      </c>
      <c r="F1200" s="3">
        <v>20</v>
      </c>
      <c r="G1200" s="4">
        <v>44215</v>
      </c>
      <c r="M1200" s="1"/>
      <c r="N1200" s="1"/>
      <c r="O1200" s="1"/>
      <c r="P1200" s="1"/>
      <c r="Q1200" s="1"/>
      <c r="R1200" s="1"/>
    </row>
    <row r="1201" spans="2:18" x14ac:dyDescent="0.15">
      <c r="C1201" s="2" t="s">
        <v>8</v>
      </c>
      <c r="D1201" s="2" t="s">
        <v>607</v>
      </c>
      <c r="E1201" s="3">
        <v>42</v>
      </c>
      <c r="F1201" s="3">
        <v>12</v>
      </c>
      <c r="G1201" s="4">
        <v>44153</v>
      </c>
      <c r="M1201" s="1"/>
      <c r="N1201" s="1"/>
      <c r="O1201" s="1"/>
      <c r="P1201" s="1"/>
      <c r="Q1201" s="1"/>
      <c r="R1201" s="1"/>
    </row>
    <row r="1202" spans="2:18" x14ac:dyDescent="0.15">
      <c r="C1202" s="2" t="s">
        <v>7</v>
      </c>
      <c r="D1202" s="2" t="s">
        <v>318</v>
      </c>
      <c r="E1202" s="3">
        <v>55</v>
      </c>
      <c r="F1202" s="3">
        <f>30/6</f>
        <v>5</v>
      </c>
      <c r="G1202" s="4">
        <v>44200</v>
      </c>
      <c r="M1202" s="1"/>
      <c r="N1202" s="1"/>
      <c r="O1202" s="1"/>
      <c r="P1202" s="1"/>
      <c r="Q1202" s="1"/>
      <c r="R1202" s="1"/>
    </row>
    <row r="1203" spans="2:18" x14ac:dyDescent="0.15">
      <c r="C1203" s="2" t="s">
        <v>18</v>
      </c>
      <c r="D1203" s="2" t="s">
        <v>318</v>
      </c>
      <c r="E1203" s="3">
        <v>91</v>
      </c>
      <c r="F1203" s="3">
        <v>8.75</v>
      </c>
      <c r="G1203" s="4">
        <v>44867</v>
      </c>
      <c r="M1203" s="1"/>
      <c r="N1203" s="1"/>
      <c r="O1203" s="1"/>
      <c r="P1203" s="1"/>
      <c r="Q1203" s="1"/>
      <c r="R1203" s="1"/>
    </row>
    <row r="1204" spans="2:18" x14ac:dyDescent="0.15">
      <c r="C1204" s="2" t="s">
        <v>53</v>
      </c>
      <c r="D1204" s="2" t="s">
        <v>176</v>
      </c>
      <c r="E1204" s="3">
        <v>475</v>
      </c>
      <c r="F1204" s="3">
        <f>E1204/12</f>
        <v>39.583333333333336</v>
      </c>
      <c r="G1204" s="4">
        <v>44278</v>
      </c>
      <c r="M1204" s="1"/>
      <c r="N1204" s="1"/>
      <c r="O1204" s="1"/>
      <c r="P1204" s="1"/>
      <c r="Q1204" s="1"/>
      <c r="R1204" s="1"/>
    </row>
    <row r="1205" spans="2:18" x14ac:dyDescent="0.15">
      <c r="G1205" s="4"/>
      <c r="M1205" s="1"/>
      <c r="N1205" s="1"/>
      <c r="O1205" s="1"/>
      <c r="P1205" s="1"/>
      <c r="Q1205" s="1"/>
      <c r="R1205" s="1"/>
    </row>
    <row r="1206" spans="2:18" x14ac:dyDescent="0.15">
      <c r="B1206" s="12" t="s">
        <v>1085</v>
      </c>
      <c r="C1206" s="13" t="s">
        <v>970</v>
      </c>
      <c r="D1206" s="13" t="s">
        <v>969</v>
      </c>
      <c r="E1206" s="15"/>
      <c r="F1206" s="15">
        <f>SUM(F1207:F1209)</f>
        <v>84.625</v>
      </c>
      <c r="G1206" s="14">
        <f>G1208</f>
        <v>44679</v>
      </c>
      <c r="I1206" s="1">
        <v>7000</v>
      </c>
      <c r="J1206" s="19">
        <f>+F1206/I1206</f>
        <v>1.2089285714285714E-2</v>
      </c>
      <c r="K1206" s="1">
        <v>2012</v>
      </c>
    </row>
    <row r="1207" spans="2:18" x14ac:dyDescent="0.15">
      <c r="C1207" s="2" t="s">
        <v>9</v>
      </c>
      <c r="D1207" s="2" t="s">
        <v>804</v>
      </c>
      <c r="E1207" s="3">
        <v>325</v>
      </c>
      <c r="F1207" s="3">
        <f>32.5*2</f>
        <v>65</v>
      </c>
      <c r="G1207" s="4">
        <v>44299</v>
      </c>
    </row>
    <row r="1208" spans="2:18" x14ac:dyDescent="0.15">
      <c r="C1208" s="2" t="s">
        <v>5</v>
      </c>
      <c r="D1208" s="2" t="s">
        <v>1084</v>
      </c>
      <c r="E1208" s="3">
        <v>25</v>
      </c>
      <c r="F1208" s="3">
        <v>15</v>
      </c>
      <c r="G1208" s="4">
        <v>44679</v>
      </c>
    </row>
    <row r="1209" spans="2:18" x14ac:dyDescent="0.15">
      <c r="C1209" s="193" t="s">
        <v>5</v>
      </c>
      <c r="D1209" s="193" t="s">
        <v>2033</v>
      </c>
      <c r="E1209" s="3">
        <v>18.5</v>
      </c>
      <c r="F1209" s="3">
        <f>E1209/4</f>
        <v>4.625</v>
      </c>
      <c r="G1209" s="4">
        <v>44561</v>
      </c>
    </row>
    <row r="1210" spans="2:18" x14ac:dyDescent="0.15">
      <c r="G1210" s="4"/>
    </row>
    <row r="1211" spans="2:18" s="12" customFormat="1" x14ac:dyDescent="0.15">
      <c r="B1211" s="12" t="s">
        <v>75</v>
      </c>
      <c r="C1211" s="13" t="s">
        <v>970</v>
      </c>
      <c r="D1211" s="13" t="s">
        <v>969</v>
      </c>
      <c r="E1211" s="15"/>
      <c r="F1211" s="15">
        <f>SUM(F1212:F1218)</f>
        <v>84</v>
      </c>
      <c r="G1211" s="14">
        <f>G1215</f>
        <v>44937</v>
      </c>
      <c r="K1211" s="53"/>
      <c r="M1211" s="13"/>
      <c r="N1211" s="13"/>
      <c r="O1211" s="13"/>
      <c r="P1211" s="13"/>
      <c r="Q1211" s="13"/>
      <c r="R1211" s="13"/>
    </row>
    <row r="1212" spans="2:18" x14ac:dyDescent="0.15">
      <c r="B1212" s="273" t="s">
        <v>7704</v>
      </c>
      <c r="C1212" s="2" t="s">
        <v>8</v>
      </c>
      <c r="D1212" s="2" t="s">
        <v>74</v>
      </c>
      <c r="E1212" s="3">
        <v>81</v>
      </c>
      <c r="F1212" s="3">
        <f>+E1212/6</f>
        <v>13.5</v>
      </c>
      <c r="G1212" s="4">
        <v>43418</v>
      </c>
      <c r="I1212" s="1">
        <v>1700</v>
      </c>
      <c r="J1212" s="1">
        <v>3800</v>
      </c>
      <c r="K1212" s="5">
        <f>(E1212/(I1212+E1212))*J1212*(F1212/E1212)</f>
        <v>28.804042672655811</v>
      </c>
      <c r="M1212" s="100" t="s">
        <v>5955</v>
      </c>
    </row>
    <row r="1213" spans="2:18" x14ac:dyDescent="0.15">
      <c r="C1213" s="2" t="s">
        <v>18</v>
      </c>
      <c r="D1213" s="2" t="s">
        <v>74</v>
      </c>
      <c r="E1213" s="3">
        <v>60</v>
      </c>
      <c r="F1213" s="3">
        <f>+E1213/5</f>
        <v>12</v>
      </c>
      <c r="G1213" s="4">
        <v>42736</v>
      </c>
      <c r="I1213" s="1">
        <v>800</v>
      </c>
      <c r="J1213" s="1">
        <v>3800</v>
      </c>
      <c r="K1213" s="5">
        <f>(E1213/(I1213+E1213))*J1213*(F1213/E1213)</f>
        <v>53.023255813953483</v>
      </c>
    </row>
    <row r="1214" spans="2:18" x14ac:dyDescent="0.15">
      <c r="C1214" s="2" t="s">
        <v>7</v>
      </c>
      <c r="D1214" s="2" t="s">
        <v>74</v>
      </c>
      <c r="E1214" s="3">
        <v>25</v>
      </c>
      <c r="F1214" s="3">
        <v>15</v>
      </c>
      <c r="G1214" s="4">
        <v>42723</v>
      </c>
      <c r="I1214" s="1">
        <v>245</v>
      </c>
      <c r="J1214" s="1">
        <v>3800</v>
      </c>
      <c r="K1214" s="5">
        <f>(E1214/(I1214+E1214))*J1214*(F1214/E1214)</f>
        <v>211.11111111111111</v>
      </c>
    </row>
    <row r="1215" spans="2:18" x14ac:dyDescent="0.15">
      <c r="C1215" s="100" t="s">
        <v>7</v>
      </c>
      <c r="D1215" s="100" t="s">
        <v>2081</v>
      </c>
      <c r="E1215" s="3">
        <v>100</v>
      </c>
      <c r="F1215" s="3">
        <f>70/5</f>
        <v>14</v>
      </c>
      <c r="G1215" s="4">
        <v>44937</v>
      </c>
      <c r="I1215" s="1">
        <v>900</v>
      </c>
      <c r="J1215" s="1">
        <v>900</v>
      </c>
      <c r="K1215" s="5"/>
    </row>
    <row r="1216" spans="2:18" x14ac:dyDescent="0.15">
      <c r="C1216" s="100" t="s">
        <v>18</v>
      </c>
      <c r="D1216" s="100" t="s">
        <v>2077</v>
      </c>
      <c r="E1216" s="3">
        <v>65</v>
      </c>
      <c r="F1216" s="3">
        <v>10</v>
      </c>
      <c r="G1216" s="4">
        <v>44644</v>
      </c>
      <c r="I1216" s="1">
        <v>500</v>
      </c>
      <c r="J1216" s="1">
        <v>500</v>
      </c>
      <c r="K1216" s="5"/>
    </row>
    <row r="1217" spans="2:18" x14ac:dyDescent="0.15">
      <c r="C1217" s="100" t="s">
        <v>7</v>
      </c>
      <c r="D1217" s="100" t="s">
        <v>2077</v>
      </c>
      <c r="E1217" s="3">
        <v>22</v>
      </c>
      <c r="F1217" s="3">
        <v>10</v>
      </c>
      <c r="G1217" s="4">
        <v>43944</v>
      </c>
      <c r="J1217" s="1">
        <v>500</v>
      </c>
      <c r="K1217" s="5"/>
    </row>
    <row r="1218" spans="2:18" x14ac:dyDescent="0.15">
      <c r="C1218" s="100" t="s">
        <v>5</v>
      </c>
      <c r="D1218" s="100" t="s">
        <v>2077</v>
      </c>
      <c r="E1218" s="3">
        <v>10.5</v>
      </c>
      <c r="F1218" s="3">
        <v>9.5</v>
      </c>
      <c r="G1218" s="4"/>
      <c r="J1218" s="1">
        <v>500</v>
      </c>
      <c r="K1218" s="5"/>
    </row>
    <row r="1219" spans="2:18" x14ac:dyDescent="0.15">
      <c r="G1219" s="4"/>
      <c r="K1219" s="5"/>
    </row>
    <row r="1220" spans="2:18" s="12" customFormat="1" x14ac:dyDescent="0.15">
      <c r="B1220" s="12" t="s">
        <v>85</v>
      </c>
      <c r="C1220" s="13" t="s">
        <v>970</v>
      </c>
      <c r="D1220" s="13" t="s">
        <v>969</v>
      </c>
      <c r="E1220" s="15"/>
      <c r="F1220" s="15">
        <f>SUM(F1221:F1223)</f>
        <v>83.166666666666657</v>
      </c>
      <c r="G1220" s="14">
        <f>G1221</f>
        <v>44201</v>
      </c>
      <c r="M1220" s="13"/>
      <c r="N1220" s="13"/>
      <c r="O1220" s="13"/>
      <c r="P1220" s="13"/>
      <c r="Q1220" s="13"/>
      <c r="R1220" s="13"/>
    </row>
    <row r="1221" spans="2:18" x14ac:dyDescent="0.15">
      <c r="C1221" s="2" t="s">
        <v>18</v>
      </c>
      <c r="D1221" s="2" t="s">
        <v>80</v>
      </c>
      <c r="E1221" s="3">
        <v>257</v>
      </c>
      <c r="F1221" s="3">
        <f>107/3</f>
        <v>35.666666666666664</v>
      </c>
      <c r="G1221" s="4">
        <v>44201</v>
      </c>
      <c r="I1221" s="5">
        <v>1286</v>
      </c>
    </row>
    <row r="1222" spans="2:18" x14ac:dyDescent="0.15">
      <c r="C1222" s="2" t="s">
        <v>7</v>
      </c>
      <c r="D1222" s="2" t="s">
        <v>80</v>
      </c>
      <c r="E1222" s="3">
        <v>100</v>
      </c>
      <c r="F1222" s="3">
        <v>40</v>
      </c>
      <c r="G1222" s="4">
        <v>43958</v>
      </c>
      <c r="I1222" s="5">
        <f>4500/7</f>
        <v>642.85714285714289</v>
      </c>
    </row>
    <row r="1223" spans="2:18" x14ac:dyDescent="0.15">
      <c r="C1223" s="2" t="s">
        <v>4</v>
      </c>
      <c r="D1223" s="2" t="s">
        <v>80</v>
      </c>
      <c r="E1223" s="3">
        <v>49</v>
      </c>
      <c r="F1223" s="3">
        <v>7.5</v>
      </c>
      <c r="G1223" s="4">
        <v>43319</v>
      </c>
      <c r="I1223" s="5"/>
    </row>
    <row r="1224" spans="2:18" x14ac:dyDescent="0.15">
      <c r="G1224" s="4"/>
      <c r="I1224" s="5"/>
    </row>
    <row r="1225" spans="2:18" s="12" customFormat="1" x14ac:dyDescent="0.15">
      <c r="B1225" s="12" t="s">
        <v>845</v>
      </c>
      <c r="C1225" s="13" t="s">
        <v>970</v>
      </c>
      <c r="D1225" s="13" t="s">
        <v>969</v>
      </c>
      <c r="E1225" s="15"/>
      <c r="F1225" s="15">
        <f>SUM(F1226:F1229)</f>
        <v>82.5</v>
      </c>
      <c r="G1225" s="14">
        <f>G1226</f>
        <v>44796</v>
      </c>
      <c r="M1225" s="13"/>
      <c r="N1225" s="13"/>
      <c r="O1225" s="13"/>
      <c r="P1225" s="13"/>
      <c r="Q1225" s="13"/>
      <c r="R1225" s="13"/>
    </row>
    <row r="1226" spans="2:18" x14ac:dyDescent="0.15">
      <c r="C1226" s="2" t="s">
        <v>5</v>
      </c>
      <c r="D1226" s="2" t="s">
        <v>702</v>
      </c>
      <c r="E1226" s="3">
        <v>50</v>
      </c>
      <c r="F1226" s="3">
        <f>30/12</f>
        <v>2.5</v>
      </c>
      <c r="G1226" s="4">
        <v>44796</v>
      </c>
    </row>
    <row r="1227" spans="2:18" x14ac:dyDescent="0.15">
      <c r="C1227" s="2" t="s">
        <v>5</v>
      </c>
      <c r="D1227" s="2" t="s">
        <v>844</v>
      </c>
      <c r="E1227" s="3">
        <v>44</v>
      </c>
      <c r="F1227" s="3">
        <v>10</v>
      </c>
      <c r="G1227" s="4">
        <v>44671</v>
      </c>
    </row>
    <row r="1228" spans="2:18" x14ac:dyDescent="0.15">
      <c r="C1228" s="2" t="s">
        <v>18</v>
      </c>
      <c r="D1228" s="2" t="s">
        <v>232</v>
      </c>
      <c r="E1228" s="3">
        <v>460</v>
      </c>
      <c r="F1228" s="3">
        <v>40</v>
      </c>
      <c r="G1228" s="4">
        <v>43040</v>
      </c>
    </row>
    <row r="1229" spans="2:18" x14ac:dyDescent="0.15">
      <c r="C1229" s="2" t="s">
        <v>7</v>
      </c>
      <c r="D1229" s="2" t="s">
        <v>2137</v>
      </c>
      <c r="E1229" s="3">
        <v>186</v>
      </c>
      <c r="F1229" s="3">
        <v>30</v>
      </c>
      <c r="G1229" s="4">
        <v>44648</v>
      </c>
    </row>
    <row r="1230" spans="2:18" x14ac:dyDescent="0.15">
      <c r="G1230" s="4"/>
    </row>
    <row r="1231" spans="2:18" s="12" customFormat="1" x14ac:dyDescent="0.15">
      <c r="B1231" s="12" t="s">
        <v>210</v>
      </c>
      <c r="C1231" s="13" t="s">
        <v>970</v>
      </c>
      <c r="D1231" s="13" t="s">
        <v>969</v>
      </c>
      <c r="E1231" s="15"/>
      <c r="F1231" s="15">
        <f>SUM(F1232:F1233)</f>
        <v>82.428571428571431</v>
      </c>
      <c r="G1231" s="14">
        <f>G1233</f>
        <v>44515</v>
      </c>
      <c r="M1231" s="13"/>
      <c r="N1231" s="13"/>
      <c r="O1231" s="13"/>
      <c r="P1231" s="13"/>
      <c r="Q1231" s="13"/>
      <c r="R1231" s="13"/>
    </row>
    <row r="1232" spans="2:18" x14ac:dyDescent="0.15">
      <c r="C1232" s="2" t="s">
        <v>8</v>
      </c>
      <c r="D1232" s="2" t="s">
        <v>208</v>
      </c>
      <c r="E1232" s="3">
        <v>676</v>
      </c>
      <c r="F1232" s="3">
        <f>500/7</f>
        <v>71.428571428571431</v>
      </c>
      <c r="G1232" s="4">
        <v>44299</v>
      </c>
      <c r="I1232" s="1">
        <v>4400</v>
      </c>
      <c r="J1232" s="1">
        <v>4400</v>
      </c>
    </row>
    <row r="1233" spans="2:18" x14ac:dyDescent="0.15">
      <c r="C1233" s="2" t="s">
        <v>53</v>
      </c>
      <c r="D1233" s="2" t="s">
        <v>47</v>
      </c>
      <c r="E1233" s="3">
        <v>100</v>
      </c>
      <c r="F1233" s="3">
        <v>11</v>
      </c>
      <c r="G1233" s="4">
        <v>44515</v>
      </c>
      <c r="I1233" s="1">
        <v>4100</v>
      </c>
      <c r="J1233" s="1">
        <v>4100</v>
      </c>
    </row>
    <row r="1234" spans="2:18" x14ac:dyDescent="0.15">
      <c r="G1234" s="4"/>
    </row>
    <row r="1235" spans="2:18" s="12" customFormat="1" x14ac:dyDescent="0.15">
      <c r="B1235" s="12" t="s">
        <v>54</v>
      </c>
      <c r="C1235" s="13" t="s">
        <v>970</v>
      </c>
      <c r="D1235" s="13" t="s">
        <v>969</v>
      </c>
      <c r="E1235" s="15"/>
      <c r="F1235" s="15">
        <f>SUM(F1236:F1240)</f>
        <v>82.083333333333329</v>
      </c>
      <c r="G1235" s="14">
        <f>G1236</f>
        <v>44515</v>
      </c>
      <c r="M1235" s="13"/>
      <c r="N1235" s="13"/>
      <c r="O1235" s="13"/>
      <c r="P1235" s="13"/>
      <c r="Q1235" s="13"/>
      <c r="R1235" s="13"/>
    </row>
    <row r="1236" spans="2:18" x14ac:dyDescent="0.15">
      <c r="C1236" s="2" t="s">
        <v>53</v>
      </c>
      <c r="D1236" s="2" t="s">
        <v>47</v>
      </c>
      <c r="E1236" s="3">
        <v>100</v>
      </c>
      <c r="F1236" s="3">
        <v>11</v>
      </c>
      <c r="G1236" s="4">
        <v>44515</v>
      </c>
      <c r="I1236" s="1">
        <v>4100</v>
      </c>
      <c r="J1236" s="1">
        <v>4100</v>
      </c>
    </row>
    <row r="1237" spans="2:18" x14ac:dyDescent="0.15">
      <c r="C1237" s="2" t="s">
        <v>18</v>
      </c>
      <c r="D1237" s="2" t="s">
        <v>47</v>
      </c>
      <c r="E1237" s="3">
        <v>60</v>
      </c>
      <c r="F1237" s="3">
        <v>20</v>
      </c>
      <c r="G1237" s="4">
        <v>42964</v>
      </c>
      <c r="J1237" s="1">
        <v>4100</v>
      </c>
    </row>
    <row r="1238" spans="2:18" x14ac:dyDescent="0.15">
      <c r="C1238" s="2" t="s">
        <v>9</v>
      </c>
      <c r="D1238" s="2" t="s">
        <v>52</v>
      </c>
      <c r="E1238" s="3">
        <v>220</v>
      </c>
      <c r="F1238" s="3">
        <v>28</v>
      </c>
      <c r="G1238" s="4">
        <v>44357</v>
      </c>
      <c r="I1238" s="1">
        <v>1900</v>
      </c>
      <c r="J1238" s="1">
        <v>1900</v>
      </c>
    </row>
    <row r="1239" spans="2:18" x14ac:dyDescent="0.15">
      <c r="C1239" s="2" t="s">
        <v>8</v>
      </c>
      <c r="D1239" s="2" t="s">
        <v>52</v>
      </c>
      <c r="E1239" s="3">
        <v>125</v>
      </c>
      <c r="F1239" s="3">
        <v>18.75</v>
      </c>
      <c r="G1239" s="4">
        <v>44131</v>
      </c>
      <c r="I1239" s="1">
        <v>875</v>
      </c>
      <c r="J1239" s="1">
        <v>1900</v>
      </c>
    </row>
    <row r="1240" spans="2:18" x14ac:dyDescent="0.15">
      <c r="C1240" s="62" t="s">
        <v>7</v>
      </c>
      <c r="D1240" s="62" t="s">
        <v>2117</v>
      </c>
      <c r="E1240" s="3">
        <v>20</v>
      </c>
      <c r="F1240" s="3">
        <f>13/3</f>
        <v>4.333333333333333</v>
      </c>
      <c r="G1240" s="4">
        <v>42317</v>
      </c>
      <c r="J1240" s="1">
        <v>1600</v>
      </c>
    </row>
    <row r="1241" spans="2:18" x14ac:dyDescent="0.15">
      <c r="G1241" s="4"/>
    </row>
    <row r="1242" spans="2:18" x14ac:dyDescent="0.15">
      <c r="B1242" s="12" t="s">
        <v>1081</v>
      </c>
      <c r="C1242" s="13" t="s">
        <v>970</v>
      </c>
      <c r="D1242" s="13" t="s">
        <v>969</v>
      </c>
      <c r="E1242" s="15"/>
      <c r="F1242" s="15">
        <f>SUM(F1243:F1246)</f>
        <v>80.920454545454547</v>
      </c>
      <c r="G1242" s="14">
        <f>G1243</f>
        <v>45069</v>
      </c>
    </row>
    <row r="1243" spans="2:18" x14ac:dyDescent="0.15">
      <c r="C1243" s="2" t="s">
        <v>18</v>
      </c>
      <c r="D1243" s="2" t="s">
        <v>965</v>
      </c>
      <c r="E1243" s="3">
        <v>450</v>
      </c>
      <c r="F1243" s="3">
        <f>300/5</f>
        <v>60</v>
      </c>
      <c r="G1243" s="4">
        <v>45069</v>
      </c>
    </row>
    <row r="1244" spans="2:18" x14ac:dyDescent="0.15">
      <c r="C1244" s="2" t="s">
        <v>18</v>
      </c>
      <c r="D1244" s="2" t="s">
        <v>693</v>
      </c>
      <c r="E1244" s="3">
        <v>125</v>
      </c>
      <c r="F1244" s="3">
        <f>75/8</f>
        <v>9.375</v>
      </c>
      <c r="G1244" s="4">
        <v>44663</v>
      </c>
    </row>
    <row r="1245" spans="2:18" x14ac:dyDescent="0.15">
      <c r="C1245" s="2" t="s">
        <v>8</v>
      </c>
      <c r="D1245" s="2" t="s">
        <v>449</v>
      </c>
      <c r="E1245" s="3">
        <v>90</v>
      </c>
      <c r="F1245" s="3">
        <f>50/11</f>
        <v>4.5454545454545459</v>
      </c>
      <c r="G1245" s="4">
        <v>44776</v>
      </c>
    </row>
    <row r="1246" spans="2:18" x14ac:dyDescent="0.15">
      <c r="C1246" s="100" t="s">
        <v>18</v>
      </c>
      <c r="D1246" s="100" t="s">
        <v>2095</v>
      </c>
      <c r="E1246" s="3">
        <v>80</v>
      </c>
      <c r="F1246" s="3">
        <f>70/10</f>
        <v>7</v>
      </c>
      <c r="G1246" s="4">
        <v>44637</v>
      </c>
    </row>
    <row r="1247" spans="2:18" x14ac:dyDescent="0.15">
      <c r="G1247" s="4"/>
    </row>
    <row r="1248" spans="2:18" s="12" customFormat="1" x14ac:dyDescent="0.15">
      <c r="B1248" s="12" t="s">
        <v>496</v>
      </c>
      <c r="C1248" s="13" t="s">
        <v>970</v>
      </c>
      <c r="D1248" s="13" t="s">
        <v>969</v>
      </c>
      <c r="E1248" s="15"/>
      <c r="F1248" s="15">
        <f>SUM(F1249:F1252)</f>
        <v>78.5</v>
      </c>
      <c r="G1248" s="14">
        <f>G1252</f>
        <v>44557</v>
      </c>
    </row>
    <row r="1249" spans="2:18" x14ac:dyDescent="0.15">
      <c r="C1249" s="2" t="s">
        <v>9</v>
      </c>
      <c r="D1249" s="2" t="s">
        <v>490</v>
      </c>
      <c r="E1249" s="3">
        <v>206</v>
      </c>
      <c r="F1249" s="3">
        <v>14</v>
      </c>
      <c r="G1249" s="4">
        <v>43725</v>
      </c>
      <c r="M1249" s="1"/>
      <c r="N1249" s="1"/>
      <c r="O1249" s="1"/>
      <c r="P1249" s="1"/>
      <c r="Q1249" s="1"/>
      <c r="R1249" s="1"/>
    </row>
    <row r="1250" spans="2:18" x14ac:dyDescent="0.15">
      <c r="C1250" s="2" t="s">
        <v>9</v>
      </c>
      <c r="D1250" s="2" t="s">
        <v>47</v>
      </c>
      <c r="E1250" s="3">
        <v>248</v>
      </c>
      <c r="F1250" s="3">
        <f>150/4</f>
        <v>37.5</v>
      </c>
      <c r="G1250" s="4">
        <v>43678</v>
      </c>
      <c r="I1250" s="1">
        <v>1700</v>
      </c>
      <c r="J1250" s="1">
        <v>4100</v>
      </c>
      <c r="M1250" s="1"/>
      <c r="N1250" s="1"/>
      <c r="O1250" s="1"/>
      <c r="P1250" s="1"/>
      <c r="Q1250" s="1"/>
      <c r="R1250" s="1"/>
    </row>
    <row r="1251" spans="2:18" x14ac:dyDescent="0.15">
      <c r="C1251" s="2" t="s">
        <v>18</v>
      </c>
      <c r="D1251" s="2" t="s">
        <v>47</v>
      </c>
      <c r="E1251" s="3">
        <v>50</v>
      </c>
      <c r="F1251" s="3">
        <v>15</v>
      </c>
      <c r="G1251" s="4">
        <v>42509</v>
      </c>
      <c r="J1251" s="1">
        <v>4100</v>
      </c>
      <c r="M1251" s="1"/>
      <c r="N1251" s="1"/>
      <c r="O1251" s="1"/>
      <c r="P1251" s="1"/>
      <c r="Q1251" s="1"/>
      <c r="R1251" s="1"/>
    </row>
    <row r="1252" spans="2:18" x14ac:dyDescent="0.15">
      <c r="C1252" s="2" t="s">
        <v>18</v>
      </c>
      <c r="D1252" s="2" t="s">
        <v>2134</v>
      </c>
      <c r="E1252" s="3">
        <v>200</v>
      </c>
      <c r="F1252" s="3">
        <v>12</v>
      </c>
      <c r="G1252" s="4">
        <v>44557</v>
      </c>
      <c r="I1252" s="1">
        <v>1300</v>
      </c>
      <c r="J1252" s="1">
        <v>1300</v>
      </c>
      <c r="M1252" s="1"/>
      <c r="N1252" s="1"/>
      <c r="O1252" s="1"/>
      <c r="P1252" s="1"/>
      <c r="Q1252" s="1"/>
      <c r="R1252" s="1"/>
    </row>
    <row r="1253" spans="2:18" x14ac:dyDescent="0.15">
      <c r="G1253" s="4"/>
      <c r="M1253" s="1"/>
      <c r="N1253" s="1"/>
      <c r="O1253" s="1"/>
      <c r="P1253" s="1"/>
      <c r="Q1253" s="1"/>
      <c r="R1253" s="1"/>
    </row>
    <row r="1254" spans="2:18" s="12" customFormat="1" x14ac:dyDescent="0.15">
      <c r="B1254" s="12" t="s">
        <v>246</v>
      </c>
      <c r="C1254" s="13" t="s">
        <v>970</v>
      </c>
      <c r="D1254" s="13" t="s">
        <v>969</v>
      </c>
      <c r="E1254" s="15"/>
      <c r="F1254" s="15">
        <f>SUM(F1255:F1258)</f>
        <v>79</v>
      </c>
      <c r="G1254" s="14">
        <f>G1257</f>
        <v>42735</v>
      </c>
      <c r="M1254" s="13"/>
      <c r="N1254" s="13"/>
      <c r="O1254" s="13"/>
      <c r="P1254" s="13"/>
      <c r="Q1254" s="13"/>
      <c r="R1254" s="13"/>
    </row>
    <row r="1255" spans="2:18" x14ac:dyDescent="0.15">
      <c r="C1255" s="2" t="s">
        <v>7</v>
      </c>
      <c r="D1255" s="2" t="s">
        <v>245</v>
      </c>
      <c r="E1255" s="3">
        <v>100</v>
      </c>
      <c r="F1255" s="3">
        <v>25</v>
      </c>
      <c r="G1255" s="4">
        <v>42576</v>
      </c>
    </row>
    <row r="1256" spans="2:18" x14ac:dyDescent="0.15">
      <c r="C1256" s="2" t="s">
        <v>5</v>
      </c>
      <c r="D1256" s="2" t="s">
        <v>245</v>
      </c>
      <c r="E1256" s="3">
        <v>20</v>
      </c>
      <c r="F1256" s="3">
        <v>20</v>
      </c>
      <c r="G1256" s="4">
        <v>42339</v>
      </c>
    </row>
    <row r="1257" spans="2:18" x14ac:dyDescent="0.15">
      <c r="C1257" s="2" t="s">
        <v>18</v>
      </c>
      <c r="D1257" s="2" t="s">
        <v>232</v>
      </c>
      <c r="E1257" s="3">
        <v>100</v>
      </c>
      <c r="F1257" s="3">
        <v>20</v>
      </c>
      <c r="G1257" s="4">
        <v>42735</v>
      </c>
    </row>
    <row r="1258" spans="2:18" x14ac:dyDescent="0.15">
      <c r="C1258" s="2" t="s">
        <v>7</v>
      </c>
      <c r="D1258" s="2" t="s">
        <v>232</v>
      </c>
      <c r="E1258" s="3">
        <v>22</v>
      </c>
      <c r="F1258" s="3">
        <v>14</v>
      </c>
      <c r="G1258" s="4">
        <v>41821</v>
      </c>
    </row>
    <row r="1259" spans="2:18" x14ac:dyDescent="0.15">
      <c r="G1259" s="4"/>
    </row>
    <row r="1260" spans="2:18" s="12" customFormat="1" x14ac:dyDescent="0.15">
      <c r="B1260" s="12" t="s">
        <v>1077</v>
      </c>
      <c r="C1260" s="13" t="s">
        <v>970</v>
      </c>
      <c r="D1260" s="13" t="s">
        <v>969</v>
      </c>
      <c r="E1260" s="15"/>
      <c r="F1260" s="15">
        <f>SUM(F1261:F1268)</f>
        <v>81.099999999999994</v>
      </c>
      <c r="G1260" s="14">
        <f>G1262</f>
        <v>44880</v>
      </c>
    </row>
    <row r="1261" spans="2:18" x14ac:dyDescent="0.15">
      <c r="C1261" s="2" t="s">
        <v>5</v>
      </c>
      <c r="D1261" s="2" t="s">
        <v>466</v>
      </c>
      <c r="E1261" s="3">
        <v>15.5</v>
      </c>
      <c r="F1261" s="3">
        <v>3</v>
      </c>
      <c r="G1261" s="4">
        <v>44727</v>
      </c>
      <c r="M1261" s="1"/>
      <c r="N1261" s="1"/>
      <c r="O1261" s="1"/>
      <c r="P1261" s="1"/>
      <c r="Q1261" s="1"/>
      <c r="R1261" s="1"/>
    </row>
    <row r="1262" spans="2:18" x14ac:dyDescent="0.15">
      <c r="C1262" s="2" t="s">
        <v>8</v>
      </c>
      <c r="D1262" s="2" t="s">
        <v>131</v>
      </c>
      <c r="E1262" s="3">
        <v>135</v>
      </c>
      <c r="F1262" s="3">
        <v>8</v>
      </c>
      <c r="G1262" s="4">
        <v>44880</v>
      </c>
      <c r="M1262" s="1"/>
      <c r="N1262" s="1"/>
      <c r="O1262" s="1"/>
      <c r="P1262" s="1"/>
      <c r="Q1262" s="1"/>
      <c r="R1262" s="1"/>
    </row>
    <row r="1263" spans="2:18" x14ac:dyDescent="0.15">
      <c r="C1263" s="2" t="s">
        <v>18</v>
      </c>
      <c r="D1263" s="2" t="s">
        <v>131</v>
      </c>
      <c r="E1263" s="3">
        <v>31.7</v>
      </c>
      <c r="F1263" s="3">
        <v>7</v>
      </c>
      <c r="G1263" s="4">
        <v>43599</v>
      </c>
      <c r="M1263" s="1"/>
      <c r="N1263" s="1"/>
      <c r="O1263" s="1"/>
      <c r="P1263" s="1"/>
      <c r="Q1263" s="1"/>
      <c r="R1263" s="1"/>
    </row>
    <row r="1264" spans="2:18" x14ac:dyDescent="0.15">
      <c r="C1264" s="2" t="s">
        <v>7</v>
      </c>
      <c r="D1264" s="2" t="s">
        <v>131</v>
      </c>
      <c r="E1264" s="3">
        <v>32</v>
      </c>
      <c r="F1264" s="3">
        <f>20/4</f>
        <v>5</v>
      </c>
      <c r="G1264" s="4">
        <v>42528</v>
      </c>
      <c r="M1264" s="1"/>
      <c r="N1264" s="1"/>
      <c r="O1264" s="1"/>
      <c r="P1264" s="1"/>
      <c r="Q1264" s="1"/>
      <c r="R1264" s="1"/>
    </row>
    <row r="1265" spans="2:18" x14ac:dyDescent="0.15">
      <c r="C1265" s="2" t="s">
        <v>18</v>
      </c>
      <c r="D1265" s="2" t="s">
        <v>192</v>
      </c>
      <c r="E1265" s="3">
        <v>235</v>
      </c>
      <c r="F1265" s="3">
        <f>85/2</f>
        <v>42.5</v>
      </c>
      <c r="G1265" s="4">
        <v>44384</v>
      </c>
      <c r="M1265" s="1"/>
      <c r="N1265" s="1"/>
      <c r="O1265" s="1"/>
      <c r="P1265" s="1"/>
      <c r="Q1265" s="1"/>
      <c r="R1265" s="1"/>
    </row>
    <row r="1266" spans="2:18" x14ac:dyDescent="0.15">
      <c r="C1266" s="2" t="s">
        <v>7</v>
      </c>
      <c r="D1266" s="2" t="s">
        <v>192</v>
      </c>
      <c r="E1266" s="3">
        <f>43</f>
        <v>43</v>
      </c>
      <c r="F1266" s="3">
        <f>E1266/5</f>
        <v>8.6</v>
      </c>
      <c r="G1266" s="4">
        <v>44077</v>
      </c>
      <c r="M1266" s="1"/>
      <c r="N1266" s="1"/>
      <c r="O1266" s="1"/>
      <c r="P1266" s="1"/>
      <c r="Q1266" s="1"/>
      <c r="R1266" s="1"/>
    </row>
    <row r="1267" spans="2:18" x14ac:dyDescent="0.15">
      <c r="C1267" s="2" t="s">
        <v>5</v>
      </c>
      <c r="D1267" s="2" t="s">
        <v>192</v>
      </c>
      <c r="E1267" s="3">
        <v>15</v>
      </c>
      <c r="F1267" s="3">
        <v>5</v>
      </c>
      <c r="G1267" s="4">
        <v>43479</v>
      </c>
      <c r="M1267" s="1"/>
      <c r="N1267" s="1"/>
      <c r="O1267" s="1"/>
      <c r="P1267" s="1"/>
      <c r="Q1267" s="1"/>
      <c r="R1267" s="1"/>
    </row>
    <row r="1268" spans="2:18" x14ac:dyDescent="0.15">
      <c r="C1268" s="261" t="s">
        <v>5</v>
      </c>
      <c r="D1268" s="261" t="s">
        <v>7502</v>
      </c>
      <c r="E1268" s="3">
        <v>10</v>
      </c>
      <c r="F1268" s="3">
        <v>2</v>
      </c>
      <c r="G1268" s="4">
        <v>44384</v>
      </c>
      <c r="M1268" s="1"/>
      <c r="N1268" s="1"/>
      <c r="O1268" s="1"/>
      <c r="P1268" s="1"/>
      <c r="Q1268" s="1"/>
      <c r="R1268" s="1"/>
    </row>
    <row r="1269" spans="2:18" x14ac:dyDescent="0.15">
      <c r="G1269" s="4"/>
      <c r="M1269" s="1"/>
      <c r="N1269" s="1"/>
      <c r="O1269" s="1"/>
      <c r="P1269" s="1"/>
      <c r="Q1269" s="1"/>
      <c r="R1269" s="1"/>
    </row>
    <row r="1270" spans="2:18" s="12" customFormat="1" x14ac:dyDescent="0.15">
      <c r="B1270" s="12" t="s">
        <v>312</v>
      </c>
      <c r="C1270" s="13" t="s">
        <v>970</v>
      </c>
      <c r="D1270" s="13" t="s">
        <v>969</v>
      </c>
      <c r="E1270" s="15"/>
      <c r="F1270" s="15">
        <f>SUM(F1271:F1272)</f>
        <v>79</v>
      </c>
      <c r="G1270" s="14">
        <f>G1271</f>
        <v>45091</v>
      </c>
    </row>
    <row r="1271" spans="2:18" x14ac:dyDescent="0.15">
      <c r="C1271" s="2" t="s">
        <v>8</v>
      </c>
      <c r="D1271" s="2" t="s">
        <v>310</v>
      </c>
      <c r="E1271" s="3">
        <v>69</v>
      </c>
      <c r="F1271" s="3">
        <v>19</v>
      </c>
      <c r="G1271" s="4">
        <v>45091</v>
      </c>
      <c r="M1271" s="1"/>
      <c r="N1271" s="1"/>
      <c r="O1271" s="1"/>
      <c r="P1271" s="1"/>
      <c r="Q1271" s="1"/>
      <c r="R1271" s="1"/>
    </row>
    <row r="1272" spans="2:18" x14ac:dyDescent="0.15">
      <c r="C1272" s="2" t="s">
        <v>9</v>
      </c>
      <c r="D1272" s="2" t="s">
        <v>3</v>
      </c>
      <c r="E1272" s="3">
        <v>60</v>
      </c>
      <c r="F1272" s="3">
        <v>60</v>
      </c>
      <c r="G1272" s="4">
        <v>44908</v>
      </c>
      <c r="I1272" s="1">
        <v>2200</v>
      </c>
      <c r="J1272" s="1">
        <v>2200</v>
      </c>
      <c r="M1272" s="1"/>
      <c r="N1272" s="1"/>
      <c r="O1272" s="1"/>
      <c r="P1272" s="1"/>
      <c r="Q1272" s="1"/>
      <c r="R1272" s="1"/>
    </row>
    <row r="1273" spans="2:18" x14ac:dyDescent="0.15">
      <c r="G1273" s="4"/>
      <c r="M1273" s="1"/>
      <c r="N1273" s="1"/>
      <c r="O1273" s="1"/>
      <c r="P1273" s="1"/>
      <c r="Q1273" s="1"/>
      <c r="R1273" s="1"/>
    </row>
    <row r="1274" spans="2:18" x14ac:dyDescent="0.15">
      <c r="B1274" s="12" t="s">
        <v>1076</v>
      </c>
      <c r="C1274" s="13" t="s">
        <v>970</v>
      </c>
      <c r="D1274" s="13" t="s">
        <v>969</v>
      </c>
      <c r="E1274" s="15"/>
      <c r="F1274" s="15">
        <f>SUM(F1275:F1284)</f>
        <v>78.304761904761889</v>
      </c>
      <c r="G1274" s="14">
        <f>G1277</f>
        <v>44796</v>
      </c>
    </row>
    <row r="1275" spans="2:18" x14ac:dyDescent="0.15">
      <c r="C1275" s="2" t="s">
        <v>7</v>
      </c>
      <c r="D1275" s="2" t="s">
        <v>953</v>
      </c>
      <c r="E1275" s="3">
        <v>130</v>
      </c>
      <c r="F1275" s="3">
        <f>70/3</f>
        <v>23.333333333333332</v>
      </c>
      <c r="G1275" s="4">
        <v>44607</v>
      </c>
    </row>
    <row r="1276" spans="2:18" x14ac:dyDescent="0.15">
      <c r="C1276" s="2" t="s">
        <v>5</v>
      </c>
      <c r="D1276" s="2" t="s">
        <v>953</v>
      </c>
      <c r="E1276" s="3">
        <v>40</v>
      </c>
      <c r="F1276" s="3">
        <v>10</v>
      </c>
      <c r="G1276" s="4">
        <v>44446</v>
      </c>
    </row>
    <row r="1277" spans="2:18" x14ac:dyDescent="0.15">
      <c r="C1277" s="2" t="s">
        <v>5</v>
      </c>
      <c r="D1277" s="2" t="s">
        <v>702</v>
      </c>
      <c r="E1277" s="3">
        <v>50</v>
      </c>
      <c r="F1277" s="3">
        <v>10</v>
      </c>
      <c r="G1277" s="4">
        <v>44796</v>
      </c>
    </row>
    <row r="1278" spans="2:18" x14ac:dyDescent="0.15">
      <c r="C1278" s="2" t="s">
        <v>5</v>
      </c>
      <c r="D1278" s="2" t="s">
        <v>731</v>
      </c>
      <c r="E1278" s="3">
        <v>25</v>
      </c>
      <c r="F1278" s="3">
        <f>18/7</f>
        <v>2.5714285714285716</v>
      </c>
      <c r="G1278" s="4">
        <v>44757</v>
      </c>
    </row>
    <row r="1279" spans="2:18" x14ac:dyDescent="0.15">
      <c r="C1279" s="2" t="s">
        <v>4</v>
      </c>
      <c r="D1279" s="2" t="s">
        <v>731</v>
      </c>
      <c r="E1279" s="3">
        <v>4</v>
      </c>
      <c r="F1279" s="3">
        <v>0.5</v>
      </c>
      <c r="G1279" s="4">
        <v>44340</v>
      </c>
    </row>
    <row r="1280" spans="2:18" x14ac:dyDescent="0.15">
      <c r="C1280" s="2" t="s">
        <v>4</v>
      </c>
      <c r="D1280" s="2" t="s">
        <v>731</v>
      </c>
      <c r="E1280" s="3">
        <v>1.5</v>
      </c>
      <c r="F1280" s="3">
        <v>0.5</v>
      </c>
      <c r="G1280" s="4">
        <v>43979</v>
      </c>
    </row>
    <row r="1281" spans="2:18" x14ac:dyDescent="0.15">
      <c r="C1281" s="2" t="s">
        <v>7</v>
      </c>
      <c r="D1281" s="2" t="s">
        <v>310</v>
      </c>
      <c r="E1281" s="3">
        <v>40</v>
      </c>
      <c r="F1281" s="3">
        <f>32/8</f>
        <v>4</v>
      </c>
      <c r="G1281" s="4">
        <v>43419</v>
      </c>
    </row>
    <row r="1282" spans="2:18" x14ac:dyDescent="0.15">
      <c r="C1282" s="2" t="s">
        <v>18</v>
      </c>
      <c r="D1282" s="2" t="s">
        <v>1057</v>
      </c>
      <c r="E1282" s="3">
        <v>40</v>
      </c>
      <c r="F1282" s="3">
        <f>20/3</f>
        <v>6.666666666666667</v>
      </c>
      <c r="G1282" s="4">
        <v>44599</v>
      </c>
    </row>
    <row r="1283" spans="2:18" x14ac:dyDescent="0.15">
      <c r="C1283" s="2" t="s">
        <v>7</v>
      </c>
      <c r="D1283" s="2" t="s">
        <v>1057</v>
      </c>
      <c r="E1283" s="3">
        <v>28</v>
      </c>
      <c r="F1283" s="3">
        <v>10</v>
      </c>
      <c r="G1283" s="4">
        <v>44377</v>
      </c>
    </row>
    <row r="1284" spans="2:18" x14ac:dyDescent="0.15">
      <c r="C1284" s="149" t="s">
        <v>7</v>
      </c>
      <c r="D1284" s="149" t="s">
        <v>6332</v>
      </c>
      <c r="E1284" s="3">
        <v>52.2</v>
      </c>
      <c r="F1284" s="3">
        <f>32.2/3</f>
        <v>10.733333333333334</v>
      </c>
      <c r="G1284" s="4">
        <v>44476</v>
      </c>
    </row>
    <row r="1285" spans="2:18" x14ac:dyDescent="0.15">
      <c r="G1285" s="4"/>
    </row>
    <row r="1286" spans="2:18" s="12" customFormat="1" x14ac:dyDescent="0.15">
      <c r="B1286" s="12" t="s">
        <v>1080</v>
      </c>
      <c r="C1286" s="13" t="s">
        <v>970</v>
      </c>
      <c r="D1286" s="13" t="s">
        <v>969</v>
      </c>
      <c r="E1286" s="15"/>
      <c r="F1286" s="15">
        <f>SUM(F1287:F1296)</f>
        <v>77.5</v>
      </c>
      <c r="G1286" s="14">
        <f>G1289</f>
        <v>44578</v>
      </c>
      <c r="M1286" s="13"/>
      <c r="N1286" s="13"/>
      <c r="O1286" s="13"/>
      <c r="P1286" s="13"/>
      <c r="Q1286" s="13"/>
      <c r="R1286" s="13"/>
    </row>
    <row r="1287" spans="2:18" x14ac:dyDescent="0.15">
      <c r="B1287" s="273" t="s">
        <v>7704</v>
      </c>
      <c r="C1287" s="2" t="s">
        <v>5</v>
      </c>
      <c r="D1287" s="2" t="s">
        <v>874</v>
      </c>
      <c r="E1287" s="3">
        <v>30</v>
      </c>
      <c r="F1287" s="3">
        <v>4</v>
      </c>
      <c r="G1287" s="4">
        <v>44522</v>
      </c>
    </row>
    <row r="1288" spans="2:18" x14ac:dyDescent="0.15">
      <c r="C1288" s="2" t="s">
        <v>4</v>
      </c>
      <c r="D1288" s="2" t="s">
        <v>874</v>
      </c>
      <c r="E1288" s="3">
        <v>5.5</v>
      </c>
      <c r="F1288" s="3">
        <v>3.5</v>
      </c>
      <c r="G1288" s="4">
        <v>44096</v>
      </c>
    </row>
    <row r="1289" spans="2:18" x14ac:dyDescent="0.15">
      <c r="C1289" s="2" t="s">
        <v>5</v>
      </c>
      <c r="D1289" s="2" t="s">
        <v>820</v>
      </c>
      <c r="E1289" s="3">
        <v>20</v>
      </c>
      <c r="F1289" s="3">
        <v>2</v>
      </c>
      <c r="G1289" s="4">
        <v>44578</v>
      </c>
    </row>
    <row r="1290" spans="2:18" x14ac:dyDescent="0.15">
      <c r="C1290" s="2" t="s">
        <v>9</v>
      </c>
      <c r="D1290" s="2" t="s">
        <v>607</v>
      </c>
      <c r="E1290" s="3">
        <v>132</v>
      </c>
      <c r="F1290" s="3">
        <v>20</v>
      </c>
      <c r="G1290" s="4">
        <v>44215</v>
      </c>
    </row>
    <row r="1291" spans="2:18" x14ac:dyDescent="0.15">
      <c r="C1291" s="2" t="s">
        <v>18</v>
      </c>
      <c r="D1291" s="2" t="s">
        <v>521</v>
      </c>
      <c r="E1291" s="3">
        <v>60</v>
      </c>
      <c r="F1291" s="3">
        <v>5</v>
      </c>
      <c r="G1291" s="4">
        <v>43606</v>
      </c>
    </row>
    <row r="1292" spans="2:18" x14ac:dyDescent="0.15">
      <c r="C1292" s="2" t="s">
        <v>7</v>
      </c>
      <c r="D1292" s="2" t="s">
        <v>521</v>
      </c>
      <c r="E1292" s="3">
        <v>30</v>
      </c>
      <c r="F1292" s="3">
        <v>5</v>
      </c>
      <c r="G1292" s="4">
        <v>43396</v>
      </c>
    </row>
    <row r="1293" spans="2:18" x14ac:dyDescent="0.15">
      <c r="C1293" s="2" t="s">
        <v>7</v>
      </c>
      <c r="D1293" s="2" t="s">
        <v>197</v>
      </c>
      <c r="E1293" s="3">
        <v>21</v>
      </c>
      <c r="F1293" s="3">
        <v>21</v>
      </c>
      <c r="G1293" s="4">
        <v>43140</v>
      </c>
    </row>
    <row r="1294" spans="2:18" x14ac:dyDescent="0.15">
      <c r="C1294" s="2" t="s">
        <v>7</v>
      </c>
      <c r="D1294" s="2" t="s">
        <v>197</v>
      </c>
      <c r="E1294" s="3">
        <v>11</v>
      </c>
      <c r="F1294" s="3">
        <v>11</v>
      </c>
      <c r="G1294" s="4">
        <v>43025</v>
      </c>
    </row>
    <row r="1295" spans="2:18" x14ac:dyDescent="0.15">
      <c r="C1295" s="169" t="s">
        <v>7</v>
      </c>
      <c r="D1295" s="169" t="s">
        <v>2051</v>
      </c>
      <c r="E1295" s="3">
        <v>50</v>
      </c>
      <c r="F1295" s="3">
        <v>4</v>
      </c>
      <c r="G1295" s="4">
        <v>44252</v>
      </c>
    </row>
    <row r="1296" spans="2:18" x14ac:dyDescent="0.15">
      <c r="C1296" s="169" t="s">
        <v>5</v>
      </c>
      <c r="D1296" s="169" t="s">
        <v>6459</v>
      </c>
      <c r="E1296" s="3">
        <v>8</v>
      </c>
      <c r="F1296" s="3">
        <v>2</v>
      </c>
      <c r="G1296" s="4">
        <v>44179</v>
      </c>
    </row>
    <row r="1297" spans="2:18" x14ac:dyDescent="0.15">
      <c r="G1297" s="4"/>
    </row>
    <row r="1298" spans="2:18" s="12" customFormat="1" x14ac:dyDescent="0.15">
      <c r="B1298" s="12" t="s">
        <v>6754</v>
      </c>
      <c r="C1298" s="13" t="s">
        <v>970</v>
      </c>
      <c r="D1298" s="13" t="s">
        <v>969</v>
      </c>
      <c r="E1298" s="15"/>
      <c r="F1298" s="15">
        <f>SUM(F1299:F1300)</f>
        <v>76.666666666666671</v>
      </c>
      <c r="G1298" s="14">
        <f>G1299</f>
        <v>44502</v>
      </c>
      <c r="M1298" s="13"/>
      <c r="N1298" s="13"/>
      <c r="O1298" s="13"/>
      <c r="P1298" s="13"/>
      <c r="Q1298" s="13"/>
      <c r="R1298" s="13"/>
    </row>
    <row r="1299" spans="2:18" x14ac:dyDescent="0.15">
      <c r="B1299" s="192"/>
      <c r="C1299" s="2" t="s">
        <v>8</v>
      </c>
      <c r="D1299" s="2" t="s">
        <v>15</v>
      </c>
      <c r="E1299" s="3">
        <v>220</v>
      </c>
      <c r="F1299" s="3">
        <v>50</v>
      </c>
      <c r="G1299" s="4">
        <v>44502</v>
      </c>
      <c r="I1299" s="1">
        <v>794</v>
      </c>
      <c r="J1299" s="1">
        <v>794</v>
      </c>
    </row>
    <row r="1300" spans="2:18" x14ac:dyDescent="0.15">
      <c r="C1300" s="2" t="s">
        <v>8</v>
      </c>
      <c r="D1300" s="2" t="s">
        <v>15</v>
      </c>
      <c r="E1300" s="3">
        <v>220</v>
      </c>
      <c r="F1300" s="3">
        <v>26.666666666666668</v>
      </c>
      <c r="G1300" s="4">
        <v>44322</v>
      </c>
      <c r="I1300" s="1">
        <v>780</v>
      </c>
      <c r="J1300" s="1">
        <v>780</v>
      </c>
    </row>
    <row r="1301" spans="2:18" x14ac:dyDescent="0.15">
      <c r="G1301" s="4"/>
    </row>
    <row r="1302" spans="2:18" s="12" customFormat="1" x14ac:dyDescent="0.15">
      <c r="B1302" s="12" t="s">
        <v>1083</v>
      </c>
      <c r="C1302" s="13" t="s">
        <v>970</v>
      </c>
      <c r="D1302" s="13" t="s">
        <v>969</v>
      </c>
      <c r="E1302" s="15"/>
      <c r="F1302" s="15">
        <f>SUM(F1303:F1309)</f>
        <v>76.36</v>
      </c>
      <c r="G1302" s="14">
        <f>G1305</f>
        <v>45077</v>
      </c>
      <c r="M1302" s="13"/>
      <c r="N1302" s="13"/>
      <c r="O1302" s="13"/>
      <c r="P1302" s="13"/>
      <c r="Q1302" s="13"/>
      <c r="R1302" s="13"/>
    </row>
    <row r="1303" spans="2:18" x14ac:dyDescent="0.15">
      <c r="B1303" s="273" t="s">
        <v>7704</v>
      </c>
      <c r="C1303" s="2" t="s">
        <v>18</v>
      </c>
      <c r="D1303" s="2" t="s">
        <v>963</v>
      </c>
      <c r="E1303" s="3">
        <v>135</v>
      </c>
      <c r="F1303" s="3">
        <v>42.5</v>
      </c>
      <c r="G1303" s="4">
        <v>44482</v>
      </c>
    </row>
    <row r="1304" spans="2:18" x14ac:dyDescent="0.15">
      <c r="C1304" s="2" t="s">
        <v>18</v>
      </c>
      <c r="D1304" s="2" t="s">
        <v>958</v>
      </c>
      <c r="E1304" s="3">
        <v>50</v>
      </c>
      <c r="F1304" s="3">
        <v>20</v>
      </c>
      <c r="G1304" s="4">
        <v>44900</v>
      </c>
    </row>
    <row r="1305" spans="2:18" x14ac:dyDescent="0.15">
      <c r="C1305" s="2" t="s">
        <v>5</v>
      </c>
      <c r="D1305" s="2" t="s">
        <v>690</v>
      </c>
      <c r="E1305" s="3">
        <v>28.5</v>
      </c>
      <c r="F1305" s="3">
        <v>6</v>
      </c>
      <c r="G1305" s="4">
        <v>45077</v>
      </c>
    </row>
    <row r="1306" spans="2:18" x14ac:dyDescent="0.15">
      <c r="C1306" s="2" t="s">
        <v>7</v>
      </c>
      <c r="D1306" s="2" t="s">
        <v>417</v>
      </c>
      <c r="E1306" s="3">
        <v>16</v>
      </c>
      <c r="F1306" s="3">
        <v>4</v>
      </c>
      <c r="G1306" s="4">
        <v>42995</v>
      </c>
    </row>
    <row r="1307" spans="2:18" x14ac:dyDescent="0.15">
      <c r="C1307" s="2" t="s">
        <v>5</v>
      </c>
      <c r="D1307" s="2" t="s">
        <v>417</v>
      </c>
      <c r="E1307" s="3">
        <v>8</v>
      </c>
      <c r="F1307" s="3">
        <v>2</v>
      </c>
      <c r="G1307" s="4">
        <v>42416</v>
      </c>
    </row>
    <row r="1308" spans="2:18" x14ac:dyDescent="0.15">
      <c r="C1308" s="169" t="s">
        <v>5</v>
      </c>
      <c r="D1308" s="169" t="s">
        <v>2044</v>
      </c>
      <c r="E1308" s="3">
        <v>18</v>
      </c>
      <c r="F1308" s="3">
        <v>1</v>
      </c>
      <c r="G1308" s="4">
        <v>43445</v>
      </c>
    </row>
    <row r="1309" spans="2:18" x14ac:dyDescent="0.15">
      <c r="C1309" s="169" t="s">
        <v>4</v>
      </c>
      <c r="D1309" s="169" t="s">
        <v>2044</v>
      </c>
      <c r="E1309" s="3">
        <v>4.3</v>
      </c>
      <c r="F1309" s="3">
        <f>E1309/5</f>
        <v>0.86</v>
      </c>
      <c r="G1309" s="4">
        <v>43157</v>
      </c>
    </row>
    <row r="1310" spans="2:18" x14ac:dyDescent="0.15">
      <c r="G1310" s="4"/>
    </row>
    <row r="1311" spans="2:18" s="12" customFormat="1" x14ac:dyDescent="0.15">
      <c r="B1311" s="12" t="s">
        <v>6866</v>
      </c>
      <c r="C1311" s="13" t="s">
        <v>970</v>
      </c>
      <c r="D1311" s="13" t="s">
        <v>969</v>
      </c>
      <c r="E1311" s="15"/>
      <c r="F1311" s="15">
        <f>SUM(F1312:F1318)</f>
        <v>74.904761904761898</v>
      </c>
      <c r="G1311" s="14">
        <f>G1315</f>
        <v>44565</v>
      </c>
    </row>
    <row r="1312" spans="2:18" x14ac:dyDescent="0.15">
      <c r="C1312" s="2" t="s">
        <v>8</v>
      </c>
      <c r="D1312" s="2" t="s">
        <v>386</v>
      </c>
      <c r="E1312" s="3">
        <v>140</v>
      </c>
      <c r="F1312" s="3">
        <v>10</v>
      </c>
      <c r="G1312" s="4">
        <v>44286</v>
      </c>
      <c r="M1312" s="1"/>
      <c r="N1312" s="1"/>
      <c r="O1312" s="1"/>
      <c r="P1312" s="1"/>
      <c r="Q1312" s="1"/>
      <c r="R1312" s="1"/>
    </row>
    <row r="1313" spans="2:18" x14ac:dyDescent="0.15">
      <c r="C1313" s="2" t="s">
        <v>18</v>
      </c>
      <c r="D1313" s="2" t="s">
        <v>292</v>
      </c>
      <c r="E1313" s="3">
        <v>38</v>
      </c>
      <c r="F1313" s="3">
        <v>3</v>
      </c>
      <c r="G1313" s="4">
        <v>43104</v>
      </c>
      <c r="M1313" s="1"/>
      <c r="N1313" s="1"/>
      <c r="O1313" s="1"/>
      <c r="P1313" s="1"/>
      <c r="Q1313" s="1"/>
      <c r="R1313" s="1"/>
    </row>
    <row r="1314" spans="2:18" x14ac:dyDescent="0.15">
      <c r="C1314" s="2" t="s">
        <v>18</v>
      </c>
      <c r="D1314" s="2" t="s">
        <v>211</v>
      </c>
      <c r="E1314" s="3">
        <v>230</v>
      </c>
      <c r="F1314" s="3">
        <f>E1314/6</f>
        <v>38.333333333333336</v>
      </c>
      <c r="G1314" s="4">
        <v>43923</v>
      </c>
      <c r="M1314" s="1"/>
      <c r="N1314" s="1"/>
      <c r="O1314" s="1"/>
      <c r="P1314" s="1"/>
      <c r="Q1314" s="1"/>
      <c r="R1314" s="1"/>
    </row>
    <row r="1315" spans="2:18" x14ac:dyDescent="0.15">
      <c r="C1315" s="2" t="s">
        <v>18</v>
      </c>
      <c r="D1315" s="2" t="s">
        <v>131</v>
      </c>
      <c r="E1315" s="3">
        <v>73</v>
      </c>
      <c r="F1315" s="3">
        <f>53/7</f>
        <v>7.5714285714285712</v>
      </c>
      <c r="G1315" s="4">
        <v>44565</v>
      </c>
      <c r="J1315" s="1">
        <v>615</v>
      </c>
      <c r="M1315" s="1"/>
      <c r="N1315" s="1"/>
      <c r="O1315" s="1"/>
      <c r="P1315" s="1"/>
      <c r="Q1315" s="1"/>
      <c r="R1315" s="1"/>
    </row>
    <row r="1316" spans="2:18" x14ac:dyDescent="0.15">
      <c r="C1316" s="2" t="s">
        <v>18</v>
      </c>
      <c r="D1316" s="2" t="s">
        <v>55</v>
      </c>
      <c r="E1316" s="3">
        <v>65</v>
      </c>
      <c r="F1316" s="3">
        <v>8</v>
      </c>
      <c r="G1316" s="4">
        <v>43802</v>
      </c>
      <c r="I1316" s="1">
        <v>685</v>
      </c>
      <c r="J1316" s="1">
        <v>7000</v>
      </c>
      <c r="M1316" s="1"/>
      <c r="N1316" s="1"/>
      <c r="O1316" s="1"/>
      <c r="P1316" s="1"/>
      <c r="Q1316" s="1"/>
      <c r="R1316" s="1"/>
    </row>
    <row r="1317" spans="2:18" x14ac:dyDescent="0.15">
      <c r="C1317" s="2" t="s">
        <v>7</v>
      </c>
      <c r="D1317" s="2" t="s">
        <v>55</v>
      </c>
      <c r="E1317" s="3">
        <v>40</v>
      </c>
      <c r="F1317" s="3">
        <v>6</v>
      </c>
      <c r="G1317" s="4">
        <v>43503</v>
      </c>
      <c r="J1317" s="1">
        <v>7000</v>
      </c>
      <c r="M1317" s="1"/>
      <c r="N1317" s="1"/>
      <c r="O1317" s="1"/>
      <c r="P1317" s="1"/>
      <c r="Q1317" s="1"/>
      <c r="R1317" s="1"/>
    </row>
    <row r="1318" spans="2:18" x14ac:dyDescent="0.15">
      <c r="C1318" s="2" t="s">
        <v>5</v>
      </c>
      <c r="D1318" s="2" t="s">
        <v>55</v>
      </c>
      <c r="E1318" s="3">
        <v>2</v>
      </c>
      <c r="F1318" s="3">
        <v>2</v>
      </c>
      <c r="G1318" s="4">
        <v>42928</v>
      </c>
      <c r="J1318" s="1">
        <v>7000</v>
      </c>
      <c r="M1318" s="1"/>
      <c r="N1318" s="1"/>
      <c r="O1318" s="1"/>
      <c r="P1318" s="1"/>
      <c r="Q1318" s="1"/>
      <c r="R1318" s="1"/>
    </row>
    <row r="1319" spans="2:18" x14ac:dyDescent="0.15">
      <c r="G1319" s="4"/>
    </row>
    <row r="1320" spans="2:18" s="12" customFormat="1" x14ac:dyDescent="0.15">
      <c r="B1320" s="12" t="s">
        <v>158</v>
      </c>
      <c r="C1320" s="13" t="s">
        <v>970</v>
      </c>
      <c r="D1320" s="13" t="s">
        <v>969</v>
      </c>
      <c r="E1320" s="15"/>
      <c r="F1320" s="15">
        <f>SUM(F1321:F1324)</f>
        <v>75.055555555555557</v>
      </c>
      <c r="G1320" s="14">
        <f>G1321</f>
        <v>44413</v>
      </c>
      <c r="M1320" s="13"/>
      <c r="N1320" s="13"/>
      <c r="O1320" s="13"/>
      <c r="P1320" s="13"/>
      <c r="Q1320" s="13"/>
      <c r="R1320" s="13"/>
    </row>
    <row r="1321" spans="2:18" x14ac:dyDescent="0.15">
      <c r="C1321" s="2" t="s">
        <v>9</v>
      </c>
      <c r="D1321" s="2" t="s">
        <v>154</v>
      </c>
      <c r="E1321" s="3">
        <v>400</v>
      </c>
      <c r="F1321" s="3">
        <f>320/9</f>
        <v>35.555555555555557</v>
      </c>
      <c r="G1321" s="4">
        <v>44413</v>
      </c>
      <c r="I1321" s="1">
        <v>4200</v>
      </c>
    </row>
    <row r="1322" spans="2:18" x14ac:dyDescent="0.15">
      <c r="C1322" s="2" t="s">
        <v>8</v>
      </c>
      <c r="D1322" s="2" t="s">
        <v>154</v>
      </c>
      <c r="E1322" s="3">
        <v>100</v>
      </c>
      <c r="F1322" s="3">
        <f>75/6</f>
        <v>12.5</v>
      </c>
      <c r="G1322" s="4">
        <v>44067</v>
      </c>
    </row>
    <row r="1323" spans="2:18" x14ac:dyDescent="0.15">
      <c r="C1323" s="2" t="s">
        <v>18</v>
      </c>
      <c r="D1323" s="2" t="s">
        <v>154</v>
      </c>
      <c r="E1323" s="3">
        <v>101</v>
      </c>
      <c r="F1323" s="3">
        <f>60/4</f>
        <v>15</v>
      </c>
      <c r="G1323" s="4">
        <v>43453</v>
      </c>
    </row>
    <row r="1324" spans="2:18" x14ac:dyDescent="0.15">
      <c r="C1324" s="2" t="s">
        <v>7</v>
      </c>
      <c r="D1324" s="2" t="s">
        <v>108</v>
      </c>
      <c r="E1324" s="3">
        <v>37</v>
      </c>
      <c r="F1324" s="3">
        <v>12</v>
      </c>
      <c r="G1324" s="4">
        <v>43783</v>
      </c>
    </row>
    <row r="1325" spans="2:18" x14ac:dyDescent="0.15">
      <c r="G1325" s="4"/>
    </row>
    <row r="1326" spans="2:18" x14ac:dyDescent="0.15">
      <c r="B1326" s="12" t="s">
        <v>1082</v>
      </c>
      <c r="C1326" s="13" t="s">
        <v>970</v>
      </c>
      <c r="D1326" s="13" t="s">
        <v>969</v>
      </c>
      <c r="F1326" s="15">
        <f>SUM(F1327:F1330)</f>
        <v>75</v>
      </c>
      <c r="G1326" s="14">
        <f>+G1329</f>
        <v>44622</v>
      </c>
    </row>
    <row r="1327" spans="2:18" x14ac:dyDescent="0.15">
      <c r="C1327" s="2" t="s">
        <v>18</v>
      </c>
      <c r="D1327" s="2" t="s">
        <v>799</v>
      </c>
      <c r="E1327" s="3">
        <v>50</v>
      </c>
      <c r="F1327" s="3">
        <v>8</v>
      </c>
      <c r="G1327" s="4">
        <v>44496</v>
      </c>
    </row>
    <row r="1328" spans="2:18" x14ac:dyDescent="0.15">
      <c r="C1328" s="2" t="s">
        <v>18</v>
      </c>
      <c r="D1328" s="2" t="s">
        <v>884</v>
      </c>
      <c r="E1328" s="3">
        <v>200</v>
      </c>
      <c r="F1328" s="3">
        <v>50</v>
      </c>
      <c r="G1328" s="4">
        <v>44377</v>
      </c>
    </row>
    <row r="1329" spans="2:18" x14ac:dyDescent="0.15">
      <c r="C1329" s="2" t="s">
        <v>8</v>
      </c>
      <c r="D1329" s="2" t="s">
        <v>258</v>
      </c>
      <c r="E1329" s="3">
        <v>111</v>
      </c>
      <c r="F1329" s="3">
        <v>7</v>
      </c>
      <c r="G1329" s="4">
        <v>44622</v>
      </c>
    </row>
    <row r="1330" spans="2:18" x14ac:dyDescent="0.15">
      <c r="C1330" s="2" t="s">
        <v>18</v>
      </c>
      <c r="D1330" s="2" t="s">
        <v>258</v>
      </c>
      <c r="E1330" s="3">
        <v>55</v>
      </c>
      <c r="F1330" s="3">
        <v>10</v>
      </c>
      <c r="G1330" s="4">
        <v>44314</v>
      </c>
    </row>
    <row r="1331" spans="2:18" x14ac:dyDescent="0.15">
      <c r="G1331" s="4"/>
    </row>
    <row r="1332" spans="2:18" s="12" customFormat="1" x14ac:dyDescent="0.15">
      <c r="B1332" s="12" t="s">
        <v>964</v>
      </c>
      <c r="C1332" s="13" t="s">
        <v>970</v>
      </c>
      <c r="D1332" s="13" t="s">
        <v>969</v>
      </c>
      <c r="E1332" s="15"/>
      <c r="F1332" s="15">
        <f>SUM(F1333:F1334)</f>
        <v>72.5</v>
      </c>
      <c r="G1332" s="14">
        <f>G1333</f>
        <v>44482</v>
      </c>
      <c r="M1332" s="13"/>
      <c r="N1332" s="13"/>
      <c r="O1332" s="13"/>
      <c r="P1332" s="13"/>
      <c r="Q1332" s="13"/>
      <c r="R1332" s="13"/>
    </row>
    <row r="1333" spans="2:18" x14ac:dyDescent="0.15">
      <c r="C1333" s="2" t="s">
        <v>18</v>
      </c>
      <c r="D1333" s="2" t="s">
        <v>963</v>
      </c>
      <c r="E1333" s="3">
        <v>135</v>
      </c>
      <c r="F1333" s="3">
        <v>42.5</v>
      </c>
      <c r="G1333" s="4">
        <v>44482</v>
      </c>
    </row>
    <row r="1334" spans="2:18" x14ac:dyDescent="0.15">
      <c r="C1334" s="100" t="s">
        <v>7</v>
      </c>
      <c r="D1334" s="100" t="s">
        <v>2074</v>
      </c>
      <c r="E1334" s="3">
        <v>60</v>
      </c>
      <c r="F1334" s="3">
        <v>30</v>
      </c>
      <c r="G1334" s="4">
        <v>44278</v>
      </c>
    </row>
    <row r="1335" spans="2:18" x14ac:dyDescent="0.15">
      <c r="G1335" s="4"/>
    </row>
    <row r="1336" spans="2:18" s="12" customFormat="1" x14ac:dyDescent="0.15">
      <c r="B1336" s="12" t="s">
        <v>225</v>
      </c>
      <c r="C1336" s="13" t="s">
        <v>970</v>
      </c>
      <c r="D1336" s="13" t="s">
        <v>969</v>
      </c>
      <c r="E1336" s="15"/>
      <c r="F1336" s="15">
        <f>SUM(F1337:F1338)</f>
        <v>73.333333333333343</v>
      </c>
      <c r="G1336" s="14">
        <f>G1338</f>
        <v>44287</v>
      </c>
      <c r="M1336" s="13"/>
      <c r="N1336" s="13"/>
      <c r="O1336" s="13"/>
      <c r="P1336" s="13"/>
      <c r="Q1336" s="13"/>
      <c r="R1336" s="13"/>
    </row>
    <row r="1337" spans="2:18" x14ac:dyDescent="0.15">
      <c r="C1337" s="2" t="s">
        <v>8</v>
      </c>
      <c r="D1337" s="2" t="s">
        <v>211</v>
      </c>
      <c r="E1337" s="3">
        <v>700</v>
      </c>
      <c r="F1337" s="3">
        <f t="shared" ref="F1337" si="0">400/12</f>
        <v>33.333333333333336</v>
      </c>
      <c r="G1337" s="4">
        <v>44218</v>
      </c>
    </row>
    <row r="1338" spans="2:18" x14ac:dyDescent="0.15">
      <c r="C1338" s="2" t="s">
        <v>8</v>
      </c>
      <c r="D1338" s="2" t="s">
        <v>2141</v>
      </c>
      <c r="E1338" s="3">
        <v>220</v>
      </c>
      <c r="F1338" s="3">
        <v>40</v>
      </c>
      <c r="G1338" s="4">
        <v>44287</v>
      </c>
    </row>
    <row r="1339" spans="2:18" x14ac:dyDescent="0.15">
      <c r="G1339" s="4"/>
    </row>
    <row r="1340" spans="2:18" s="12" customFormat="1" x14ac:dyDescent="0.15">
      <c r="B1340" s="12" t="s">
        <v>695</v>
      </c>
      <c r="C1340" s="13" t="s">
        <v>970</v>
      </c>
      <c r="D1340" s="13" t="s">
        <v>969</v>
      </c>
      <c r="E1340" s="15"/>
      <c r="F1340" s="15">
        <f>SUM(F1341:F1347)</f>
        <v>73.375</v>
      </c>
      <c r="G1340" s="14">
        <f>G1347</f>
        <v>44833</v>
      </c>
      <c r="M1340" s="13"/>
      <c r="N1340" s="13"/>
      <c r="O1340" s="13"/>
      <c r="P1340" s="13"/>
      <c r="Q1340" s="13"/>
      <c r="R1340" s="13"/>
    </row>
    <row r="1341" spans="2:18" x14ac:dyDescent="0.15">
      <c r="B1341" s="273" t="s">
        <v>7704</v>
      </c>
      <c r="C1341" s="2" t="s">
        <v>7</v>
      </c>
      <c r="D1341" s="2" t="s">
        <v>694</v>
      </c>
      <c r="E1341" s="3">
        <v>50</v>
      </c>
      <c r="F1341" s="3">
        <v>25</v>
      </c>
      <c r="G1341" s="4">
        <v>44643</v>
      </c>
    </row>
    <row r="1342" spans="2:18" x14ac:dyDescent="0.15">
      <c r="C1342" s="2" t="s">
        <v>18</v>
      </c>
      <c r="D1342" s="2" t="s">
        <v>693</v>
      </c>
      <c r="E1342" s="3">
        <v>125</v>
      </c>
      <c r="F1342" s="3">
        <f>75/8</f>
        <v>9.375</v>
      </c>
      <c r="G1342" s="4">
        <v>44663</v>
      </c>
    </row>
    <row r="1343" spans="2:18" x14ac:dyDescent="0.15">
      <c r="C1343" s="2" t="s">
        <v>7</v>
      </c>
      <c r="D1343" s="2" t="s">
        <v>693</v>
      </c>
      <c r="E1343" s="3">
        <v>54</v>
      </c>
      <c r="F1343" s="3">
        <f>40/5</f>
        <v>8</v>
      </c>
      <c r="G1343" s="4">
        <v>44089</v>
      </c>
    </row>
    <row r="1344" spans="2:18" x14ac:dyDescent="0.15">
      <c r="C1344" s="2" t="s">
        <v>5</v>
      </c>
      <c r="D1344" s="2" t="s">
        <v>693</v>
      </c>
      <c r="E1344" s="3">
        <v>26</v>
      </c>
      <c r="F1344" s="3">
        <v>10</v>
      </c>
      <c r="G1344" s="4">
        <v>43809</v>
      </c>
    </row>
    <row r="1345" spans="2:18" x14ac:dyDescent="0.15">
      <c r="C1345" s="149" t="s">
        <v>7</v>
      </c>
      <c r="D1345" s="149" t="s">
        <v>2062</v>
      </c>
      <c r="E1345" s="3">
        <v>50</v>
      </c>
      <c r="F1345" s="3">
        <v>10</v>
      </c>
      <c r="G1345" s="4">
        <v>44518</v>
      </c>
    </row>
    <row r="1346" spans="2:18" x14ac:dyDescent="0.15">
      <c r="C1346" s="149" t="s">
        <v>5</v>
      </c>
      <c r="D1346" s="149" t="s">
        <v>2062</v>
      </c>
      <c r="E1346" s="3">
        <v>13</v>
      </c>
      <c r="F1346" s="3">
        <v>7</v>
      </c>
      <c r="G1346" s="4">
        <v>44294</v>
      </c>
    </row>
    <row r="1347" spans="2:18" x14ac:dyDescent="0.15">
      <c r="C1347" s="193" t="s">
        <v>5</v>
      </c>
      <c r="D1347" s="193" t="s">
        <v>2023</v>
      </c>
      <c r="E1347" s="3">
        <v>16</v>
      </c>
      <c r="F1347" s="3">
        <v>4</v>
      </c>
      <c r="G1347" s="4">
        <v>44833</v>
      </c>
    </row>
    <row r="1348" spans="2:18" x14ac:dyDescent="0.15">
      <c r="G1348" s="4"/>
    </row>
    <row r="1349" spans="2:18" s="12" customFormat="1" x14ac:dyDescent="0.15">
      <c r="B1349" s="12" t="s">
        <v>1075</v>
      </c>
      <c r="C1349" s="13" t="s">
        <v>970</v>
      </c>
      <c r="D1349" s="13" t="s">
        <v>969</v>
      </c>
      <c r="E1349" s="15"/>
      <c r="F1349" s="15">
        <f>SUM(F1350:F1363)</f>
        <v>73.469047619047615</v>
      </c>
      <c r="G1349" s="14">
        <f>G1361</f>
        <v>45001</v>
      </c>
      <c r="M1349" s="13"/>
      <c r="N1349" s="13"/>
      <c r="O1349" s="13"/>
      <c r="P1349" s="13"/>
      <c r="Q1349" s="13"/>
      <c r="R1349" s="13"/>
    </row>
    <row r="1350" spans="2:18" x14ac:dyDescent="0.15">
      <c r="B1350" s="273" t="s">
        <v>7704</v>
      </c>
      <c r="C1350" s="2" t="s">
        <v>5</v>
      </c>
      <c r="D1350" s="2" t="s">
        <v>780</v>
      </c>
      <c r="E1350" s="3">
        <v>33</v>
      </c>
      <c r="F1350" s="3">
        <f>13/3</f>
        <v>4.333333333333333</v>
      </c>
      <c r="G1350" s="4">
        <v>44893</v>
      </c>
    </row>
    <row r="1351" spans="2:18" x14ac:dyDescent="0.15">
      <c r="C1351" s="2" t="s">
        <v>671</v>
      </c>
      <c r="D1351" s="2" t="s">
        <v>780</v>
      </c>
      <c r="E1351" s="3">
        <v>3</v>
      </c>
      <c r="F1351" s="3">
        <v>2</v>
      </c>
      <c r="G1351" s="4">
        <v>44183</v>
      </c>
    </row>
    <row r="1352" spans="2:18" x14ac:dyDescent="0.15">
      <c r="C1352" s="2" t="s">
        <v>7</v>
      </c>
      <c r="D1352" s="2" t="s">
        <v>543</v>
      </c>
      <c r="E1352" s="3">
        <v>40</v>
      </c>
      <c r="F1352" s="3">
        <f>25/4</f>
        <v>6.25</v>
      </c>
      <c r="G1352" s="4">
        <v>44811</v>
      </c>
    </row>
    <row r="1353" spans="2:18" x14ac:dyDescent="0.15">
      <c r="C1353" s="2" t="s">
        <v>5</v>
      </c>
      <c r="D1353" s="2" t="s">
        <v>543</v>
      </c>
      <c r="E1353" s="3">
        <v>14</v>
      </c>
      <c r="F1353" s="3">
        <f>8/5</f>
        <v>1.6</v>
      </c>
      <c r="G1353" s="4">
        <v>44447</v>
      </c>
    </row>
    <row r="1354" spans="2:18" x14ac:dyDescent="0.15">
      <c r="C1354" s="2" t="s">
        <v>5</v>
      </c>
      <c r="D1354" s="2" t="s">
        <v>543</v>
      </c>
      <c r="E1354" s="3">
        <v>12</v>
      </c>
      <c r="F1354" s="3">
        <v>2</v>
      </c>
      <c r="G1354" s="4">
        <v>43532</v>
      </c>
    </row>
    <row r="1355" spans="2:18" x14ac:dyDescent="0.15">
      <c r="C1355" s="2" t="s">
        <v>9</v>
      </c>
      <c r="D1355" s="2" t="s">
        <v>22</v>
      </c>
      <c r="E1355" s="3">
        <v>222</v>
      </c>
      <c r="F1355" s="3">
        <v>10</v>
      </c>
      <c r="G1355" s="4">
        <v>44194</v>
      </c>
      <c r="I1355" s="1">
        <v>2500</v>
      </c>
      <c r="J1355" s="1">
        <v>2500</v>
      </c>
    </row>
    <row r="1356" spans="2:18" x14ac:dyDescent="0.15">
      <c r="C1356" s="2" t="s">
        <v>8</v>
      </c>
      <c r="D1356" s="2" t="s">
        <v>22</v>
      </c>
      <c r="E1356" s="3">
        <v>150</v>
      </c>
      <c r="F1356" s="3">
        <v>14.285714285714286</v>
      </c>
      <c r="G1356" s="4">
        <v>43885</v>
      </c>
      <c r="I1356" s="1">
        <v>1800</v>
      </c>
      <c r="J1356" s="1">
        <v>2500</v>
      </c>
    </row>
    <row r="1357" spans="2:18" x14ac:dyDescent="0.15">
      <c r="C1357" s="2" t="s">
        <v>8</v>
      </c>
      <c r="D1357" s="2" t="s">
        <v>22</v>
      </c>
      <c r="E1357" s="3">
        <v>200</v>
      </c>
      <c r="F1357" s="3">
        <v>13</v>
      </c>
      <c r="G1357" s="4">
        <v>43452</v>
      </c>
      <c r="I1357" s="1">
        <v>1500</v>
      </c>
      <c r="J1357" s="1">
        <v>2500</v>
      </c>
    </row>
    <row r="1358" spans="2:18" x14ac:dyDescent="0.15">
      <c r="C1358" s="2" t="s">
        <v>18</v>
      </c>
      <c r="D1358" s="2" t="s">
        <v>22</v>
      </c>
      <c r="E1358" s="3">
        <v>50</v>
      </c>
      <c r="F1358" s="3">
        <v>5</v>
      </c>
      <c r="G1358" s="4">
        <v>43051</v>
      </c>
      <c r="J1358" s="1">
        <v>2500</v>
      </c>
    </row>
    <row r="1359" spans="2:18" x14ac:dyDescent="0.15">
      <c r="C1359" s="2" t="s">
        <v>7</v>
      </c>
      <c r="D1359" s="2" t="s">
        <v>22</v>
      </c>
      <c r="E1359" s="3">
        <v>30</v>
      </c>
      <c r="F1359" s="3">
        <v>3</v>
      </c>
      <c r="G1359" s="4">
        <v>42936</v>
      </c>
      <c r="J1359" s="1">
        <v>2500</v>
      </c>
    </row>
    <row r="1360" spans="2:18" x14ac:dyDescent="0.15">
      <c r="C1360" s="2" t="s">
        <v>5</v>
      </c>
      <c r="D1360" s="2" t="s">
        <v>22</v>
      </c>
      <c r="E1360" s="3">
        <v>30</v>
      </c>
      <c r="F1360" s="3">
        <v>5</v>
      </c>
      <c r="G1360" s="4">
        <v>42674</v>
      </c>
      <c r="J1360" s="1">
        <v>2500</v>
      </c>
    </row>
    <row r="1361" spans="2:18" x14ac:dyDescent="0.15">
      <c r="C1361" s="261" t="s">
        <v>7</v>
      </c>
      <c r="D1361" s="261" t="s">
        <v>2017</v>
      </c>
      <c r="E1361" s="3">
        <v>20</v>
      </c>
      <c r="F1361" s="3">
        <v>4</v>
      </c>
      <c r="G1361" s="4">
        <v>45001</v>
      </c>
    </row>
    <row r="1362" spans="2:18" x14ac:dyDescent="0.15">
      <c r="C1362" s="261" t="s">
        <v>5</v>
      </c>
      <c r="D1362" s="261" t="s">
        <v>2017</v>
      </c>
      <c r="E1362" s="3">
        <v>9</v>
      </c>
      <c r="F1362" s="3">
        <v>1</v>
      </c>
      <c r="G1362" s="4">
        <v>44152</v>
      </c>
    </row>
    <row r="1363" spans="2:18" x14ac:dyDescent="0.15">
      <c r="C1363" s="261" t="s">
        <v>4</v>
      </c>
      <c r="D1363" s="261" t="s">
        <v>2017</v>
      </c>
      <c r="E1363" s="3">
        <v>4</v>
      </c>
      <c r="F1363" s="3">
        <v>2</v>
      </c>
      <c r="G1363" s="4">
        <v>43481</v>
      </c>
    </row>
    <row r="1364" spans="2:18" x14ac:dyDescent="0.15">
      <c r="G1364" s="4"/>
    </row>
    <row r="1365" spans="2:18" s="12" customFormat="1" x14ac:dyDescent="0.15">
      <c r="B1365" s="12" t="s">
        <v>359</v>
      </c>
      <c r="C1365" s="13" t="s">
        <v>970</v>
      </c>
      <c r="D1365" s="13" t="s">
        <v>969</v>
      </c>
      <c r="E1365" s="15"/>
      <c r="F1365" s="15">
        <f>SUM(F1366:F1369)</f>
        <v>73</v>
      </c>
      <c r="G1365" s="14">
        <f>G1366</f>
        <v>44663</v>
      </c>
    </row>
    <row r="1366" spans="2:18" x14ac:dyDescent="0.15">
      <c r="C1366" s="2" t="s">
        <v>5</v>
      </c>
      <c r="D1366" s="2" t="s">
        <v>355</v>
      </c>
      <c r="E1366" s="3">
        <v>16</v>
      </c>
      <c r="F1366" s="3">
        <v>10</v>
      </c>
      <c r="G1366" s="4">
        <v>44663</v>
      </c>
      <c r="M1366" s="1"/>
      <c r="N1366" s="1"/>
      <c r="O1366" s="1"/>
      <c r="P1366" s="1"/>
      <c r="Q1366" s="1"/>
      <c r="R1366" s="1"/>
    </row>
    <row r="1367" spans="2:18" x14ac:dyDescent="0.15">
      <c r="C1367" s="2" t="s">
        <v>18</v>
      </c>
      <c r="D1367" s="2" t="s">
        <v>161</v>
      </c>
      <c r="E1367" s="3">
        <v>100</v>
      </c>
      <c r="F1367" s="3">
        <f>70/5</f>
        <v>14</v>
      </c>
      <c r="G1367" s="4">
        <v>44235</v>
      </c>
      <c r="I1367" s="1">
        <v>5200</v>
      </c>
      <c r="M1367" s="1"/>
      <c r="N1367" s="1"/>
      <c r="O1367" s="1"/>
      <c r="P1367" s="1"/>
      <c r="Q1367" s="1"/>
      <c r="R1367" s="1"/>
    </row>
    <row r="1368" spans="2:18" x14ac:dyDescent="0.15">
      <c r="C1368" s="2" t="s">
        <v>18</v>
      </c>
      <c r="D1368" s="2" t="s">
        <v>161</v>
      </c>
      <c r="E1368" s="3">
        <v>267</v>
      </c>
      <c r="F1368" s="3">
        <v>33</v>
      </c>
      <c r="G1368" s="4">
        <v>44235</v>
      </c>
      <c r="I1368" s="1">
        <v>5000</v>
      </c>
      <c r="M1368" s="1"/>
      <c r="N1368" s="1"/>
      <c r="O1368" s="1"/>
      <c r="P1368" s="1"/>
      <c r="Q1368" s="1"/>
      <c r="R1368" s="1"/>
    </row>
    <row r="1369" spans="2:18" x14ac:dyDescent="0.15">
      <c r="C1369" s="2" t="s">
        <v>5</v>
      </c>
      <c r="D1369" s="2" t="s">
        <v>161</v>
      </c>
      <c r="E1369" s="3">
        <v>102</v>
      </c>
      <c r="F1369" s="3">
        <v>16</v>
      </c>
      <c r="G1369" s="4">
        <v>43292</v>
      </c>
      <c r="M1369" s="1"/>
      <c r="N1369" s="1"/>
      <c r="O1369" s="1"/>
      <c r="P1369" s="1"/>
      <c r="Q1369" s="1"/>
      <c r="R1369" s="1"/>
    </row>
    <row r="1370" spans="2:18" x14ac:dyDescent="0.15">
      <c r="G1370" s="4"/>
      <c r="M1370" s="1"/>
      <c r="N1370" s="1"/>
      <c r="O1370" s="1"/>
      <c r="P1370" s="1"/>
      <c r="Q1370" s="1"/>
      <c r="R1370" s="1"/>
    </row>
    <row r="1371" spans="2:18" s="12" customFormat="1" x14ac:dyDescent="0.15">
      <c r="B1371" s="12" t="s">
        <v>709</v>
      </c>
      <c r="C1371" s="13" t="s">
        <v>970</v>
      </c>
      <c r="D1371" s="13" t="s">
        <v>969</v>
      </c>
      <c r="E1371" s="15"/>
      <c r="F1371" s="15" cm="1">
        <f t="array" ref="F1371">SUM(F1372+F1372:F1375)</f>
        <v>72.166666666666671</v>
      </c>
      <c r="G1371" s="14">
        <f>G1372</f>
        <v>45090</v>
      </c>
      <c r="M1371" s="13"/>
      <c r="N1371" s="13"/>
      <c r="O1371" s="13"/>
      <c r="P1371" s="13"/>
      <c r="Q1371" s="13"/>
      <c r="R1371" s="13"/>
    </row>
    <row r="1372" spans="2:18" x14ac:dyDescent="0.15">
      <c r="C1372" s="2" t="s">
        <v>4</v>
      </c>
      <c r="D1372" s="2" t="s">
        <v>706</v>
      </c>
      <c r="E1372" s="3">
        <v>113</v>
      </c>
      <c r="F1372" s="3">
        <v>8</v>
      </c>
      <c r="G1372" s="4">
        <v>45090</v>
      </c>
    </row>
    <row r="1373" spans="2:18" x14ac:dyDescent="0.15">
      <c r="C1373" s="2" t="s">
        <v>5</v>
      </c>
      <c r="D1373" s="2" t="s">
        <v>381</v>
      </c>
      <c r="E1373" s="3">
        <v>86</v>
      </c>
      <c r="F1373" s="3">
        <v>10</v>
      </c>
      <c r="G1373" s="4">
        <v>44488</v>
      </c>
    </row>
    <row r="1374" spans="2:18" x14ac:dyDescent="0.15">
      <c r="C1374" s="2" t="s">
        <v>4</v>
      </c>
      <c r="D1374" s="2" t="s">
        <v>381</v>
      </c>
      <c r="E1374" s="3">
        <v>8.5</v>
      </c>
      <c r="F1374" s="3">
        <v>5.5</v>
      </c>
      <c r="G1374" s="4">
        <v>43796</v>
      </c>
    </row>
    <row r="1375" spans="2:18" x14ac:dyDescent="0.15">
      <c r="C1375" s="2" t="s">
        <v>8</v>
      </c>
      <c r="D1375" s="2" t="s">
        <v>708</v>
      </c>
      <c r="E1375" s="3">
        <v>150</v>
      </c>
      <c r="F1375" s="3">
        <f>100/6</f>
        <v>16.666666666666668</v>
      </c>
      <c r="G1375" s="4">
        <v>43885</v>
      </c>
      <c r="I1375" s="1">
        <v>1800</v>
      </c>
      <c r="J1375" s="1">
        <v>2500</v>
      </c>
    </row>
    <row r="1376" spans="2:18" x14ac:dyDescent="0.15">
      <c r="G1376" s="4"/>
    </row>
    <row r="1377" spans="2:18" s="12" customFormat="1" x14ac:dyDescent="0.15">
      <c r="B1377" s="12" t="s">
        <v>1079</v>
      </c>
      <c r="C1377" s="13" t="s">
        <v>970</v>
      </c>
      <c r="D1377" s="13" t="s">
        <v>969</v>
      </c>
      <c r="E1377" s="15"/>
      <c r="F1377" s="15">
        <f>SUM(F1378:F1382)</f>
        <v>69.833333333333329</v>
      </c>
      <c r="G1377" s="14">
        <f>G1378</f>
        <v>45048</v>
      </c>
      <c r="M1377" s="13"/>
      <c r="N1377" s="13"/>
      <c r="O1377" s="13"/>
      <c r="P1377" s="13"/>
      <c r="Q1377" s="13"/>
      <c r="R1377" s="13"/>
    </row>
    <row r="1378" spans="2:18" x14ac:dyDescent="0.15">
      <c r="C1378" s="2" t="s">
        <v>18</v>
      </c>
      <c r="D1378" s="2" t="s">
        <v>953</v>
      </c>
      <c r="E1378" s="3">
        <v>270</v>
      </c>
      <c r="F1378" s="3">
        <v>24</v>
      </c>
      <c r="G1378" s="4">
        <v>45048</v>
      </c>
    </row>
    <row r="1379" spans="2:18" x14ac:dyDescent="0.15">
      <c r="C1379" s="2" t="s">
        <v>7</v>
      </c>
      <c r="D1379" s="2" t="s">
        <v>476</v>
      </c>
      <c r="E1379" s="3">
        <v>90</v>
      </c>
      <c r="F1379" s="3">
        <v>6</v>
      </c>
      <c r="G1379" s="4">
        <v>44398</v>
      </c>
    </row>
    <row r="1380" spans="2:18" x14ac:dyDescent="0.15">
      <c r="C1380" s="2" t="s">
        <v>8</v>
      </c>
      <c r="D1380" s="2" t="s">
        <v>258</v>
      </c>
      <c r="E1380" s="3">
        <v>111</v>
      </c>
      <c r="F1380" s="3">
        <v>7</v>
      </c>
      <c r="G1380" s="4">
        <v>44622</v>
      </c>
    </row>
    <row r="1381" spans="2:18" x14ac:dyDescent="0.15">
      <c r="C1381" s="2" t="s">
        <v>8</v>
      </c>
      <c r="D1381" s="2" t="s">
        <v>131</v>
      </c>
      <c r="E1381" s="3">
        <v>135</v>
      </c>
      <c r="F1381" s="3">
        <v>8</v>
      </c>
      <c r="G1381" s="4">
        <v>44880</v>
      </c>
    </row>
    <row r="1382" spans="2:18" x14ac:dyDescent="0.15">
      <c r="C1382" s="2" t="s">
        <v>7</v>
      </c>
      <c r="D1382" s="2" t="s">
        <v>64</v>
      </c>
      <c r="E1382" s="3">
        <f>1600/7</f>
        <v>228.57142857142858</v>
      </c>
      <c r="F1382" s="3">
        <f>149/6</f>
        <v>24.833333333333332</v>
      </c>
      <c r="G1382" s="4">
        <v>44550</v>
      </c>
    </row>
    <row r="1383" spans="2:18" x14ac:dyDescent="0.15">
      <c r="G1383" s="4"/>
    </row>
    <row r="1384" spans="2:18" s="12" customFormat="1" x14ac:dyDescent="0.15">
      <c r="B1384" s="12" t="s">
        <v>503</v>
      </c>
      <c r="C1384" s="13" t="s">
        <v>970</v>
      </c>
      <c r="D1384" s="13" t="s">
        <v>969</v>
      </c>
      <c r="E1384" s="15"/>
      <c r="F1384" s="15">
        <f>SUM(F1385:F1388)</f>
        <v>69</v>
      </c>
      <c r="G1384" s="14">
        <f>G1385</f>
        <v>44152</v>
      </c>
    </row>
    <row r="1385" spans="2:18" x14ac:dyDescent="0.15">
      <c r="C1385" s="2" t="s">
        <v>53</v>
      </c>
      <c r="D1385" s="2" t="s">
        <v>490</v>
      </c>
      <c r="E1385" s="3">
        <v>270</v>
      </c>
      <c r="F1385" s="3">
        <v>22</v>
      </c>
      <c r="G1385" s="4">
        <v>44152</v>
      </c>
      <c r="M1385" s="1"/>
      <c r="N1385" s="1"/>
      <c r="O1385" s="1"/>
      <c r="P1385" s="1"/>
      <c r="Q1385" s="1"/>
      <c r="R1385" s="1"/>
    </row>
    <row r="1386" spans="2:18" x14ac:dyDescent="0.15">
      <c r="C1386" s="2" t="s">
        <v>8</v>
      </c>
      <c r="D1386" s="2" t="s">
        <v>176</v>
      </c>
      <c r="E1386" s="3">
        <v>130</v>
      </c>
      <c r="F1386" s="3">
        <v>12</v>
      </c>
      <c r="G1386" s="4">
        <v>42080</v>
      </c>
      <c r="M1386" s="1"/>
      <c r="N1386" s="1"/>
      <c r="O1386" s="1"/>
      <c r="P1386" s="1"/>
      <c r="Q1386" s="1"/>
      <c r="R1386" s="1"/>
    </row>
    <row r="1387" spans="2:18" x14ac:dyDescent="0.15">
      <c r="C1387" s="2" t="s">
        <v>8</v>
      </c>
      <c r="D1387" s="2" t="s">
        <v>3962</v>
      </c>
      <c r="E1387" s="3">
        <v>90</v>
      </c>
      <c r="F1387" s="3">
        <v>15</v>
      </c>
      <c r="G1387" s="4">
        <v>40354</v>
      </c>
      <c r="M1387" s="1"/>
      <c r="N1387" s="1"/>
      <c r="O1387" s="1"/>
      <c r="P1387" s="1"/>
      <c r="Q1387" s="1"/>
      <c r="R1387" s="1"/>
    </row>
    <row r="1388" spans="2:18" x14ac:dyDescent="0.15">
      <c r="C1388" s="100" t="s">
        <v>8</v>
      </c>
      <c r="D1388" s="100" t="s">
        <v>5458</v>
      </c>
      <c r="E1388" s="3">
        <v>50</v>
      </c>
      <c r="F1388" s="3">
        <v>20</v>
      </c>
      <c r="G1388" s="4">
        <v>44307</v>
      </c>
      <c r="I1388" s="1">
        <v>2000</v>
      </c>
      <c r="J1388" s="1">
        <v>2000</v>
      </c>
      <c r="M1388" s="1"/>
      <c r="N1388" s="1"/>
      <c r="O1388" s="1"/>
      <c r="P1388" s="1"/>
      <c r="Q1388" s="1"/>
      <c r="R1388" s="1"/>
    </row>
    <row r="1389" spans="2:18" x14ac:dyDescent="0.15">
      <c r="G1389" s="4"/>
      <c r="M1389" s="1"/>
      <c r="N1389" s="1"/>
      <c r="O1389" s="1"/>
      <c r="P1389" s="1"/>
      <c r="Q1389" s="1"/>
      <c r="R1389" s="1"/>
    </row>
    <row r="1390" spans="2:18" s="12" customFormat="1" x14ac:dyDescent="0.15">
      <c r="B1390" s="12" t="s">
        <v>494</v>
      </c>
      <c r="C1390" s="13" t="s">
        <v>970</v>
      </c>
      <c r="D1390" s="13" t="s">
        <v>969</v>
      </c>
      <c r="E1390" s="15"/>
      <c r="F1390" s="15">
        <f>SUM(F1391:F1394)</f>
        <v>68.599999999999994</v>
      </c>
      <c r="G1390" s="14">
        <f>G1393</f>
        <v>44077</v>
      </c>
    </row>
    <row r="1391" spans="2:18" x14ac:dyDescent="0.15">
      <c r="C1391" s="2" t="s">
        <v>9</v>
      </c>
      <c r="D1391" s="2" t="s">
        <v>490</v>
      </c>
      <c r="E1391" s="3">
        <v>206</v>
      </c>
      <c r="F1391" s="3">
        <v>14</v>
      </c>
      <c r="G1391" s="4">
        <v>43725</v>
      </c>
      <c r="M1391" s="1"/>
      <c r="N1391" s="1"/>
      <c r="O1391" s="1"/>
      <c r="P1391" s="1"/>
      <c r="Q1391" s="1"/>
      <c r="R1391" s="1"/>
    </row>
    <row r="1392" spans="2:18" x14ac:dyDescent="0.15">
      <c r="C1392" s="2" t="s">
        <v>8</v>
      </c>
      <c r="D1392" s="2" t="s">
        <v>490</v>
      </c>
      <c r="E1392" s="3">
        <v>100</v>
      </c>
      <c r="F1392" s="3">
        <v>15</v>
      </c>
      <c r="G1392" s="4">
        <v>43397</v>
      </c>
      <c r="M1392" s="1"/>
      <c r="N1392" s="1"/>
      <c r="O1392" s="1"/>
      <c r="P1392" s="1"/>
      <c r="Q1392" s="1"/>
      <c r="R1392" s="1"/>
    </row>
    <row r="1393" spans="2:18" x14ac:dyDescent="0.15">
      <c r="C1393" s="2" t="s">
        <v>7</v>
      </c>
      <c r="D1393" s="2" t="s">
        <v>192</v>
      </c>
      <c r="E1393" s="3">
        <v>43</v>
      </c>
      <c r="F1393" s="3">
        <f>E1393/5</f>
        <v>8.6</v>
      </c>
      <c r="G1393" s="4">
        <v>44077</v>
      </c>
      <c r="M1393" s="1"/>
      <c r="N1393" s="1"/>
      <c r="O1393" s="1"/>
      <c r="P1393" s="1"/>
      <c r="Q1393" s="1"/>
      <c r="R1393" s="1"/>
    </row>
    <row r="1394" spans="2:18" x14ac:dyDescent="0.15">
      <c r="C1394" s="2" t="s">
        <v>5</v>
      </c>
      <c r="D1394" s="2" t="s">
        <v>494</v>
      </c>
      <c r="E1394" s="3">
        <v>31</v>
      </c>
      <c r="F1394" s="3">
        <v>31</v>
      </c>
      <c r="G1394" s="4">
        <v>43634</v>
      </c>
      <c r="M1394" s="1"/>
      <c r="N1394" s="1"/>
      <c r="O1394" s="1"/>
      <c r="P1394" s="1"/>
      <c r="Q1394" s="1"/>
      <c r="R1394" s="1"/>
    </row>
    <row r="1395" spans="2:18" x14ac:dyDescent="0.15">
      <c r="G1395" s="4"/>
      <c r="M1395" s="1"/>
      <c r="N1395" s="1"/>
      <c r="O1395" s="1"/>
      <c r="P1395" s="1"/>
      <c r="Q1395" s="1"/>
      <c r="R1395" s="1"/>
    </row>
    <row r="1396" spans="2:18" s="12" customFormat="1" x14ac:dyDescent="0.15">
      <c r="B1396" s="12" t="s">
        <v>1078</v>
      </c>
      <c r="C1396" s="13" t="s">
        <v>970</v>
      </c>
      <c r="D1396" s="13" t="s">
        <v>969</v>
      </c>
      <c r="E1396" s="15"/>
      <c r="F1396" s="15">
        <f>SUM(F1397:F1401)</f>
        <v>68.900000000000006</v>
      </c>
      <c r="G1396" s="14">
        <f>G1397</f>
        <v>44679</v>
      </c>
    </row>
    <row r="1397" spans="2:18" x14ac:dyDescent="0.15">
      <c r="C1397" s="2" t="s">
        <v>5</v>
      </c>
      <c r="D1397" s="2" t="s">
        <v>664</v>
      </c>
      <c r="E1397" s="3">
        <v>17</v>
      </c>
      <c r="F1397" s="3">
        <v>1.5</v>
      </c>
      <c r="G1397" s="4">
        <v>44679</v>
      </c>
      <c r="M1397" s="1"/>
      <c r="N1397" s="1"/>
      <c r="O1397" s="1"/>
      <c r="P1397" s="1"/>
      <c r="Q1397" s="1"/>
      <c r="R1397" s="1"/>
    </row>
    <row r="1398" spans="2:18" x14ac:dyDescent="0.15">
      <c r="C1398" s="2" t="s">
        <v>5</v>
      </c>
      <c r="D1398" s="2" t="s">
        <v>657</v>
      </c>
      <c r="E1398" s="3">
        <v>12.6</v>
      </c>
      <c r="F1398" s="3">
        <v>3</v>
      </c>
      <c r="G1398" s="4">
        <v>44579</v>
      </c>
      <c r="M1398" s="1"/>
      <c r="N1398" s="1"/>
      <c r="O1398" s="1"/>
      <c r="P1398" s="1"/>
      <c r="Q1398" s="1"/>
      <c r="R1398" s="1"/>
    </row>
    <row r="1399" spans="2:18" x14ac:dyDescent="0.15">
      <c r="C1399" s="2" t="s">
        <v>5</v>
      </c>
      <c r="D1399" s="2" t="s">
        <v>517</v>
      </c>
      <c r="E1399" s="3">
        <v>14.5</v>
      </c>
      <c r="F1399" s="3">
        <v>3</v>
      </c>
      <c r="G1399" s="4">
        <v>43389</v>
      </c>
      <c r="M1399" s="1"/>
      <c r="N1399" s="1"/>
      <c r="O1399" s="1"/>
      <c r="P1399" s="1"/>
      <c r="Q1399" s="1"/>
      <c r="R1399" s="1"/>
    </row>
    <row r="1400" spans="2:18" x14ac:dyDescent="0.15">
      <c r="C1400" s="2" t="s">
        <v>8</v>
      </c>
      <c r="D1400" s="2" t="s">
        <v>386</v>
      </c>
      <c r="E1400" s="3">
        <v>140</v>
      </c>
      <c r="F1400" s="3">
        <v>60</v>
      </c>
      <c r="G1400" s="4">
        <v>44286</v>
      </c>
      <c r="M1400" s="1"/>
      <c r="N1400" s="1"/>
      <c r="O1400" s="1"/>
      <c r="P1400" s="1"/>
      <c r="Q1400" s="1"/>
      <c r="R1400" s="1"/>
    </row>
    <row r="1401" spans="2:18" x14ac:dyDescent="0.15">
      <c r="C1401" s="2" t="s">
        <v>5</v>
      </c>
      <c r="D1401" s="2" t="s">
        <v>302</v>
      </c>
      <c r="E1401" s="3">
        <v>10</v>
      </c>
      <c r="F1401" s="3">
        <v>1.4</v>
      </c>
      <c r="G1401" s="4">
        <v>44637</v>
      </c>
      <c r="M1401" s="1"/>
      <c r="N1401" s="1"/>
      <c r="O1401" s="1"/>
      <c r="P1401" s="1"/>
      <c r="Q1401" s="1"/>
      <c r="R1401" s="1"/>
    </row>
    <row r="1402" spans="2:18" x14ac:dyDescent="0.15">
      <c r="G1402" s="4"/>
      <c r="M1402" s="1"/>
      <c r="N1402" s="1"/>
      <c r="O1402" s="1"/>
      <c r="P1402" s="1"/>
      <c r="Q1402" s="1"/>
      <c r="R1402" s="1"/>
    </row>
    <row r="1403" spans="2:18" s="12" customFormat="1" x14ac:dyDescent="0.15">
      <c r="B1403" s="12" t="s">
        <v>1063</v>
      </c>
      <c r="C1403" s="13" t="s">
        <v>970</v>
      </c>
      <c r="D1403" s="13" t="s">
        <v>969</v>
      </c>
      <c r="E1403" s="15"/>
      <c r="F1403" s="15">
        <f>SUM(F1404:F1411)</f>
        <v>67.8</v>
      </c>
      <c r="G1403" s="14">
        <f>+G1404</f>
        <v>44754</v>
      </c>
      <c r="M1403" s="13"/>
      <c r="N1403" s="13"/>
      <c r="O1403" s="13"/>
      <c r="P1403" s="13"/>
      <c r="Q1403" s="13"/>
      <c r="R1403" s="13"/>
    </row>
    <row r="1404" spans="2:18" x14ac:dyDescent="0.15">
      <c r="C1404" s="2" t="s">
        <v>18</v>
      </c>
      <c r="D1404" s="2" t="s">
        <v>1006</v>
      </c>
      <c r="E1404" s="3">
        <v>100</v>
      </c>
      <c r="F1404" s="3">
        <v>10</v>
      </c>
      <c r="G1404" s="4">
        <v>44754</v>
      </c>
    </row>
    <row r="1405" spans="2:18" x14ac:dyDescent="0.15">
      <c r="C1405" s="2" t="s">
        <v>7</v>
      </c>
      <c r="D1405" s="2" t="s">
        <v>895</v>
      </c>
      <c r="E1405" s="3">
        <v>40</v>
      </c>
      <c r="F1405" s="3">
        <v>5</v>
      </c>
      <c r="G1405" s="4">
        <v>44728</v>
      </c>
    </row>
    <row r="1406" spans="2:18" x14ac:dyDescent="0.15">
      <c r="C1406" s="2" t="s">
        <v>7</v>
      </c>
      <c r="D1406" s="2" t="s">
        <v>895</v>
      </c>
      <c r="E1406" s="3">
        <v>18.600000000000001</v>
      </c>
      <c r="F1406" s="3">
        <f>8.6/2</f>
        <v>4.3</v>
      </c>
      <c r="G1406" s="4">
        <v>44112</v>
      </c>
    </row>
    <row r="1407" spans="2:18" x14ac:dyDescent="0.15">
      <c r="C1407" s="2" t="s">
        <v>18</v>
      </c>
      <c r="D1407" s="2" t="s">
        <v>884</v>
      </c>
      <c r="E1407" s="3">
        <v>200</v>
      </c>
      <c r="F1407" s="3">
        <v>20</v>
      </c>
      <c r="G1407" s="4">
        <v>44377</v>
      </c>
    </row>
    <row r="1408" spans="2:18" x14ac:dyDescent="0.15">
      <c r="C1408" s="2" t="s">
        <v>7</v>
      </c>
      <c r="D1408" s="2" t="s">
        <v>884</v>
      </c>
      <c r="E1408" s="3">
        <v>75</v>
      </c>
      <c r="F1408" s="3">
        <v>5</v>
      </c>
      <c r="G1408" s="4">
        <v>43783</v>
      </c>
    </row>
    <row r="1409" spans="2:18" x14ac:dyDescent="0.15">
      <c r="C1409" s="2" t="s">
        <v>5</v>
      </c>
      <c r="D1409" s="2" t="s">
        <v>884</v>
      </c>
      <c r="E1409" s="3">
        <v>30</v>
      </c>
      <c r="F1409" s="3">
        <v>10</v>
      </c>
      <c r="G1409" s="4">
        <v>43573</v>
      </c>
    </row>
    <row r="1410" spans="2:18" x14ac:dyDescent="0.15">
      <c r="C1410" s="100" t="s">
        <v>8</v>
      </c>
      <c r="D1410" s="100" t="s">
        <v>5458</v>
      </c>
      <c r="E1410" s="3">
        <v>50</v>
      </c>
      <c r="F1410" s="3">
        <f>30/4</f>
        <v>7.5</v>
      </c>
      <c r="G1410" s="4">
        <v>44307</v>
      </c>
    </row>
    <row r="1411" spans="2:18" x14ac:dyDescent="0.15">
      <c r="C1411" s="100" t="s">
        <v>18</v>
      </c>
      <c r="D1411" s="100" t="s">
        <v>5458</v>
      </c>
      <c r="E1411" s="3">
        <v>37</v>
      </c>
      <c r="F1411" s="3">
        <v>6</v>
      </c>
      <c r="G1411" s="4">
        <v>43831</v>
      </c>
    </row>
    <row r="1412" spans="2:18" x14ac:dyDescent="0.15">
      <c r="G1412" s="4"/>
    </row>
    <row r="1413" spans="2:18" s="12" customFormat="1" x14ac:dyDescent="0.15">
      <c r="B1413" s="12" t="s">
        <v>38</v>
      </c>
      <c r="C1413" s="13" t="s">
        <v>970</v>
      </c>
      <c r="D1413" s="13" t="s">
        <v>969</v>
      </c>
      <c r="E1413" s="15"/>
      <c r="F1413" s="15">
        <f>SUM(F1414:F1415)</f>
        <v>67</v>
      </c>
      <c r="G1413" s="14">
        <f>G1415</f>
        <v>44322</v>
      </c>
      <c r="M1413" s="13"/>
      <c r="N1413" s="13"/>
      <c r="O1413" s="13"/>
      <c r="P1413" s="13"/>
      <c r="Q1413" s="13"/>
      <c r="R1413" s="13"/>
    </row>
    <row r="1414" spans="2:18" x14ac:dyDescent="0.15">
      <c r="C1414" s="2" t="s">
        <v>18</v>
      </c>
      <c r="D1414" s="2" t="s">
        <v>32</v>
      </c>
      <c r="E1414" s="3">
        <v>230</v>
      </c>
      <c r="F1414" s="3">
        <v>40</v>
      </c>
      <c r="G1414" s="4">
        <v>43634</v>
      </c>
      <c r="I1414" s="1">
        <v>770</v>
      </c>
      <c r="J1414" s="1">
        <v>770</v>
      </c>
    </row>
    <row r="1415" spans="2:18" x14ac:dyDescent="0.15">
      <c r="C1415" s="2" t="s">
        <v>8</v>
      </c>
      <c r="D1415" s="2" t="s">
        <v>15</v>
      </c>
      <c r="E1415" s="3">
        <v>220</v>
      </c>
      <c r="F1415" s="3">
        <v>27</v>
      </c>
      <c r="G1415" s="4">
        <v>44322</v>
      </c>
      <c r="I1415" s="1">
        <v>780</v>
      </c>
      <c r="J1415" s="1">
        <v>780</v>
      </c>
    </row>
    <row r="1416" spans="2:18" x14ac:dyDescent="0.15">
      <c r="G1416" s="4"/>
    </row>
    <row r="1417" spans="2:18" s="12" customFormat="1" x14ac:dyDescent="0.15">
      <c r="B1417" s="12" t="s">
        <v>209</v>
      </c>
      <c r="C1417" s="13" t="s">
        <v>970</v>
      </c>
      <c r="D1417" s="13" t="s">
        <v>969</v>
      </c>
      <c r="E1417" s="15"/>
      <c r="F1417" s="15">
        <f>SUM(F1418:F1420)</f>
        <v>67</v>
      </c>
      <c r="G1417" s="14">
        <f>G1418</f>
        <v>43886</v>
      </c>
      <c r="M1417" s="13"/>
      <c r="N1417" s="13"/>
      <c r="O1417" s="13"/>
      <c r="P1417" s="13"/>
      <c r="Q1417" s="13"/>
      <c r="R1417" s="13"/>
    </row>
    <row r="1418" spans="2:18" x14ac:dyDescent="0.15">
      <c r="C1418" s="2" t="s">
        <v>18</v>
      </c>
      <c r="D1418" s="2" t="s">
        <v>208</v>
      </c>
      <c r="E1418" s="3">
        <v>250</v>
      </c>
      <c r="F1418" s="3">
        <f>170/5</f>
        <v>34</v>
      </c>
      <c r="G1418" s="4">
        <v>43886</v>
      </c>
      <c r="I1418" s="1">
        <v>2300</v>
      </c>
      <c r="J1418" s="1">
        <v>2300</v>
      </c>
    </row>
    <row r="1419" spans="2:18" x14ac:dyDescent="0.15">
      <c r="C1419" s="2" t="s">
        <v>7</v>
      </c>
      <c r="D1419" s="2" t="s">
        <v>208</v>
      </c>
      <c r="E1419" s="3">
        <v>150</v>
      </c>
      <c r="F1419" s="3">
        <v>20</v>
      </c>
      <c r="G1419" s="4">
        <v>43556</v>
      </c>
    </row>
    <row r="1420" spans="2:18" x14ac:dyDescent="0.15">
      <c r="C1420" s="2" t="s">
        <v>5</v>
      </c>
      <c r="D1420" s="2" t="s">
        <v>208</v>
      </c>
      <c r="E1420" s="3">
        <v>56</v>
      </c>
      <c r="F1420" s="3">
        <f>26/2</f>
        <v>13</v>
      </c>
      <c r="G1420" s="4">
        <v>43174</v>
      </c>
    </row>
    <row r="1421" spans="2:18" x14ac:dyDescent="0.15">
      <c r="G1421" s="4"/>
    </row>
    <row r="1422" spans="2:18" s="12" customFormat="1" x14ac:dyDescent="0.15">
      <c r="B1422" s="12" t="s">
        <v>1055</v>
      </c>
      <c r="C1422" s="13" t="s">
        <v>970</v>
      </c>
      <c r="D1422" s="13" t="s">
        <v>969</v>
      </c>
      <c r="E1422" s="15"/>
      <c r="F1422" s="15">
        <f>SUM(F1423:F1428)</f>
        <v>65.5</v>
      </c>
      <c r="G1422" s="14">
        <f>G1423</f>
        <v>44636</v>
      </c>
      <c r="M1422" s="13"/>
      <c r="N1422" s="13"/>
      <c r="O1422" s="13"/>
      <c r="P1422" s="13"/>
      <c r="Q1422" s="13"/>
      <c r="R1422" s="13"/>
    </row>
    <row r="1423" spans="2:18" x14ac:dyDescent="0.15">
      <c r="C1423" s="2" t="s">
        <v>7</v>
      </c>
      <c r="D1423" s="2" t="s">
        <v>861</v>
      </c>
      <c r="E1423" s="3">
        <v>25</v>
      </c>
      <c r="F1423" s="3">
        <v>3</v>
      </c>
      <c r="G1423" s="4">
        <v>44636</v>
      </c>
    </row>
    <row r="1424" spans="2:18" x14ac:dyDescent="0.15">
      <c r="C1424" s="2" t="s">
        <v>5</v>
      </c>
      <c r="D1424" s="2" t="s">
        <v>861</v>
      </c>
      <c r="E1424" s="3">
        <v>12</v>
      </c>
      <c r="F1424" s="3">
        <v>2</v>
      </c>
      <c r="G1424" s="4">
        <v>44179</v>
      </c>
    </row>
    <row r="1425" spans="2:18" x14ac:dyDescent="0.15">
      <c r="C1425" s="2" t="s">
        <v>53</v>
      </c>
      <c r="D1425" s="2" t="s">
        <v>490</v>
      </c>
      <c r="E1425" s="3">
        <v>270</v>
      </c>
      <c r="F1425" s="3">
        <v>22</v>
      </c>
      <c r="G1425" s="4">
        <v>44152</v>
      </c>
    </row>
    <row r="1426" spans="2:18" x14ac:dyDescent="0.15">
      <c r="C1426" s="2" t="s">
        <v>18</v>
      </c>
      <c r="D1426" s="2" t="s">
        <v>292</v>
      </c>
      <c r="E1426" s="3">
        <v>38</v>
      </c>
      <c r="F1426" s="3">
        <v>6</v>
      </c>
      <c r="G1426" s="4">
        <v>43104</v>
      </c>
    </row>
    <row r="1427" spans="2:18" x14ac:dyDescent="0.15">
      <c r="C1427" s="62" t="s">
        <v>8</v>
      </c>
      <c r="D1427" s="62" t="s">
        <v>2114</v>
      </c>
      <c r="E1427" s="3">
        <v>110</v>
      </c>
      <c r="F1427" s="3">
        <f>70/4</f>
        <v>17.5</v>
      </c>
      <c r="G1427" s="4">
        <v>44567</v>
      </c>
      <c r="I1427" s="1">
        <v>790</v>
      </c>
      <c r="J1427" s="1">
        <v>790</v>
      </c>
    </row>
    <row r="1428" spans="2:18" x14ac:dyDescent="0.15">
      <c r="C1428" s="62" t="s">
        <v>18</v>
      </c>
      <c r="D1428" s="62" t="s">
        <v>2114</v>
      </c>
      <c r="E1428" s="3">
        <v>40</v>
      </c>
      <c r="F1428" s="3">
        <v>15</v>
      </c>
      <c r="G1428" s="4">
        <v>44238</v>
      </c>
      <c r="J1428" s="1">
        <v>790</v>
      </c>
    </row>
    <row r="1429" spans="2:18" x14ac:dyDescent="0.15">
      <c r="G1429" s="4"/>
    </row>
    <row r="1430" spans="2:18" s="12" customFormat="1" x14ac:dyDescent="0.15">
      <c r="B1430" s="12" t="s">
        <v>62</v>
      </c>
      <c r="C1430" s="13" t="s">
        <v>970</v>
      </c>
      <c r="D1430" s="13" t="s">
        <v>969</v>
      </c>
      <c r="E1430" s="15"/>
      <c r="F1430" s="15">
        <f>SUM(F1431:F1433)</f>
        <v>64.5</v>
      </c>
      <c r="G1430" s="14">
        <f>G1431</f>
        <v>45069</v>
      </c>
      <c r="M1430" s="13"/>
      <c r="N1430" s="13"/>
      <c r="O1430" s="13"/>
      <c r="P1430" s="13"/>
      <c r="Q1430" s="13"/>
      <c r="R1430" s="13"/>
    </row>
    <row r="1431" spans="2:18" x14ac:dyDescent="0.15">
      <c r="C1431" s="2" t="s">
        <v>8</v>
      </c>
      <c r="D1431" s="2" t="s">
        <v>57</v>
      </c>
      <c r="E1431" s="3">
        <v>250</v>
      </c>
      <c r="F1431" s="3">
        <f>150/4</f>
        <v>37.5</v>
      </c>
      <c r="G1431" s="4">
        <v>45069</v>
      </c>
    </row>
    <row r="1432" spans="2:18" x14ac:dyDescent="0.15">
      <c r="C1432" s="2" t="s">
        <v>18</v>
      </c>
      <c r="D1432" s="2" t="s">
        <v>57</v>
      </c>
      <c r="E1432" s="3">
        <v>100</v>
      </c>
      <c r="F1432" s="3">
        <f>75/5</f>
        <v>15</v>
      </c>
      <c r="G1432" s="4">
        <v>44650</v>
      </c>
    </row>
    <row r="1433" spans="2:18" x14ac:dyDescent="0.15">
      <c r="C1433" s="2" t="s">
        <v>5</v>
      </c>
      <c r="D1433" s="2" t="s">
        <v>57</v>
      </c>
      <c r="E1433" s="3">
        <v>29.5</v>
      </c>
      <c r="F1433" s="3">
        <v>12</v>
      </c>
      <c r="G1433" s="4">
        <v>43410</v>
      </c>
    </row>
    <row r="1434" spans="2:18" x14ac:dyDescent="0.15">
      <c r="G1434" s="4"/>
    </row>
    <row r="1435" spans="2:18" x14ac:dyDescent="0.15">
      <c r="B1435" s="12" t="s">
        <v>1072</v>
      </c>
      <c r="C1435" s="13" t="s">
        <v>970</v>
      </c>
      <c r="D1435" s="13" t="s">
        <v>969</v>
      </c>
      <c r="F1435" s="15">
        <f>SUM(F1436:F1445)</f>
        <v>65.214285714285708</v>
      </c>
      <c r="G1435" s="14">
        <f>G1438</f>
        <v>44690</v>
      </c>
      <c r="I1435" s="1">
        <f>140+191</f>
        <v>331</v>
      </c>
      <c r="J1435" s="19">
        <f>+F1435/I1435</f>
        <v>0.19702201122140697</v>
      </c>
      <c r="K1435" s="1">
        <v>2014</v>
      </c>
    </row>
    <row r="1436" spans="2:18" x14ac:dyDescent="0.15">
      <c r="B1436" s="12"/>
      <c r="C1436" s="2" t="s">
        <v>5</v>
      </c>
      <c r="D1436" s="2" t="s">
        <v>936</v>
      </c>
      <c r="E1436" s="3">
        <v>150</v>
      </c>
      <c r="F1436" s="3">
        <v>15</v>
      </c>
      <c r="G1436" s="4">
        <v>45008</v>
      </c>
    </row>
    <row r="1437" spans="2:18" x14ac:dyDescent="0.15">
      <c r="B1437" s="12"/>
      <c r="C1437" s="2" t="s">
        <v>7</v>
      </c>
      <c r="D1437" s="2" t="s">
        <v>950</v>
      </c>
      <c r="E1437" s="3">
        <v>350</v>
      </c>
      <c r="F1437" s="3">
        <v>10</v>
      </c>
      <c r="G1437" s="4">
        <v>44999</v>
      </c>
    </row>
    <row r="1438" spans="2:18" x14ac:dyDescent="0.15">
      <c r="C1438" s="2" t="s">
        <v>18</v>
      </c>
      <c r="D1438" s="2" t="s">
        <v>927</v>
      </c>
      <c r="E1438" s="3">
        <v>100</v>
      </c>
      <c r="F1438" s="3">
        <v>9</v>
      </c>
      <c r="G1438" s="4">
        <v>44690</v>
      </c>
    </row>
    <row r="1439" spans="2:18" x14ac:dyDescent="0.15">
      <c r="C1439" s="2" t="s">
        <v>7</v>
      </c>
      <c r="D1439" s="2" t="s">
        <v>927</v>
      </c>
      <c r="E1439" s="3">
        <v>40</v>
      </c>
      <c r="F1439" s="3">
        <v>7</v>
      </c>
      <c r="G1439" s="4">
        <v>44327</v>
      </c>
    </row>
    <row r="1440" spans="2:18" x14ac:dyDescent="0.15">
      <c r="C1440" s="2" t="s">
        <v>5</v>
      </c>
      <c r="D1440" s="2" t="s">
        <v>927</v>
      </c>
      <c r="E1440" s="3">
        <v>15</v>
      </c>
      <c r="F1440" s="3">
        <v>3</v>
      </c>
      <c r="G1440" s="4">
        <v>43816</v>
      </c>
    </row>
    <row r="1441" spans="2:18" x14ac:dyDescent="0.15">
      <c r="C1441" s="2" t="s">
        <v>4</v>
      </c>
      <c r="D1441" s="2" t="s">
        <v>927</v>
      </c>
      <c r="E1441" s="3">
        <v>4</v>
      </c>
      <c r="F1441" s="3">
        <v>1</v>
      </c>
      <c r="G1441" s="4">
        <v>43243</v>
      </c>
    </row>
    <row r="1442" spans="2:18" x14ac:dyDescent="0.15">
      <c r="C1442" s="2" t="s">
        <v>5</v>
      </c>
      <c r="D1442" s="2" t="s">
        <v>908</v>
      </c>
      <c r="E1442" s="3">
        <v>20</v>
      </c>
      <c r="F1442" s="3">
        <v>10</v>
      </c>
      <c r="G1442" s="4">
        <v>44245</v>
      </c>
    </row>
    <row r="1443" spans="2:18" x14ac:dyDescent="0.15">
      <c r="C1443" s="2" t="s">
        <v>7</v>
      </c>
      <c r="D1443" s="2" t="s">
        <v>1071</v>
      </c>
      <c r="E1443" s="3">
        <v>18</v>
      </c>
      <c r="F1443" s="3">
        <v>4.5</v>
      </c>
      <c r="G1443" s="4">
        <v>44831</v>
      </c>
    </row>
    <row r="1444" spans="2:18" x14ac:dyDescent="0.15">
      <c r="C1444" s="2" t="s">
        <v>5</v>
      </c>
      <c r="D1444" s="2" t="s">
        <v>1071</v>
      </c>
      <c r="E1444" s="3">
        <v>18.5</v>
      </c>
      <c r="F1444" s="3">
        <v>5</v>
      </c>
      <c r="G1444" s="4">
        <v>44658</v>
      </c>
    </row>
    <row r="1445" spans="2:18" x14ac:dyDescent="0.15">
      <c r="C1445" s="2" t="s">
        <v>4</v>
      </c>
      <c r="D1445" s="2" t="s">
        <v>425</v>
      </c>
      <c r="E1445" s="3">
        <v>7</v>
      </c>
      <c r="F1445" s="3">
        <v>0.7142857142857143</v>
      </c>
      <c r="G1445" s="4">
        <v>43046</v>
      </c>
    </row>
    <row r="1446" spans="2:18" x14ac:dyDescent="0.15">
      <c r="G1446" s="4"/>
    </row>
    <row r="1447" spans="2:18" s="12" customFormat="1" x14ac:dyDescent="0.15">
      <c r="B1447" s="12" t="s">
        <v>1069</v>
      </c>
      <c r="C1447" s="13" t="s">
        <v>970</v>
      </c>
      <c r="D1447" s="13" t="s">
        <v>969</v>
      </c>
      <c r="E1447" s="15"/>
      <c r="F1447" s="15">
        <f>SUM(F1448:F1477)</f>
        <v>65.004761904761892</v>
      </c>
      <c r="G1447" s="14">
        <f>+G1452</f>
        <v>45041</v>
      </c>
      <c r="I1447" s="12" t="s">
        <v>6733</v>
      </c>
      <c r="M1447" s="13"/>
      <c r="N1447" s="13"/>
      <c r="O1447" s="13"/>
      <c r="P1447" s="13"/>
      <c r="Q1447" s="13"/>
      <c r="R1447" s="13"/>
    </row>
    <row r="1448" spans="2:18" x14ac:dyDescent="0.15">
      <c r="C1448" s="2" t="s">
        <v>9</v>
      </c>
      <c r="D1448" s="2" t="s">
        <v>804</v>
      </c>
      <c r="E1448" s="3">
        <v>325</v>
      </c>
      <c r="F1448" s="3">
        <v>18.5</v>
      </c>
      <c r="G1448" s="4">
        <v>44299</v>
      </c>
    </row>
    <row r="1449" spans="2:18" x14ac:dyDescent="0.15">
      <c r="C1449" s="2" t="s">
        <v>7</v>
      </c>
      <c r="D1449" s="2" t="s">
        <v>804</v>
      </c>
      <c r="E1449" s="3">
        <v>18</v>
      </c>
      <c r="F1449" s="3">
        <v>3</v>
      </c>
      <c r="G1449" s="4">
        <v>43319</v>
      </c>
    </row>
    <row r="1450" spans="2:18" x14ac:dyDescent="0.15">
      <c r="C1450" s="2" t="s">
        <v>5</v>
      </c>
      <c r="D1450" s="2" t="s">
        <v>804</v>
      </c>
      <c r="E1450" s="3">
        <v>4.5</v>
      </c>
      <c r="F1450" s="3">
        <v>1.5</v>
      </c>
      <c r="G1450" s="4">
        <v>42878</v>
      </c>
    </row>
    <row r="1451" spans="2:18" x14ac:dyDescent="0.15">
      <c r="C1451" s="2" t="s">
        <v>4</v>
      </c>
      <c r="D1451" s="2" t="s">
        <v>804</v>
      </c>
      <c r="E1451" s="3">
        <v>0.12</v>
      </c>
      <c r="F1451" s="3">
        <v>0.12</v>
      </c>
      <c r="G1451" s="4">
        <v>42604</v>
      </c>
    </row>
    <row r="1452" spans="2:18" x14ac:dyDescent="0.15">
      <c r="C1452" s="2" t="s">
        <v>7</v>
      </c>
      <c r="D1452" s="2" t="s">
        <v>908</v>
      </c>
      <c r="E1452" s="3">
        <v>97.4</v>
      </c>
      <c r="F1452" s="3">
        <f>47/6</f>
        <v>7.833333333333333</v>
      </c>
      <c r="G1452" s="4">
        <v>45041</v>
      </c>
    </row>
    <row r="1453" spans="2:18" x14ac:dyDescent="0.15">
      <c r="C1453" s="2" t="s">
        <v>4</v>
      </c>
      <c r="D1453" s="2" t="s">
        <v>721</v>
      </c>
      <c r="E1453" s="3">
        <v>0.12</v>
      </c>
      <c r="F1453" s="3">
        <v>0.12</v>
      </c>
      <c r="G1453" s="4">
        <v>44068</v>
      </c>
    </row>
    <row r="1454" spans="2:18" x14ac:dyDescent="0.15">
      <c r="C1454" s="2" t="s">
        <v>4</v>
      </c>
      <c r="D1454" s="2" t="s">
        <v>710</v>
      </c>
      <c r="E1454" s="3">
        <v>5.5</v>
      </c>
      <c r="F1454" s="3">
        <v>0.5</v>
      </c>
      <c r="G1454" s="4">
        <v>45092</v>
      </c>
    </row>
    <row r="1455" spans="2:18" x14ac:dyDescent="0.15">
      <c r="C1455" s="2" t="s">
        <v>278</v>
      </c>
      <c r="D1455" s="2" t="s">
        <v>710</v>
      </c>
      <c r="E1455" s="3">
        <v>0.125</v>
      </c>
      <c r="F1455" s="3">
        <v>0.125</v>
      </c>
      <c r="G1455" s="4">
        <f>G1454</f>
        <v>45092</v>
      </c>
    </row>
    <row r="1456" spans="2:18" x14ac:dyDescent="0.15">
      <c r="C1456" s="2" t="s">
        <v>5</v>
      </c>
      <c r="D1456" s="2" t="s">
        <v>677</v>
      </c>
      <c r="E1456" s="3">
        <v>15</v>
      </c>
      <c r="F1456" s="3">
        <v>3.3</v>
      </c>
      <c r="G1456" s="4">
        <v>44482</v>
      </c>
    </row>
    <row r="1457" spans="3:7" x14ac:dyDescent="0.15">
      <c r="C1457" s="2" t="s">
        <v>4</v>
      </c>
      <c r="D1457" s="2" t="s">
        <v>677</v>
      </c>
      <c r="E1457" s="3">
        <v>4.5</v>
      </c>
      <c r="F1457" s="3">
        <v>0.5</v>
      </c>
      <c r="G1457" s="4">
        <v>44362</v>
      </c>
    </row>
    <row r="1458" spans="3:7" x14ac:dyDescent="0.15">
      <c r="C1458" s="2" t="s">
        <v>4</v>
      </c>
      <c r="D1458" s="2" t="s">
        <v>677</v>
      </c>
      <c r="E1458" s="3">
        <v>0.125</v>
      </c>
      <c r="F1458" s="3">
        <v>0.125</v>
      </c>
      <c r="G1458" s="4">
        <v>44246</v>
      </c>
    </row>
    <row r="1459" spans="3:7" x14ac:dyDescent="0.15">
      <c r="C1459" s="2" t="s">
        <v>5</v>
      </c>
      <c r="D1459" s="2" t="s">
        <v>1070</v>
      </c>
      <c r="E1459" s="3">
        <v>12.5</v>
      </c>
      <c r="F1459" s="3">
        <v>3</v>
      </c>
      <c r="G1459" s="4">
        <v>44978</v>
      </c>
    </row>
    <row r="1460" spans="3:7" x14ac:dyDescent="0.15">
      <c r="C1460" s="2" t="s">
        <v>278</v>
      </c>
      <c r="D1460" s="2" t="s">
        <v>621</v>
      </c>
      <c r="E1460" s="3">
        <v>0.5</v>
      </c>
      <c r="F1460" s="3">
        <v>0.5</v>
      </c>
      <c r="G1460" s="4">
        <v>45021</v>
      </c>
    </row>
    <row r="1461" spans="3:7" x14ac:dyDescent="0.15">
      <c r="C1461" s="2" t="s">
        <v>5</v>
      </c>
      <c r="D1461" s="2" t="s">
        <v>693</v>
      </c>
      <c r="E1461" s="3">
        <v>8</v>
      </c>
      <c r="F1461" s="3">
        <v>1</v>
      </c>
      <c r="G1461" s="4">
        <v>43249</v>
      </c>
    </row>
    <row r="1462" spans="3:7" x14ac:dyDescent="0.15">
      <c r="C1462" s="2" t="s">
        <v>278</v>
      </c>
      <c r="D1462" s="2" t="s">
        <v>693</v>
      </c>
      <c r="E1462" s="3">
        <v>0.12</v>
      </c>
      <c r="F1462" s="3">
        <v>0.12</v>
      </c>
      <c r="G1462" s="4">
        <v>43104</v>
      </c>
    </row>
    <row r="1463" spans="3:7" x14ac:dyDescent="0.15">
      <c r="C1463" s="2" t="s">
        <v>278</v>
      </c>
      <c r="D1463" s="2" t="s">
        <v>585</v>
      </c>
      <c r="E1463" s="3">
        <v>0.12</v>
      </c>
      <c r="F1463" s="3">
        <v>0.12</v>
      </c>
      <c r="G1463" s="4">
        <v>44439</v>
      </c>
    </row>
    <row r="1464" spans="3:7" x14ac:dyDescent="0.15">
      <c r="C1464" s="2" t="s">
        <v>18</v>
      </c>
      <c r="D1464" s="2" t="s">
        <v>521</v>
      </c>
      <c r="E1464" s="3">
        <v>60</v>
      </c>
      <c r="F1464" s="3">
        <v>5</v>
      </c>
      <c r="G1464" s="4">
        <v>43606</v>
      </c>
    </row>
    <row r="1465" spans="3:7" x14ac:dyDescent="0.15">
      <c r="C1465" s="2" t="s">
        <v>7</v>
      </c>
      <c r="D1465" s="2" t="s">
        <v>521</v>
      </c>
      <c r="E1465" s="3">
        <v>30</v>
      </c>
      <c r="F1465" s="3">
        <v>5</v>
      </c>
      <c r="G1465" s="4">
        <v>43396</v>
      </c>
    </row>
    <row r="1466" spans="3:7" x14ac:dyDescent="0.15">
      <c r="C1466" s="2" t="s">
        <v>4</v>
      </c>
      <c r="D1466" s="2" t="s">
        <v>521</v>
      </c>
      <c r="E1466" s="3">
        <v>3</v>
      </c>
      <c r="F1466" s="3">
        <v>0.5</v>
      </c>
      <c r="G1466" s="4">
        <v>42606</v>
      </c>
    </row>
    <row r="1467" spans="3:7" x14ac:dyDescent="0.15">
      <c r="C1467" s="2" t="s">
        <v>7</v>
      </c>
      <c r="D1467" s="2" t="s">
        <v>447</v>
      </c>
      <c r="E1467" s="3">
        <v>30</v>
      </c>
      <c r="F1467" s="3">
        <v>5</v>
      </c>
      <c r="G1467" s="4">
        <v>44756</v>
      </c>
    </row>
    <row r="1468" spans="3:7" x14ac:dyDescent="0.15">
      <c r="C1468" s="2" t="s">
        <v>5</v>
      </c>
      <c r="D1468" s="2" t="s">
        <v>447</v>
      </c>
      <c r="E1468" s="3">
        <v>28</v>
      </c>
      <c r="F1468" s="3">
        <v>5</v>
      </c>
      <c r="G1468" s="4">
        <v>44624</v>
      </c>
    </row>
    <row r="1469" spans="3:7" x14ac:dyDescent="0.15">
      <c r="C1469" s="2" t="s">
        <v>4</v>
      </c>
      <c r="D1469" s="2" t="s">
        <v>447</v>
      </c>
      <c r="E1469" s="3">
        <v>0.12</v>
      </c>
      <c r="F1469" s="3">
        <v>0.12</v>
      </c>
      <c r="G1469" s="4">
        <v>42970</v>
      </c>
    </row>
    <row r="1470" spans="3:7" x14ac:dyDescent="0.15">
      <c r="C1470" s="2" t="s">
        <v>4</v>
      </c>
      <c r="D1470" s="2" t="s">
        <v>277</v>
      </c>
      <c r="E1470" s="3">
        <v>0.125</v>
      </c>
      <c r="F1470" s="3">
        <v>0.125</v>
      </c>
      <c r="G1470" s="4">
        <v>44265</v>
      </c>
    </row>
    <row r="1471" spans="3:7" x14ac:dyDescent="0.15">
      <c r="C1471" s="2" t="s">
        <v>4</v>
      </c>
      <c r="D1471" s="2" t="s">
        <v>1069</v>
      </c>
      <c r="E1471" s="3">
        <v>1.6</v>
      </c>
      <c r="F1471" s="3">
        <f>E1471/2</f>
        <v>0.8</v>
      </c>
      <c r="G1471" s="4">
        <v>43060</v>
      </c>
    </row>
    <row r="1472" spans="3:7" x14ac:dyDescent="0.15">
      <c r="C1472" s="2" t="s">
        <v>4</v>
      </c>
      <c r="D1472" s="2" t="s">
        <v>87</v>
      </c>
      <c r="E1472" s="3">
        <v>5.3</v>
      </c>
      <c r="F1472" s="3">
        <f>4/7</f>
        <v>0.5714285714285714</v>
      </c>
      <c r="G1472" s="4">
        <v>43398</v>
      </c>
    </row>
    <row r="1473" spans="2:18" x14ac:dyDescent="0.15">
      <c r="C1473" s="2" t="s">
        <v>4</v>
      </c>
      <c r="D1473" s="2" t="s">
        <v>87</v>
      </c>
      <c r="E1473" s="3">
        <v>4</v>
      </c>
      <c r="F1473" s="3">
        <f>2.5/4</f>
        <v>0.625</v>
      </c>
      <c r="G1473" s="4">
        <v>43122</v>
      </c>
    </row>
    <row r="1474" spans="2:18" x14ac:dyDescent="0.15">
      <c r="C1474" s="149" t="s">
        <v>4</v>
      </c>
      <c r="D1474" s="149" t="s">
        <v>6362</v>
      </c>
      <c r="E1474" s="3">
        <v>5</v>
      </c>
      <c r="F1474" s="3">
        <v>0.5</v>
      </c>
      <c r="G1474" s="4">
        <v>43335</v>
      </c>
    </row>
    <row r="1475" spans="2:18" x14ac:dyDescent="0.15">
      <c r="C1475" s="193" t="s">
        <v>4</v>
      </c>
      <c r="D1475" s="193" t="s">
        <v>2035</v>
      </c>
      <c r="E1475" s="3">
        <v>2</v>
      </c>
      <c r="F1475" s="3">
        <v>0.5</v>
      </c>
      <c r="G1475" s="4">
        <v>43522</v>
      </c>
    </row>
    <row r="1476" spans="2:18" x14ac:dyDescent="0.15">
      <c r="C1476" s="261" t="s">
        <v>278</v>
      </c>
      <c r="D1476" s="261" t="s">
        <v>7656</v>
      </c>
      <c r="E1476" s="3">
        <v>0.5</v>
      </c>
      <c r="F1476" s="3">
        <v>0.5</v>
      </c>
      <c r="G1476" s="4">
        <v>43696</v>
      </c>
    </row>
    <row r="1477" spans="2:18" x14ac:dyDescent="0.15">
      <c r="C1477" s="261" t="s">
        <v>4</v>
      </c>
      <c r="D1477" s="261" t="s">
        <v>7656</v>
      </c>
      <c r="E1477" s="3">
        <v>2.2000000000000002</v>
      </c>
      <c r="F1477" s="3">
        <f>1.2/3</f>
        <v>0.39999999999999997</v>
      </c>
      <c r="G1477" s="4">
        <v>43906</v>
      </c>
    </row>
    <row r="1478" spans="2:18" x14ac:dyDescent="0.15">
      <c r="G1478" s="4"/>
    </row>
    <row r="1479" spans="2:18" s="12" customFormat="1" x14ac:dyDescent="0.15">
      <c r="B1479" s="12" t="s">
        <v>220</v>
      </c>
      <c r="C1479" s="13" t="s">
        <v>970</v>
      </c>
      <c r="D1479" s="13" t="s">
        <v>969</v>
      </c>
      <c r="E1479" s="15"/>
      <c r="F1479" s="15">
        <f>SUM(F1480:F1481)</f>
        <v>63.166666666666671</v>
      </c>
      <c r="G1479" s="14">
        <f>G1481</f>
        <v>44550</v>
      </c>
      <c r="M1479" s="13"/>
      <c r="N1479" s="13"/>
      <c r="O1479" s="13"/>
      <c r="P1479" s="13"/>
      <c r="Q1479" s="13"/>
      <c r="R1479" s="13"/>
    </row>
    <row r="1480" spans="2:18" x14ac:dyDescent="0.15">
      <c r="C1480" s="2" t="s">
        <v>18</v>
      </c>
      <c r="D1480" s="2" t="s">
        <v>211</v>
      </c>
      <c r="E1480" s="3">
        <v>230</v>
      </c>
      <c r="F1480" s="3">
        <f>E1480/6</f>
        <v>38.333333333333336</v>
      </c>
      <c r="G1480" s="4">
        <v>43923</v>
      </c>
    </row>
    <row r="1481" spans="2:18" x14ac:dyDescent="0.15">
      <c r="C1481" s="2" t="s">
        <v>7</v>
      </c>
      <c r="D1481" s="2" t="s">
        <v>64</v>
      </c>
      <c r="E1481" s="3">
        <f>1600/7</f>
        <v>228.57142857142858</v>
      </c>
      <c r="F1481" s="3">
        <f>149/6</f>
        <v>24.833333333333332</v>
      </c>
      <c r="G1481" s="4">
        <v>44550</v>
      </c>
    </row>
    <row r="1482" spans="2:18" x14ac:dyDescent="0.15">
      <c r="G1482" s="4"/>
    </row>
    <row r="1483" spans="2:18" s="12" customFormat="1" x14ac:dyDescent="0.15">
      <c r="B1483" s="12" t="s">
        <v>6868</v>
      </c>
      <c r="C1483" s="13" t="s">
        <v>970</v>
      </c>
      <c r="D1483" s="13" t="s">
        <v>969</v>
      </c>
      <c r="E1483" s="15"/>
      <c r="F1483" s="15">
        <f>SUM(F1484:F1485)</f>
        <v>62.5</v>
      </c>
      <c r="G1483" s="14">
        <f>G1484</f>
        <v>44578</v>
      </c>
      <c r="M1483" s="13"/>
      <c r="N1483" s="13"/>
      <c r="O1483" s="13"/>
      <c r="P1483" s="13"/>
      <c r="Q1483" s="13"/>
      <c r="R1483" s="13"/>
    </row>
    <row r="1484" spans="2:18" x14ac:dyDescent="0.15">
      <c r="B1484" s="274" t="s">
        <v>7703</v>
      </c>
      <c r="C1484" s="2" t="s">
        <v>7</v>
      </c>
      <c r="D1484" s="2" t="s">
        <v>2136</v>
      </c>
      <c r="E1484" s="3">
        <f>176</f>
        <v>176</v>
      </c>
      <c r="F1484" s="3">
        <f>150/12</f>
        <v>12.5</v>
      </c>
      <c r="G1484" s="4">
        <v>44578</v>
      </c>
    </row>
    <row r="1485" spans="2:18" x14ac:dyDescent="0.15">
      <c r="C1485" s="59" t="s">
        <v>18</v>
      </c>
      <c r="D1485" s="59" t="s">
        <v>2124</v>
      </c>
      <c r="E1485" s="3">
        <v>300</v>
      </c>
      <c r="F1485" s="3">
        <v>50</v>
      </c>
      <c r="G1485" s="4">
        <v>44300</v>
      </c>
      <c r="I1485" s="1">
        <v>700</v>
      </c>
      <c r="J1485" s="1">
        <v>700</v>
      </c>
    </row>
    <row r="1486" spans="2:18" x14ac:dyDescent="0.15">
      <c r="G1486" s="4"/>
    </row>
    <row r="1487" spans="2:18" s="12" customFormat="1" x14ac:dyDescent="0.15">
      <c r="B1487" s="12" t="s">
        <v>1068</v>
      </c>
      <c r="C1487" s="13" t="s">
        <v>970</v>
      </c>
      <c r="D1487" s="13" t="s">
        <v>969</v>
      </c>
      <c r="E1487" s="15"/>
      <c r="F1487" s="15">
        <f>SUM(F1488:F1501)</f>
        <v>62.685714285714283</v>
      </c>
      <c r="G1487" s="14">
        <f>G1490</f>
        <v>44727</v>
      </c>
      <c r="I1487" s="12" t="s">
        <v>7638</v>
      </c>
    </row>
    <row r="1488" spans="2:18" x14ac:dyDescent="0.15">
      <c r="C1488" s="2" t="s">
        <v>5</v>
      </c>
      <c r="D1488" s="2" t="s">
        <v>987</v>
      </c>
      <c r="E1488" s="3">
        <v>25</v>
      </c>
      <c r="F1488" s="3">
        <f>15/4</f>
        <v>3.75</v>
      </c>
      <c r="G1488" s="4">
        <v>44615</v>
      </c>
    </row>
    <row r="1489" spans="2:18" x14ac:dyDescent="0.15">
      <c r="C1489" s="2" t="s">
        <v>5</v>
      </c>
      <c r="D1489" s="2" t="s">
        <v>736</v>
      </c>
      <c r="E1489" s="3">
        <v>21</v>
      </c>
      <c r="F1489" s="3">
        <f>14/5</f>
        <v>2.8</v>
      </c>
      <c r="G1489" s="4">
        <v>44489</v>
      </c>
    </row>
    <row r="1490" spans="2:18" x14ac:dyDescent="0.15">
      <c r="C1490" s="2" t="s">
        <v>5</v>
      </c>
      <c r="D1490" s="2" t="s">
        <v>466</v>
      </c>
      <c r="E1490" s="3">
        <v>15.5</v>
      </c>
      <c r="F1490" s="3">
        <v>3</v>
      </c>
      <c r="G1490" s="4">
        <v>44727</v>
      </c>
    </row>
    <row r="1491" spans="2:18" x14ac:dyDescent="0.15">
      <c r="C1491" s="2" t="s">
        <v>4</v>
      </c>
      <c r="D1491" s="2" t="s">
        <v>425</v>
      </c>
      <c r="E1491" s="3">
        <v>7</v>
      </c>
      <c r="F1491" s="3">
        <v>0.7142857142857143</v>
      </c>
      <c r="G1491" s="4">
        <v>43046</v>
      </c>
    </row>
    <row r="1492" spans="2:18" x14ac:dyDescent="0.15">
      <c r="C1492" s="2" t="s">
        <v>7</v>
      </c>
      <c r="D1492" s="2" t="s">
        <v>363</v>
      </c>
      <c r="E1492" s="3">
        <v>120</v>
      </c>
      <c r="F1492" s="3">
        <f>90/8</f>
        <v>11.25</v>
      </c>
      <c r="G1492" s="4">
        <v>44602</v>
      </c>
    </row>
    <row r="1493" spans="2:18" x14ac:dyDescent="0.15">
      <c r="C1493" s="2" t="s">
        <v>5</v>
      </c>
      <c r="D1493" s="2" t="s">
        <v>313</v>
      </c>
      <c r="E1493" s="3">
        <v>57</v>
      </c>
      <c r="F1493" s="3">
        <v>6</v>
      </c>
      <c r="G1493" s="4">
        <v>44508</v>
      </c>
    </row>
    <row r="1494" spans="2:18" x14ac:dyDescent="0.15">
      <c r="C1494" s="2" t="s">
        <v>18</v>
      </c>
      <c r="D1494" s="2" t="s">
        <v>292</v>
      </c>
      <c r="E1494" s="3">
        <v>38</v>
      </c>
      <c r="F1494" s="3">
        <f>20/6</f>
        <v>3.3333333333333335</v>
      </c>
      <c r="G1494" s="4">
        <v>43104</v>
      </c>
    </row>
    <row r="1495" spans="2:18" x14ac:dyDescent="0.15">
      <c r="C1495" s="2" t="s">
        <v>8</v>
      </c>
      <c r="D1495" s="2" t="s">
        <v>131</v>
      </c>
      <c r="E1495" s="3">
        <v>135</v>
      </c>
      <c r="F1495" s="3">
        <f>115/14</f>
        <v>8.2142857142857135</v>
      </c>
      <c r="G1495" s="4">
        <v>44880</v>
      </c>
    </row>
    <row r="1496" spans="2:18" x14ac:dyDescent="0.15">
      <c r="C1496" s="2" t="s">
        <v>9</v>
      </c>
      <c r="D1496" s="2" t="s">
        <v>22</v>
      </c>
      <c r="E1496" s="3">
        <v>222</v>
      </c>
      <c r="F1496" s="3">
        <f>200/21</f>
        <v>9.5238095238095237</v>
      </c>
      <c r="G1496" s="4">
        <v>44194</v>
      </c>
      <c r="I1496" s="1">
        <v>2500</v>
      </c>
      <c r="J1496" s="1">
        <v>2500</v>
      </c>
    </row>
    <row r="1497" spans="2:18" x14ac:dyDescent="0.15">
      <c r="C1497" s="2" t="s">
        <v>18</v>
      </c>
      <c r="D1497" s="2" t="s">
        <v>22</v>
      </c>
      <c r="E1497" s="3">
        <v>50</v>
      </c>
      <c r="F1497" s="3">
        <v>5</v>
      </c>
      <c r="G1497" s="4">
        <v>43051</v>
      </c>
      <c r="J1497" s="1">
        <v>2500</v>
      </c>
    </row>
    <row r="1498" spans="2:18" x14ac:dyDescent="0.15">
      <c r="C1498" s="2" t="s">
        <v>5</v>
      </c>
      <c r="D1498" s="2" t="s">
        <v>22</v>
      </c>
      <c r="E1498" s="3">
        <v>30</v>
      </c>
      <c r="F1498" s="3">
        <v>5</v>
      </c>
      <c r="G1498" s="4">
        <v>42674</v>
      </c>
      <c r="J1498" s="1">
        <v>2500</v>
      </c>
    </row>
    <row r="1499" spans="2:18" x14ac:dyDescent="0.15">
      <c r="C1499" s="193" t="s">
        <v>5</v>
      </c>
      <c r="D1499" s="193" t="s">
        <v>6829</v>
      </c>
      <c r="E1499" s="3">
        <v>11</v>
      </c>
      <c r="F1499" s="3">
        <v>2</v>
      </c>
      <c r="G1499" s="4">
        <v>43215</v>
      </c>
    </row>
    <row r="1500" spans="2:18" x14ac:dyDescent="0.15">
      <c r="C1500" s="261" t="s">
        <v>5</v>
      </c>
      <c r="D1500" s="261" t="s">
        <v>2015</v>
      </c>
      <c r="E1500" s="3">
        <v>9</v>
      </c>
      <c r="F1500" s="3">
        <f>6/4</f>
        <v>1.5</v>
      </c>
      <c r="G1500" s="4">
        <v>44540</v>
      </c>
    </row>
    <row r="1501" spans="2:18" x14ac:dyDescent="0.15">
      <c r="C1501" s="261" t="s">
        <v>4</v>
      </c>
      <c r="D1501" s="261" t="s">
        <v>7657</v>
      </c>
      <c r="E1501" s="3">
        <v>2.2000000000000002</v>
      </c>
      <c r="F1501" s="3">
        <v>0.6</v>
      </c>
      <c r="G1501" s="4">
        <v>43544</v>
      </c>
    </row>
    <row r="1502" spans="2:18" x14ac:dyDescent="0.15">
      <c r="G1502" s="4"/>
    </row>
    <row r="1503" spans="2:18" s="12" customFormat="1" x14ac:dyDescent="0.15">
      <c r="B1503" s="12" t="s">
        <v>25</v>
      </c>
      <c r="C1503" s="13" t="s">
        <v>970</v>
      </c>
      <c r="D1503" s="13" t="s">
        <v>969</v>
      </c>
      <c r="E1503" s="15"/>
      <c r="F1503" s="15">
        <f>SUM(F1504:F1505)</f>
        <v>59.523809523809526</v>
      </c>
      <c r="G1503" s="14">
        <f>G1504</f>
        <v>44194</v>
      </c>
      <c r="M1503" s="13"/>
      <c r="N1503" s="13"/>
      <c r="O1503" s="13"/>
      <c r="P1503" s="13"/>
      <c r="Q1503" s="13"/>
      <c r="R1503" s="13"/>
    </row>
    <row r="1504" spans="2:18" x14ac:dyDescent="0.15">
      <c r="C1504" s="2" t="s">
        <v>9</v>
      </c>
      <c r="D1504" s="2" t="s">
        <v>22</v>
      </c>
      <c r="E1504" s="3">
        <v>222</v>
      </c>
      <c r="F1504" s="3">
        <f>200/21</f>
        <v>9.5238095238095237</v>
      </c>
      <c r="G1504" s="4">
        <v>44194</v>
      </c>
      <c r="I1504" s="1">
        <v>2500</v>
      </c>
      <c r="J1504" s="1">
        <v>2500</v>
      </c>
    </row>
    <row r="1505" spans="2:18" x14ac:dyDescent="0.15">
      <c r="C1505" s="2" t="s">
        <v>8</v>
      </c>
      <c r="D1505" s="2" t="s">
        <v>22</v>
      </c>
      <c r="E1505" s="3">
        <v>150</v>
      </c>
      <c r="F1505" s="3">
        <v>50</v>
      </c>
      <c r="G1505" s="4">
        <v>43885</v>
      </c>
      <c r="I1505" s="1">
        <v>1800</v>
      </c>
      <c r="J1505" s="1">
        <v>2500</v>
      </c>
    </row>
    <row r="1506" spans="2:18" x14ac:dyDescent="0.15">
      <c r="G1506" s="4"/>
    </row>
    <row r="1507" spans="2:18" s="12" customFormat="1" x14ac:dyDescent="0.15">
      <c r="B1507" s="12" t="s">
        <v>24</v>
      </c>
      <c r="C1507" s="13" t="s">
        <v>970</v>
      </c>
      <c r="D1507" s="13" t="s">
        <v>969</v>
      </c>
      <c r="E1507" s="15"/>
      <c r="F1507" s="15">
        <f>SUM(F1508:F1509)</f>
        <v>59.523809523809526</v>
      </c>
      <c r="G1507" s="14">
        <f>G1508</f>
        <v>44194</v>
      </c>
      <c r="M1507" s="13"/>
      <c r="N1507" s="13"/>
      <c r="O1507" s="13"/>
      <c r="P1507" s="13"/>
      <c r="Q1507" s="13"/>
      <c r="R1507" s="13"/>
    </row>
    <row r="1508" spans="2:18" x14ac:dyDescent="0.15">
      <c r="C1508" s="2" t="s">
        <v>9</v>
      </c>
      <c r="D1508" s="2" t="s">
        <v>22</v>
      </c>
      <c r="E1508" s="3">
        <v>222</v>
      </c>
      <c r="F1508" s="3">
        <f>200/21</f>
        <v>9.5238095238095237</v>
      </c>
      <c r="G1508" s="4">
        <v>44194</v>
      </c>
      <c r="I1508" s="1">
        <v>2500</v>
      </c>
      <c r="J1508" s="1">
        <v>2500</v>
      </c>
    </row>
    <row r="1509" spans="2:18" x14ac:dyDescent="0.15">
      <c r="C1509" s="2" t="s">
        <v>8</v>
      </c>
      <c r="D1509" s="2" t="s">
        <v>22</v>
      </c>
      <c r="E1509" s="3">
        <v>150</v>
      </c>
      <c r="F1509" s="3">
        <v>50</v>
      </c>
      <c r="G1509" s="4">
        <v>43885</v>
      </c>
      <c r="I1509" s="1">
        <v>1800</v>
      </c>
      <c r="J1509" s="1">
        <v>2500</v>
      </c>
    </row>
    <row r="1510" spans="2:18" x14ac:dyDescent="0.15">
      <c r="G1510" s="4"/>
    </row>
    <row r="1511" spans="2:18" s="12" customFormat="1" x14ac:dyDescent="0.15">
      <c r="B1511" s="12" t="s">
        <v>6867</v>
      </c>
      <c r="C1511" s="13" t="s">
        <v>970</v>
      </c>
      <c r="D1511" s="13" t="s">
        <v>969</v>
      </c>
      <c r="E1511" s="15"/>
      <c r="F1511" s="15">
        <f>SUM(F1512:F1514)</f>
        <v>59.383333333333333</v>
      </c>
      <c r="G1511" s="14">
        <f>G1512</f>
        <v>44600</v>
      </c>
    </row>
    <row r="1512" spans="2:18" x14ac:dyDescent="0.15">
      <c r="B1512" s="274" t="s">
        <v>7703</v>
      </c>
      <c r="C1512" s="2" t="s">
        <v>7</v>
      </c>
      <c r="D1512" s="2" t="s">
        <v>457</v>
      </c>
      <c r="E1512" s="3">
        <v>26.8</v>
      </c>
      <c r="F1512" s="3">
        <v>6.8</v>
      </c>
      <c r="G1512" s="4">
        <v>44600</v>
      </c>
      <c r="M1512" s="1"/>
      <c r="N1512" s="1"/>
      <c r="O1512" s="1"/>
      <c r="P1512" s="1"/>
      <c r="Q1512" s="1"/>
      <c r="R1512" s="1"/>
    </row>
    <row r="1513" spans="2:18" x14ac:dyDescent="0.15">
      <c r="C1513" s="2" t="s">
        <v>53</v>
      </c>
      <c r="D1513" s="2" t="s">
        <v>176</v>
      </c>
      <c r="E1513" s="3">
        <v>475</v>
      </c>
      <c r="F1513" s="3">
        <f>E1513/12</f>
        <v>39.583333333333336</v>
      </c>
      <c r="G1513" s="4">
        <v>44278</v>
      </c>
      <c r="M1513" s="1"/>
      <c r="N1513" s="1"/>
      <c r="O1513" s="1"/>
      <c r="P1513" s="1"/>
      <c r="Q1513" s="1"/>
      <c r="R1513" s="1"/>
    </row>
    <row r="1514" spans="2:18" x14ac:dyDescent="0.15">
      <c r="C1514" s="2" t="s">
        <v>7</v>
      </c>
      <c r="D1514" s="2" t="s">
        <v>2136</v>
      </c>
      <c r="E1514" s="3">
        <v>176</v>
      </c>
      <c r="F1514" s="3">
        <v>13</v>
      </c>
      <c r="G1514" s="4">
        <v>44578</v>
      </c>
      <c r="M1514" s="1"/>
      <c r="N1514" s="1"/>
      <c r="O1514" s="1"/>
      <c r="P1514" s="1"/>
      <c r="Q1514" s="1"/>
      <c r="R1514" s="1"/>
    </row>
    <row r="1515" spans="2:18" x14ac:dyDescent="0.15">
      <c r="G1515" s="4"/>
      <c r="M1515" s="1"/>
      <c r="N1515" s="1"/>
      <c r="O1515" s="1"/>
      <c r="P1515" s="1"/>
      <c r="Q1515" s="1"/>
      <c r="R1515" s="1"/>
    </row>
    <row r="1516" spans="2:18" s="12" customFormat="1" x14ac:dyDescent="0.15">
      <c r="B1516" s="12" t="s">
        <v>156</v>
      </c>
      <c r="C1516" s="13" t="s">
        <v>970</v>
      </c>
      <c r="D1516" s="13" t="s">
        <v>969</v>
      </c>
      <c r="E1516" s="15"/>
      <c r="F1516" s="15">
        <f>SUM(F1517:F1521)</f>
        <v>58.214285714285715</v>
      </c>
      <c r="G1516" s="14">
        <f>G1517</f>
        <v>44067</v>
      </c>
      <c r="M1516" s="13"/>
      <c r="N1516" s="13"/>
      <c r="O1516" s="13"/>
      <c r="P1516" s="13"/>
      <c r="Q1516" s="13"/>
      <c r="R1516" s="13"/>
    </row>
    <row r="1517" spans="2:18" x14ac:dyDescent="0.15">
      <c r="C1517" s="2" t="s">
        <v>18</v>
      </c>
      <c r="D1517" s="2" t="s">
        <v>154</v>
      </c>
      <c r="E1517" s="3">
        <v>101</v>
      </c>
      <c r="F1517" s="3">
        <v>25</v>
      </c>
      <c r="G1517" s="4">
        <v>44067</v>
      </c>
    </row>
    <row r="1518" spans="2:18" x14ac:dyDescent="0.15">
      <c r="C1518" s="2" t="s">
        <v>4</v>
      </c>
      <c r="D1518" s="2" t="s">
        <v>154</v>
      </c>
      <c r="E1518" s="3">
        <v>4</v>
      </c>
      <c r="F1518" s="3">
        <v>1.5</v>
      </c>
      <c r="G1518" s="4">
        <v>42023</v>
      </c>
    </row>
    <row r="1519" spans="2:18" x14ac:dyDescent="0.15">
      <c r="C1519" s="2" t="s">
        <v>18</v>
      </c>
      <c r="D1519" s="2" t="s">
        <v>32</v>
      </c>
      <c r="E1519" s="3">
        <v>230</v>
      </c>
      <c r="F1519" s="3">
        <f>110/7</f>
        <v>15.714285714285714</v>
      </c>
      <c r="G1519" s="4">
        <v>43634</v>
      </c>
    </row>
    <row r="1520" spans="2:18" x14ac:dyDescent="0.15">
      <c r="C1520" s="2" t="s">
        <v>7</v>
      </c>
      <c r="D1520" s="2" t="s">
        <v>32</v>
      </c>
      <c r="E1520" s="3">
        <v>45</v>
      </c>
      <c r="F1520" s="3">
        <v>11</v>
      </c>
      <c r="G1520" s="4">
        <v>43263</v>
      </c>
    </row>
    <row r="1521" spans="2:18" x14ac:dyDescent="0.15">
      <c r="C1521" s="2" t="s">
        <v>5</v>
      </c>
      <c r="D1521" s="2" t="s">
        <v>32</v>
      </c>
      <c r="E1521" s="3">
        <v>18</v>
      </c>
      <c r="F1521" s="3">
        <v>5</v>
      </c>
      <c r="G1521" s="4">
        <v>42983</v>
      </c>
    </row>
    <row r="1522" spans="2:18" x14ac:dyDescent="0.15">
      <c r="G1522" s="4"/>
    </row>
    <row r="1523" spans="2:18" x14ac:dyDescent="0.15">
      <c r="B1523" s="12" t="s">
        <v>1067</v>
      </c>
      <c r="C1523" s="13" t="s">
        <v>970</v>
      </c>
      <c r="D1523" s="13" t="s">
        <v>969</v>
      </c>
      <c r="F1523" s="15">
        <f>SUM(F1524:F1528)</f>
        <v>56.133333333333333</v>
      </c>
      <c r="G1523" s="14">
        <f>G1525</f>
        <v>45070</v>
      </c>
    </row>
    <row r="1524" spans="2:18" x14ac:dyDescent="0.15">
      <c r="C1524" s="2" t="s">
        <v>18</v>
      </c>
      <c r="D1524" s="2" t="s">
        <v>953</v>
      </c>
      <c r="E1524" s="3">
        <v>270</v>
      </c>
      <c r="F1524" s="3">
        <v>50</v>
      </c>
      <c r="G1524" s="4">
        <v>45048</v>
      </c>
    </row>
    <row r="1525" spans="2:18" x14ac:dyDescent="0.15">
      <c r="C1525" s="2" t="s">
        <v>5</v>
      </c>
      <c r="D1525" s="2" t="s">
        <v>784</v>
      </c>
      <c r="E1525" s="3">
        <v>10.9</v>
      </c>
      <c r="F1525" s="3">
        <f>8/6</f>
        <v>1.3333333333333333</v>
      </c>
      <c r="G1525" s="4">
        <v>45070</v>
      </c>
    </row>
    <row r="1526" spans="2:18" x14ac:dyDescent="0.15">
      <c r="C1526" s="2" t="s">
        <v>5</v>
      </c>
      <c r="D1526" s="2" t="s">
        <v>704</v>
      </c>
      <c r="E1526" s="3">
        <v>6</v>
      </c>
      <c r="F1526" s="3">
        <v>1</v>
      </c>
      <c r="G1526" s="4">
        <v>44917</v>
      </c>
    </row>
    <row r="1527" spans="2:18" x14ac:dyDescent="0.15">
      <c r="C1527" s="2" t="s">
        <v>4</v>
      </c>
      <c r="D1527" s="2" t="s">
        <v>704</v>
      </c>
      <c r="E1527" s="3">
        <v>3.6</v>
      </c>
      <c r="F1527" s="3">
        <v>1.8</v>
      </c>
      <c r="G1527" s="4">
        <v>43361</v>
      </c>
    </row>
    <row r="1528" spans="2:18" x14ac:dyDescent="0.15">
      <c r="C1528" s="2" t="s">
        <v>5</v>
      </c>
      <c r="D1528" s="2" t="s">
        <v>298</v>
      </c>
      <c r="E1528" s="3">
        <v>15</v>
      </c>
      <c r="F1528" s="3">
        <v>2</v>
      </c>
      <c r="G1528" s="4">
        <v>44314</v>
      </c>
    </row>
    <row r="1529" spans="2:18" x14ac:dyDescent="0.15">
      <c r="G1529" s="4"/>
    </row>
    <row r="1530" spans="2:18" s="12" customFormat="1" x14ac:dyDescent="0.15">
      <c r="B1530" s="12" t="s">
        <v>157</v>
      </c>
      <c r="C1530" s="13" t="s">
        <v>970</v>
      </c>
      <c r="D1530" s="13" t="s">
        <v>969</v>
      </c>
      <c r="E1530" s="15"/>
      <c r="F1530" s="15">
        <f>SUM(F1531:F1532)</f>
        <v>55</v>
      </c>
      <c r="G1530" s="14">
        <f>G1532</f>
        <v>44557</v>
      </c>
      <c r="M1530" s="13"/>
      <c r="N1530" s="13"/>
      <c r="O1530" s="13"/>
      <c r="P1530" s="13"/>
      <c r="Q1530" s="13"/>
      <c r="R1530" s="13"/>
    </row>
    <row r="1531" spans="2:18" x14ac:dyDescent="0.15">
      <c r="C1531" s="2" t="s">
        <v>8</v>
      </c>
      <c r="D1531" s="2" t="s">
        <v>154</v>
      </c>
      <c r="E1531" s="3">
        <v>100</v>
      </c>
      <c r="F1531" s="3">
        <v>25</v>
      </c>
      <c r="G1531" s="4">
        <v>44067</v>
      </c>
    </row>
    <row r="1532" spans="2:18" x14ac:dyDescent="0.15">
      <c r="C1532" s="2" t="s">
        <v>18</v>
      </c>
      <c r="D1532" s="2" t="s">
        <v>2134</v>
      </c>
      <c r="E1532" s="3">
        <v>200</v>
      </c>
      <c r="F1532" s="3">
        <v>30</v>
      </c>
      <c r="G1532" s="4">
        <v>44557</v>
      </c>
      <c r="I1532" s="1">
        <v>1300</v>
      </c>
      <c r="J1532" s="1">
        <v>1300</v>
      </c>
    </row>
    <row r="1533" spans="2:18" x14ac:dyDescent="0.15">
      <c r="G1533" s="4"/>
    </row>
    <row r="1534" spans="2:18" s="12" customFormat="1" x14ac:dyDescent="0.15">
      <c r="B1534" s="12" t="s">
        <v>668</v>
      </c>
      <c r="C1534" s="13" t="s">
        <v>970</v>
      </c>
      <c r="D1534" s="13" t="s">
        <v>969</v>
      </c>
      <c r="E1534" s="15"/>
      <c r="F1534" s="15">
        <f>SUM(F1535:F1536)</f>
        <v>52.5</v>
      </c>
      <c r="G1534" s="14">
        <f>G1536</f>
        <v>44663</v>
      </c>
    </row>
    <row r="1535" spans="2:18" x14ac:dyDescent="0.15">
      <c r="C1535" s="2" t="s">
        <v>4</v>
      </c>
      <c r="D1535" s="2" t="s">
        <v>667</v>
      </c>
      <c r="E1535" s="3">
        <v>5</v>
      </c>
      <c r="F1535" s="3">
        <v>2.5</v>
      </c>
      <c r="G1535" s="4">
        <v>44277</v>
      </c>
      <c r="M1535" s="1"/>
      <c r="N1535" s="1"/>
      <c r="O1535" s="1"/>
      <c r="P1535" s="1"/>
      <c r="Q1535" s="1"/>
      <c r="R1535" s="1"/>
    </row>
    <row r="1536" spans="2:18" x14ac:dyDescent="0.15">
      <c r="C1536" s="2" t="s">
        <v>4</v>
      </c>
      <c r="D1536" s="2" t="s">
        <v>666</v>
      </c>
      <c r="E1536" s="3">
        <v>100</v>
      </c>
      <c r="F1536" s="3">
        <v>50</v>
      </c>
      <c r="G1536" s="4">
        <v>44663</v>
      </c>
      <c r="M1536" s="1"/>
      <c r="N1536" s="1"/>
      <c r="O1536" s="1"/>
      <c r="P1536" s="1"/>
      <c r="Q1536" s="1"/>
      <c r="R1536" s="1"/>
    </row>
    <row r="1537" spans="2:18" x14ac:dyDescent="0.15">
      <c r="G1537" s="4"/>
      <c r="M1537" s="1"/>
      <c r="N1537" s="1"/>
      <c r="O1537" s="1"/>
      <c r="P1537" s="1"/>
      <c r="Q1537" s="1"/>
      <c r="R1537" s="1"/>
    </row>
    <row r="1538" spans="2:18" s="12" customFormat="1" x14ac:dyDescent="0.15">
      <c r="B1538" s="12" t="s">
        <v>61</v>
      </c>
      <c r="C1538" s="13" t="s">
        <v>970</v>
      </c>
      <c r="D1538" s="13" t="s">
        <v>969</v>
      </c>
      <c r="E1538" s="15"/>
      <c r="F1538" s="15">
        <f>SUM(F1539:F1540)</f>
        <v>52.5</v>
      </c>
      <c r="G1538" s="14">
        <f>G1539</f>
        <v>45069</v>
      </c>
      <c r="M1538" s="13"/>
      <c r="N1538" s="13"/>
      <c r="O1538" s="13"/>
      <c r="P1538" s="13"/>
      <c r="Q1538" s="13"/>
      <c r="R1538" s="13"/>
    </row>
    <row r="1539" spans="2:18" x14ac:dyDescent="0.15">
      <c r="C1539" s="2" t="s">
        <v>8</v>
      </c>
      <c r="D1539" s="2" t="s">
        <v>57</v>
      </c>
      <c r="E1539" s="3">
        <v>250</v>
      </c>
      <c r="F1539" s="3">
        <f>150/4</f>
        <v>37.5</v>
      </c>
      <c r="G1539" s="4">
        <v>45069</v>
      </c>
    </row>
    <row r="1540" spans="2:18" x14ac:dyDescent="0.15">
      <c r="C1540" s="2" t="s">
        <v>18</v>
      </c>
      <c r="D1540" s="2" t="s">
        <v>57</v>
      </c>
      <c r="E1540" s="3">
        <v>100</v>
      </c>
      <c r="F1540" s="3">
        <f>75/5</f>
        <v>15</v>
      </c>
      <c r="G1540" s="4">
        <v>44650</v>
      </c>
    </row>
    <row r="1541" spans="2:18" x14ac:dyDescent="0.15">
      <c r="G1541" s="4"/>
    </row>
    <row r="1542" spans="2:18" s="12" customFormat="1" x14ac:dyDescent="0.15">
      <c r="B1542" s="12" t="s">
        <v>940</v>
      </c>
      <c r="C1542" s="13" t="s">
        <v>970</v>
      </c>
      <c r="D1542" s="13" t="s">
        <v>969</v>
      </c>
      <c r="E1542" s="15"/>
      <c r="F1542" s="15">
        <f>SUM(F1543:F1544)</f>
        <v>52.583333333333336</v>
      </c>
      <c r="G1542" s="14">
        <f>G1543</f>
        <v>44860</v>
      </c>
      <c r="M1542" s="13"/>
      <c r="N1542" s="13"/>
      <c r="O1542" s="13"/>
      <c r="P1542" s="13"/>
      <c r="Q1542" s="13"/>
      <c r="R1542" s="13"/>
    </row>
    <row r="1543" spans="2:18" x14ac:dyDescent="0.15">
      <c r="C1543" s="2" t="s">
        <v>7</v>
      </c>
      <c r="D1543" s="2" t="s">
        <v>399</v>
      </c>
      <c r="E1543" s="3">
        <v>37</v>
      </c>
      <c r="F1543" s="3">
        <v>13</v>
      </c>
      <c r="G1543" s="4">
        <v>44860</v>
      </c>
    </row>
    <row r="1544" spans="2:18" x14ac:dyDescent="0.15">
      <c r="C1544" s="2" t="s">
        <v>53</v>
      </c>
      <c r="D1544" s="2" t="s">
        <v>176</v>
      </c>
      <c r="E1544" s="3">
        <v>475</v>
      </c>
      <c r="F1544" s="3">
        <f>E1544/12</f>
        <v>39.583333333333336</v>
      </c>
      <c r="G1544" s="4">
        <v>44278</v>
      </c>
    </row>
    <row r="1545" spans="2:18" x14ac:dyDescent="0.15">
      <c r="G1545" s="4"/>
    </row>
    <row r="1546" spans="2:18" s="12" customFormat="1" x14ac:dyDescent="0.15">
      <c r="B1546" s="12" t="s">
        <v>669</v>
      </c>
      <c r="C1546" s="13" t="s">
        <v>970</v>
      </c>
      <c r="D1546" s="13" t="s">
        <v>969</v>
      </c>
      <c r="E1546" s="15"/>
      <c r="F1546" s="15">
        <f>SUM(F1547:F1548)</f>
        <v>51.6</v>
      </c>
      <c r="G1546" s="14">
        <f>G1547</f>
        <v>44952</v>
      </c>
    </row>
    <row r="1547" spans="2:18" x14ac:dyDescent="0.15">
      <c r="B1547" s="274" t="s">
        <v>7703</v>
      </c>
      <c r="C1547" s="2" t="s">
        <v>5</v>
      </c>
      <c r="D1547" s="2" t="s">
        <v>667</v>
      </c>
      <c r="E1547" s="3">
        <v>12.7</v>
      </c>
      <c r="F1547" s="3">
        <f>8/5</f>
        <v>1.6</v>
      </c>
      <c r="G1547" s="4">
        <v>44952</v>
      </c>
      <c r="M1547" s="1"/>
      <c r="N1547" s="1"/>
      <c r="O1547" s="1"/>
      <c r="P1547" s="1"/>
      <c r="Q1547" s="1"/>
      <c r="R1547" s="1"/>
    </row>
    <row r="1548" spans="2:18" x14ac:dyDescent="0.15">
      <c r="C1548" s="2" t="s">
        <v>4</v>
      </c>
      <c r="D1548" s="2" t="s">
        <v>666</v>
      </c>
      <c r="E1548" s="3">
        <v>100</v>
      </c>
      <c r="F1548" s="3">
        <v>50</v>
      </c>
      <c r="G1548" s="4">
        <v>44663</v>
      </c>
      <c r="M1548" s="1"/>
      <c r="N1548" s="1"/>
      <c r="O1548" s="1"/>
      <c r="P1548" s="1"/>
      <c r="Q1548" s="1"/>
      <c r="R1548" s="1"/>
    </row>
    <row r="1549" spans="2:18" x14ac:dyDescent="0.15">
      <c r="G1549" s="4"/>
      <c r="M1549" s="1"/>
      <c r="N1549" s="1"/>
      <c r="O1549" s="1"/>
      <c r="P1549" s="1"/>
      <c r="Q1549" s="1"/>
      <c r="R1549" s="1"/>
    </row>
    <row r="1550" spans="2:18" s="12" customFormat="1" x14ac:dyDescent="0.15">
      <c r="B1550" s="12" t="s">
        <v>4497</v>
      </c>
      <c r="C1550" s="13" t="s">
        <v>970</v>
      </c>
      <c r="D1550" s="13" t="s">
        <v>969</v>
      </c>
      <c r="E1550" s="15"/>
      <c r="F1550" s="15">
        <f>SUM(F1551:F1552)</f>
        <v>52</v>
      </c>
      <c r="G1550" s="14">
        <f>G1551</f>
        <v>44557</v>
      </c>
      <c r="M1550" s="13"/>
      <c r="N1550" s="13"/>
      <c r="O1550" s="13"/>
      <c r="P1550" s="13"/>
      <c r="Q1550" s="13"/>
      <c r="R1550" s="13"/>
    </row>
    <row r="1551" spans="2:18" x14ac:dyDescent="0.15">
      <c r="C1551" s="2" t="s">
        <v>18</v>
      </c>
      <c r="D1551" s="2" t="s">
        <v>2134</v>
      </c>
      <c r="E1551" s="3">
        <v>200</v>
      </c>
      <c r="F1551" s="3">
        <v>12</v>
      </c>
      <c r="G1551" s="4">
        <v>44557</v>
      </c>
      <c r="I1551" s="1">
        <v>1300</v>
      </c>
      <c r="J1551" s="1">
        <v>1300</v>
      </c>
    </row>
    <row r="1552" spans="2:18" x14ac:dyDescent="0.15">
      <c r="C1552" s="2" t="s">
        <v>7</v>
      </c>
      <c r="D1552" s="2" t="s">
        <v>2134</v>
      </c>
      <c r="E1552" s="3">
        <v>40</v>
      </c>
      <c r="F1552" s="3">
        <v>40</v>
      </c>
      <c r="G1552" s="4">
        <v>43962</v>
      </c>
      <c r="J1552" s="1">
        <v>1300</v>
      </c>
    </row>
    <row r="1553" spans="2:18" x14ac:dyDescent="0.15">
      <c r="G1553" s="4"/>
    </row>
    <row r="1554" spans="2:18" s="12" customFormat="1" x14ac:dyDescent="0.15">
      <c r="B1554" s="12" t="s">
        <v>806</v>
      </c>
      <c r="C1554" s="13" t="s">
        <v>970</v>
      </c>
      <c r="D1554" s="13" t="s">
        <v>969</v>
      </c>
      <c r="E1554" s="15"/>
      <c r="F1554" s="15">
        <f>SUM(F1555:F1556)</f>
        <v>51.6</v>
      </c>
      <c r="G1554" s="14">
        <f>G1556</f>
        <v>45044</v>
      </c>
      <c r="M1554" s="13"/>
      <c r="N1554" s="13"/>
      <c r="O1554" s="13"/>
      <c r="P1554" s="13"/>
      <c r="Q1554" s="13"/>
      <c r="R1554" s="13"/>
    </row>
    <row r="1555" spans="2:18" x14ac:dyDescent="0.15">
      <c r="C1555" s="2" t="s">
        <v>5</v>
      </c>
      <c r="D1555" s="2" t="s">
        <v>667</v>
      </c>
      <c r="E1555" s="3">
        <v>12.7</v>
      </c>
      <c r="F1555" s="3">
        <f>8/5</f>
        <v>1.6</v>
      </c>
      <c r="G1555" s="4">
        <v>44952</v>
      </c>
    </row>
    <row r="1556" spans="2:18" x14ac:dyDescent="0.15">
      <c r="C1556" s="2" t="s">
        <v>1</v>
      </c>
      <c r="D1556" s="2" t="s">
        <v>0</v>
      </c>
      <c r="E1556" s="3">
        <v>300</v>
      </c>
      <c r="F1556" s="3">
        <f>E1556/6</f>
        <v>50</v>
      </c>
      <c r="G1556" s="4">
        <v>45044</v>
      </c>
      <c r="I1556" s="1">
        <v>2870</v>
      </c>
      <c r="J1556" s="1">
        <v>28700</v>
      </c>
    </row>
    <row r="1557" spans="2:18" x14ac:dyDescent="0.15">
      <c r="G1557" s="4"/>
    </row>
    <row r="1558" spans="2:18" s="12" customFormat="1" x14ac:dyDescent="0.15">
      <c r="B1558" s="12" t="s">
        <v>724</v>
      </c>
      <c r="C1558" s="13" t="s">
        <v>970</v>
      </c>
      <c r="D1558" s="13" t="s">
        <v>969</v>
      </c>
      <c r="E1558" s="15"/>
      <c r="F1558" s="15">
        <f>SUM(F1559:F1564)</f>
        <v>52.166666666666664</v>
      </c>
      <c r="G1558" s="14">
        <f>G1559</f>
        <v>44903</v>
      </c>
      <c r="M1558" s="13"/>
      <c r="N1558" s="13"/>
      <c r="O1558" s="13"/>
      <c r="P1558" s="13"/>
      <c r="Q1558" s="13"/>
      <c r="R1558" s="13"/>
    </row>
    <row r="1559" spans="2:18" x14ac:dyDescent="0.15">
      <c r="C1559" s="2" t="s">
        <v>5</v>
      </c>
      <c r="D1559" s="2" t="s">
        <v>723</v>
      </c>
      <c r="E1559" s="3">
        <v>20</v>
      </c>
      <c r="F1559" s="3">
        <f>13/6</f>
        <v>2.1666666666666665</v>
      </c>
      <c r="G1559" s="4">
        <v>44903</v>
      </c>
    </row>
    <row r="1560" spans="2:18" x14ac:dyDescent="0.15">
      <c r="C1560" s="2" t="s">
        <v>5</v>
      </c>
      <c r="D1560" s="2" t="s">
        <v>723</v>
      </c>
      <c r="E1560" s="3">
        <v>11</v>
      </c>
      <c r="F1560" s="3">
        <v>5</v>
      </c>
      <c r="G1560" s="4">
        <v>44313</v>
      </c>
    </row>
    <row r="1561" spans="2:18" x14ac:dyDescent="0.15">
      <c r="C1561" s="2" t="s">
        <v>9</v>
      </c>
      <c r="D1561" s="2" t="s">
        <v>22</v>
      </c>
      <c r="E1561" s="3">
        <v>222</v>
      </c>
      <c r="F1561" s="3">
        <v>10</v>
      </c>
      <c r="G1561" s="4">
        <v>44194</v>
      </c>
      <c r="I1561" s="1">
        <v>2500</v>
      </c>
      <c r="J1561" s="1">
        <v>2500</v>
      </c>
    </row>
    <row r="1562" spans="2:18" x14ac:dyDescent="0.15">
      <c r="C1562" s="2" t="s">
        <v>8</v>
      </c>
      <c r="D1562" s="2" t="s">
        <v>22</v>
      </c>
      <c r="E1562" s="3">
        <v>200</v>
      </c>
      <c r="F1562" s="3">
        <v>13</v>
      </c>
      <c r="G1562" s="4">
        <v>43452</v>
      </c>
      <c r="I1562" s="1">
        <v>1500</v>
      </c>
      <c r="J1562" s="1">
        <v>2500</v>
      </c>
    </row>
    <row r="1563" spans="2:18" x14ac:dyDescent="0.15">
      <c r="C1563" s="2" t="s">
        <v>7</v>
      </c>
      <c r="D1563" s="2" t="s">
        <v>22</v>
      </c>
      <c r="E1563" s="3">
        <v>30</v>
      </c>
      <c r="F1563" s="3">
        <v>8</v>
      </c>
      <c r="G1563" s="4">
        <v>42936</v>
      </c>
    </row>
    <row r="1564" spans="2:18" x14ac:dyDescent="0.15">
      <c r="C1564" s="100" t="s">
        <v>7</v>
      </c>
      <c r="D1564" s="100" t="s">
        <v>2081</v>
      </c>
      <c r="E1564" s="3">
        <v>100</v>
      </c>
      <c r="F1564" s="3">
        <f>70/5</f>
        <v>14</v>
      </c>
      <c r="G1564" s="4">
        <v>44937</v>
      </c>
      <c r="I1564" s="1">
        <v>900</v>
      </c>
      <c r="J1564" s="1">
        <v>900</v>
      </c>
    </row>
    <row r="1565" spans="2:18" x14ac:dyDescent="0.15">
      <c r="G1565" s="4"/>
    </row>
    <row r="1566" spans="2:18" s="12" customFormat="1" x14ac:dyDescent="0.15">
      <c r="B1566" s="12" t="s">
        <v>10</v>
      </c>
      <c r="C1566" s="13" t="s">
        <v>970</v>
      </c>
      <c r="D1566" s="13" t="s">
        <v>969</v>
      </c>
      <c r="E1566" s="15"/>
      <c r="F1566" s="15">
        <f>SUM(F1567:F1570)</f>
        <v>52.083333333333336</v>
      </c>
      <c r="G1566" s="14">
        <f>G1567</f>
        <v>44721</v>
      </c>
      <c r="M1566" s="13"/>
      <c r="N1566" s="13"/>
      <c r="O1566" s="13"/>
      <c r="P1566" s="13"/>
      <c r="Q1566" s="13"/>
      <c r="R1566" s="13"/>
    </row>
    <row r="1567" spans="2:18" x14ac:dyDescent="0.15">
      <c r="C1567" s="2" t="s">
        <v>9</v>
      </c>
      <c r="D1567" s="2" t="s">
        <v>3</v>
      </c>
      <c r="E1567" s="3">
        <v>90</v>
      </c>
      <c r="F1567" s="3">
        <v>10</v>
      </c>
      <c r="G1567" s="4">
        <v>44721</v>
      </c>
      <c r="I1567" s="1">
        <v>2200</v>
      </c>
      <c r="J1567" s="1">
        <v>2200</v>
      </c>
    </row>
    <row r="1568" spans="2:18" x14ac:dyDescent="0.15">
      <c r="C1568" s="2" t="s">
        <v>8</v>
      </c>
      <c r="D1568" s="2" t="s">
        <v>3</v>
      </c>
      <c r="E1568" s="3">
        <v>210</v>
      </c>
      <c r="F1568" s="3">
        <v>33.333333333333336</v>
      </c>
      <c r="G1568" s="4">
        <v>44432</v>
      </c>
      <c r="I1568" s="1">
        <v>1000</v>
      </c>
      <c r="J1568" s="1">
        <v>2200</v>
      </c>
    </row>
    <row r="1569" spans="2:18" x14ac:dyDescent="0.15">
      <c r="C1569" s="2" t="s">
        <v>7</v>
      </c>
      <c r="D1569" s="2" t="s">
        <v>3</v>
      </c>
      <c r="E1569" s="3">
        <v>25</v>
      </c>
      <c r="F1569" s="3">
        <v>3.75</v>
      </c>
      <c r="G1569" s="4">
        <v>43697</v>
      </c>
      <c r="J1569" s="1">
        <v>2200</v>
      </c>
    </row>
    <row r="1570" spans="2:18" x14ac:dyDescent="0.15">
      <c r="C1570" s="2" t="s">
        <v>5</v>
      </c>
      <c r="D1570" s="2" t="s">
        <v>3</v>
      </c>
      <c r="E1570" s="3">
        <v>10</v>
      </c>
      <c r="F1570" s="3">
        <v>5</v>
      </c>
      <c r="G1570" s="4">
        <v>43456</v>
      </c>
      <c r="J1570" s="1">
        <v>2200</v>
      </c>
    </row>
    <row r="1571" spans="2:18" x14ac:dyDescent="0.15">
      <c r="G1571" s="4"/>
    </row>
    <row r="1572" spans="2:18" s="12" customFormat="1" x14ac:dyDescent="0.15">
      <c r="B1572" s="49" t="s">
        <v>1015</v>
      </c>
      <c r="C1572" s="50" t="s">
        <v>970</v>
      </c>
      <c r="D1572" s="50" t="s">
        <v>969</v>
      </c>
      <c r="E1572" s="51"/>
      <c r="F1572" s="51">
        <f>SUM(F1573:F1578)</f>
        <v>51</v>
      </c>
      <c r="G1572" s="52">
        <f>G1577</f>
        <v>45104</v>
      </c>
      <c r="M1572" s="13"/>
      <c r="N1572" s="13"/>
      <c r="O1572" s="13"/>
      <c r="P1572" s="13"/>
      <c r="Q1572" s="13"/>
      <c r="R1572" s="13"/>
    </row>
    <row r="1573" spans="2:18" x14ac:dyDescent="0.15">
      <c r="B1573" s="49"/>
      <c r="C1573" s="47" t="s">
        <v>5</v>
      </c>
      <c r="D1573" s="47" t="s">
        <v>936</v>
      </c>
      <c r="E1573" s="40">
        <v>150</v>
      </c>
      <c r="F1573" s="40">
        <v>25</v>
      </c>
      <c r="G1573" s="48">
        <v>45008</v>
      </c>
    </row>
    <row r="1574" spans="2:18" x14ac:dyDescent="0.15">
      <c r="B1574" s="49"/>
      <c r="C1574" s="47" t="s">
        <v>5</v>
      </c>
      <c r="D1574" s="47" t="s">
        <v>447</v>
      </c>
      <c r="E1574" s="40">
        <v>28</v>
      </c>
      <c r="F1574" s="40">
        <v>5</v>
      </c>
      <c r="G1574" s="48">
        <v>44624</v>
      </c>
    </row>
    <row r="1575" spans="2:18" x14ac:dyDescent="0.15">
      <c r="B1575" s="49"/>
      <c r="C1575" s="47" t="s">
        <v>4</v>
      </c>
      <c r="D1575" s="47" t="s">
        <v>447</v>
      </c>
      <c r="E1575" s="40">
        <v>5</v>
      </c>
      <c r="F1575" s="40">
        <v>3</v>
      </c>
      <c r="G1575" s="48">
        <v>44136</v>
      </c>
    </row>
    <row r="1576" spans="2:18" x14ac:dyDescent="0.15">
      <c r="B1576" s="49"/>
      <c r="C1576" s="107" t="s">
        <v>5</v>
      </c>
      <c r="D1576" s="107" t="s">
        <v>3220</v>
      </c>
      <c r="E1576" s="40">
        <v>19</v>
      </c>
      <c r="F1576" s="40">
        <v>3</v>
      </c>
      <c r="G1576" s="48">
        <v>45097</v>
      </c>
    </row>
    <row r="1577" spans="2:18" x14ac:dyDescent="0.15">
      <c r="B1577" s="49"/>
      <c r="C1577" s="107" t="s">
        <v>5</v>
      </c>
      <c r="D1577" s="107" t="s">
        <v>547</v>
      </c>
      <c r="E1577" s="40">
        <v>58</v>
      </c>
      <c r="F1577" s="40">
        <v>10</v>
      </c>
      <c r="G1577" s="48">
        <v>45104</v>
      </c>
      <c r="I1577" s="1">
        <v>242</v>
      </c>
      <c r="J1577" s="1">
        <v>242</v>
      </c>
    </row>
    <row r="1578" spans="2:18" x14ac:dyDescent="0.15">
      <c r="B1578" s="49"/>
      <c r="C1578" s="107" t="s">
        <v>5</v>
      </c>
      <c r="D1578" s="107" t="s">
        <v>1005</v>
      </c>
      <c r="E1578" s="40">
        <v>25.6</v>
      </c>
      <c r="F1578" s="40">
        <v>5</v>
      </c>
      <c r="G1578" s="48">
        <v>45013</v>
      </c>
    </row>
    <row r="1579" spans="2:18" x14ac:dyDescent="0.15">
      <c r="B1579" s="49"/>
      <c r="C1579" s="47"/>
      <c r="D1579" s="47"/>
      <c r="E1579" s="40"/>
      <c r="F1579" s="40"/>
      <c r="G1579" s="48"/>
    </row>
    <row r="1580" spans="2:18" s="12" customFormat="1" x14ac:dyDescent="0.15">
      <c r="B1580" s="12" t="s">
        <v>454</v>
      </c>
      <c r="C1580" s="13" t="s">
        <v>970</v>
      </c>
      <c r="D1580" s="13" t="s">
        <v>969</v>
      </c>
      <c r="E1580" s="15"/>
      <c r="F1580" s="15">
        <f>SUM(F1581:F1582)</f>
        <v>50</v>
      </c>
      <c r="G1580" s="14">
        <f>G1581</f>
        <v>44776</v>
      </c>
    </row>
    <row r="1581" spans="2:18" x14ac:dyDescent="0.15">
      <c r="C1581" s="2" t="s">
        <v>8</v>
      </c>
      <c r="D1581" s="2" t="s">
        <v>449</v>
      </c>
      <c r="E1581" s="3">
        <v>90</v>
      </c>
      <c r="F1581" s="3">
        <v>20</v>
      </c>
      <c r="G1581" s="4">
        <v>44776</v>
      </c>
      <c r="M1581" s="1"/>
      <c r="N1581" s="1"/>
      <c r="O1581" s="1"/>
      <c r="P1581" s="1"/>
      <c r="Q1581" s="1"/>
      <c r="R1581" s="1"/>
    </row>
    <row r="1582" spans="2:18" x14ac:dyDescent="0.15">
      <c r="C1582" s="2" t="s">
        <v>18</v>
      </c>
      <c r="D1582" s="2" t="s">
        <v>2134</v>
      </c>
      <c r="E1582" s="3">
        <v>200</v>
      </c>
      <c r="F1582" s="3">
        <v>30</v>
      </c>
      <c r="G1582" s="4">
        <v>44557</v>
      </c>
      <c r="I1582" s="1">
        <v>1300</v>
      </c>
      <c r="J1582" s="1">
        <v>1300</v>
      </c>
      <c r="M1582" s="1"/>
      <c r="N1582" s="1"/>
      <c r="O1582" s="1"/>
      <c r="P1582" s="1"/>
      <c r="Q1582" s="1"/>
      <c r="R1582" s="1"/>
    </row>
    <row r="1583" spans="2:18" x14ac:dyDescent="0.15">
      <c r="G1583" s="4"/>
      <c r="M1583" s="1"/>
      <c r="N1583" s="1"/>
      <c r="O1583" s="1"/>
      <c r="P1583" s="1"/>
      <c r="Q1583" s="1"/>
      <c r="R1583" s="1"/>
    </row>
    <row r="1584" spans="2:18" x14ac:dyDescent="0.15">
      <c r="B1584" s="12" t="s">
        <v>5041</v>
      </c>
      <c r="C1584" s="13" t="s">
        <v>970</v>
      </c>
      <c r="D1584" s="13" t="s">
        <v>969</v>
      </c>
      <c r="E1584" s="15"/>
      <c r="F1584" s="15">
        <f>SUM(F1585:F1601)</f>
        <v>50.749999999999993</v>
      </c>
      <c r="G1584" s="14">
        <f>G1588</f>
        <v>45041</v>
      </c>
    </row>
    <row r="1585" spans="2:10" x14ac:dyDescent="0.15">
      <c r="B1585" s="274" t="s">
        <v>7703</v>
      </c>
      <c r="C1585" s="2" t="s">
        <v>7</v>
      </c>
      <c r="D1585" s="2" t="s">
        <v>963</v>
      </c>
      <c r="E1585" s="3">
        <v>45</v>
      </c>
      <c r="F1585" s="3">
        <v>10</v>
      </c>
      <c r="G1585" s="4">
        <v>44228</v>
      </c>
    </row>
    <row r="1586" spans="2:10" x14ac:dyDescent="0.15">
      <c r="C1586" s="2" t="s">
        <v>5</v>
      </c>
      <c r="D1586" s="2" t="s">
        <v>963</v>
      </c>
      <c r="E1586" s="3">
        <v>5</v>
      </c>
      <c r="F1586" s="3">
        <v>1</v>
      </c>
      <c r="G1586" s="4">
        <v>43251</v>
      </c>
    </row>
    <row r="1587" spans="2:10" x14ac:dyDescent="0.15">
      <c r="C1587" s="2" t="s">
        <v>5</v>
      </c>
      <c r="D1587" s="2" t="s">
        <v>892</v>
      </c>
      <c r="E1587" s="3">
        <v>14</v>
      </c>
      <c r="F1587" s="3">
        <v>2</v>
      </c>
      <c r="G1587" s="4">
        <v>44131</v>
      </c>
    </row>
    <row r="1588" spans="2:10" x14ac:dyDescent="0.15">
      <c r="C1588" s="2" t="s">
        <v>7</v>
      </c>
      <c r="D1588" s="2" t="s">
        <v>908</v>
      </c>
      <c r="E1588" s="3">
        <v>97.4</v>
      </c>
      <c r="F1588" s="3">
        <f>47/6</f>
        <v>7.833333333333333</v>
      </c>
      <c r="G1588" s="4">
        <v>45041</v>
      </c>
    </row>
    <row r="1589" spans="2:10" x14ac:dyDescent="0.15">
      <c r="C1589" s="2" t="s">
        <v>5</v>
      </c>
      <c r="D1589" s="2" t="s">
        <v>908</v>
      </c>
      <c r="E1589" s="3">
        <v>80</v>
      </c>
      <c r="F1589" s="3">
        <f>40/6</f>
        <v>6.666666666666667</v>
      </c>
      <c r="G1589" s="4">
        <v>44539</v>
      </c>
    </row>
    <row r="1590" spans="2:10" x14ac:dyDescent="0.15">
      <c r="C1590" s="2" t="s">
        <v>4</v>
      </c>
      <c r="D1590" s="2" t="s">
        <v>653</v>
      </c>
      <c r="E1590" s="3">
        <v>12</v>
      </c>
      <c r="F1590" s="3">
        <v>2</v>
      </c>
      <c r="G1590" s="4">
        <v>44971</v>
      </c>
    </row>
    <row r="1591" spans="2:10" x14ac:dyDescent="0.15">
      <c r="C1591" s="2" t="s">
        <v>4</v>
      </c>
      <c r="D1591" s="2" t="s">
        <v>653</v>
      </c>
      <c r="E1591" s="3">
        <v>5</v>
      </c>
      <c r="F1591" s="3">
        <v>1</v>
      </c>
      <c r="G1591" s="4">
        <v>44769</v>
      </c>
    </row>
    <row r="1592" spans="2:10" x14ac:dyDescent="0.15">
      <c r="C1592" s="2" t="s">
        <v>7</v>
      </c>
      <c r="D1592" s="2" t="s">
        <v>526</v>
      </c>
      <c r="E1592" s="3">
        <v>32</v>
      </c>
      <c r="F1592" s="3">
        <v>3</v>
      </c>
      <c r="G1592" s="4">
        <v>44364</v>
      </c>
    </row>
    <row r="1593" spans="2:10" x14ac:dyDescent="0.15">
      <c r="C1593" s="2" t="s">
        <v>5</v>
      </c>
      <c r="D1593" s="2" t="s">
        <v>526</v>
      </c>
      <c r="E1593" s="3">
        <v>10.199999999999999</v>
      </c>
      <c r="F1593" s="3">
        <v>2</v>
      </c>
      <c r="G1593" s="4">
        <v>43732</v>
      </c>
    </row>
    <row r="1594" spans="2:10" x14ac:dyDescent="0.15">
      <c r="C1594" s="2" t="s">
        <v>4</v>
      </c>
      <c r="D1594" s="2" t="s">
        <v>526</v>
      </c>
      <c r="E1594" s="3">
        <v>3</v>
      </c>
      <c r="F1594" s="3">
        <v>0.75</v>
      </c>
      <c r="G1594" s="4">
        <v>43374</v>
      </c>
    </row>
    <row r="1595" spans="2:10" x14ac:dyDescent="0.15">
      <c r="C1595" s="2" t="s">
        <v>7</v>
      </c>
      <c r="D1595" s="2" t="s">
        <v>310</v>
      </c>
      <c r="E1595" s="3">
        <v>40</v>
      </c>
      <c r="F1595" s="3">
        <v>4</v>
      </c>
      <c r="G1595" s="4">
        <v>43419</v>
      </c>
    </row>
    <row r="1596" spans="2:10" x14ac:dyDescent="0.15">
      <c r="C1596" s="2" t="s">
        <v>5</v>
      </c>
      <c r="D1596" s="2" t="s">
        <v>3</v>
      </c>
      <c r="E1596" s="3">
        <v>10.5</v>
      </c>
      <c r="F1596" s="3">
        <v>2</v>
      </c>
      <c r="G1596" s="4">
        <v>42828</v>
      </c>
    </row>
    <row r="1597" spans="2:10" x14ac:dyDescent="0.15">
      <c r="C1597" s="2" t="s">
        <v>4</v>
      </c>
      <c r="D1597" s="2" t="s">
        <v>3</v>
      </c>
      <c r="E1597" s="3">
        <v>2</v>
      </c>
      <c r="F1597" s="3">
        <f>+E1597/3</f>
        <v>0.66666666666666663</v>
      </c>
      <c r="G1597" s="4">
        <v>42521</v>
      </c>
    </row>
    <row r="1598" spans="2:10" x14ac:dyDescent="0.15">
      <c r="C1598" s="62" t="s">
        <v>18</v>
      </c>
      <c r="D1598" s="62" t="s">
        <v>5044</v>
      </c>
      <c r="E1598" s="3">
        <v>27</v>
      </c>
      <c r="F1598" s="3">
        <f>17/3</f>
        <v>5.666666666666667</v>
      </c>
      <c r="G1598" s="4">
        <v>42851</v>
      </c>
      <c r="J1598" s="1">
        <v>210</v>
      </c>
    </row>
    <row r="1599" spans="2:10" x14ac:dyDescent="0.15">
      <c r="C1599" s="62" t="s">
        <v>5</v>
      </c>
      <c r="D1599" s="62" t="s">
        <v>5044</v>
      </c>
      <c r="E1599" s="3">
        <v>3</v>
      </c>
      <c r="F1599" s="3">
        <f>2/3</f>
        <v>0.66666666666666663</v>
      </c>
      <c r="G1599" s="4">
        <v>42220</v>
      </c>
    </row>
    <row r="1600" spans="2:10" x14ac:dyDescent="0.15">
      <c r="C1600" s="169" t="s">
        <v>5</v>
      </c>
      <c r="D1600" s="169" t="s">
        <v>6459</v>
      </c>
      <c r="E1600" s="3">
        <v>8</v>
      </c>
      <c r="F1600" s="3">
        <v>1</v>
      </c>
      <c r="G1600" s="4">
        <v>44179</v>
      </c>
    </row>
    <row r="1601" spans="2:18" x14ac:dyDescent="0.15">
      <c r="C1601" s="169" t="s">
        <v>4</v>
      </c>
      <c r="D1601" s="169" t="s">
        <v>6459</v>
      </c>
      <c r="E1601" s="3">
        <v>2</v>
      </c>
      <c r="F1601" s="3">
        <f>E1601/4</f>
        <v>0.5</v>
      </c>
      <c r="G1601" s="4">
        <v>43430</v>
      </c>
    </row>
    <row r="1602" spans="2:18" x14ac:dyDescent="0.15">
      <c r="G1602" s="4"/>
    </row>
    <row r="1603" spans="2:18" s="12" customFormat="1" x14ac:dyDescent="0.15">
      <c r="B1603" s="12" t="s">
        <v>924</v>
      </c>
      <c r="C1603" s="13" t="s">
        <v>970</v>
      </c>
      <c r="D1603" s="13" t="s">
        <v>969</v>
      </c>
      <c r="E1603" s="15"/>
      <c r="F1603" s="15">
        <f>SUM(F1604:F1607)</f>
        <v>46.917748917748916</v>
      </c>
      <c r="G1603" s="14">
        <f>G1604</f>
        <v>45090</v>
      </c>
      <c r="M1603" s="13"/>
      <c r="N1603" s="13"/>
      <c r="O1603" s="13"/>
      <c r="P1603" s="13"/>
      <c r="Q1603" s="13"/>
      <c r="R1603" s="13"/>
    </row>
    <row r="1604" spans="2:18" x14ac:dyDescent="0.15">
      <c r="C1604" s="2" t="s">
        <v>4</v>
      </c>
      <c r="D1604" s="2" t="s">
        <v>706</v>
      </c>
      <c r="E1604" s="3">
        <v>113</v>
      </c>
      <c r="F1604" s="3">
        <v>8</v>
      </c>
      <c r="G1604" s="4">
        <v>45090</v>
      </c>
    </row>
    <row r="1605" spans="2:18" x14ac:dyDescent="0.15">
      <c r="C1605" s="2" t="s">
        <v>9</v>
      </c>
      <c r="D1605" s="2" t="s">
        <v>22</v>
      </c>
      <c r="E1605" s="3">
        <v>222</v>
      </c>
      <c r="F1605" s="3">
        <f>200/21</f>
        <v>9.5238095238095237</v>
      </c>
      <c r="G1605" s="4">
        <v>44194</v>
      </c>
      <c r="I1605" s="1">
        <v>2500</v>
      </c>
      <c r="J1605" s="1">
        <v>2500</v>
      </c>
    </row>
    <row r="1606" spans="2:18" x14ac:dyDescent="0.15">
      <c r="C1606" s="2" t="s">
        <v>8</v>
      </c>
      <c r="D1606" s="2" t="s">
        <v>22</v>
      </c>
      <c r="E1606" s="3">
        <v>150</v>
      </c>
      <c r="F1606" s="3">
        <f>100/6</f>
        <v>16.666666666666668</v>
      </c>
      <c r="G1606" s="4">
        <v>43885</v>
      </c>
      <c r="I1606" s="1">
        <v>1800</v>
      </c>
      <c r="J1606" s="1">
        <v>2500</v>
      </c>
    </row>
    <row r="1607" spans="2:18" x14ac:dyDescent="0.15">
      <c r="C1607" s="2" t="s">
        <v>8</v>
      </c>
      <c r="D1607" s="2" t="s">
        <v>22</v>
      </c>
      <c r="E1607" s="3">
        <v>200</v>
      </c>
      <c r="F1607" s="3">
        <v>12.727272727272727</v>
      </c>
      <c r="G1607" s="4">
        <v>43452</v>
      </c>
      <c r="I1607" s="1">
        <v>1500</v>
      </c>
      <c r="J1607" s="1">
        <v>2500</v>
      </c>
    </row>
    <row r="1608" spans="2:18" x14ac:dyDescent="0.15">
      <c r="G1608" s="4"/>
    </row>
    <row r="1609" spans="2:18" s="12" customFormat="1" x14ac:dyDescent="0.15">
      <c r="B1609" s="12" t="s">
        <v>1028</v>
      </c>
      <c r="C1609" s="13" t="s">
        <v>970</v>
      </c>
      <c r="D1609" s="13" t="s">
        <v>969</v>
      </c>
      <c r="E1609" s="15"/>
      <c r="F1609" s="15">
        <f>SUM(F1610:F1614)</f>
        <v>47.238095238095241</v>
      </c>
      <c r="G1609" s="14">
        <f>G1611</f>
        <v>44851</v>
      </c>
      <c r="M1609" s="13"/>
      <c r="N1609" s="13"/>
      <c r="O1609" s="13"/>
      <c r="P1609" s="13"/>
      <c r="Q1609" s="13"/>
      <c r="R1609" s="13"/>
    </row>
    <row r="1610" spans="2:18" x14ac:dyDescent="0.15">
      <c r="C1610" s="2" t="s">
        <v>5</v>
      </c>
      <c r="D1610" s="2" t="s">
        <v>731</v>
      </c>
      <c r="E1610" s="3">
        <v>25</v>
      </c>
      <c r="F1610" s="3">
        <f>18/7</f>
        <v>2.5714285714285716</v>
      </c>
      <c r="G1610" s="4">
        <v>44757</v>
      </c>
    </row>
    <row r="1611" spans="2:18" x14ac:dyDescent="0.15">
      <c r="C1611" s="2" t="s">
        <v>5</v>
      </c>
      <c r="D1611" s="2" t="s">
        <v>281</v>
      </c>
      <c r="E1611" s="3">
        <v>32</v>
      </c>
      <c r="F1611" s="3">
        <v>5</v>
      </c>
      <c r="G1611" s="4">
        <v>44851</v>
      </c>
    </row>
    <row r="1612" spans="2:18" x14ac:dyDescent="0.15">
      <c r="C1612" s="2" t="s">
        <v>9</v>
      </c>
      <c r="D1612" s="2" t="s">
        <v>22</v>
      </c>
      <c r="E1612" s="3">
        <v>222</v>
      </c>
      <c r="F1612" s="3">
        <v>10</v>
      </c>
      <c r="G1612" s="4">
        <v>44194</v>
      </c>
      <c r="I1612" s="1">
        <v>2500</v>
      </c>
      <c r="J1612" s="1">
        <v>2500</v>
      </c>
    </row>
    <row r="1613" spans="2:18" x14ac:dyDescent="0.15">
      <c r="C1613" s="2" t="s">
        <v>8</v>
      </c>
      <c r="D1613" s="2" t="s">
        <v>22</v>
      </c>
      <c r="E1613" s="3">
        <v>150</v>
      </c>
      <c r="F1613" s="3">
        <v>16.666666666666668</v>
      </c>
      <c r="G1613" s="4">
        <v>43885</v>
      </c>
      <c r="I1613" s="1">
        <v>1800</v>
      </c>
      <c r="J1613" s="1">
        <v>2500</v>
      </c>
    </row>
    <row r="1614" spans="2:18" x14ac:dyDescent="0.15">
      <c r="C1614" s="2" t="s">
        <v>8</v>
      </c>
      <c r="D1614" s="2" t="s">
        <v>22</v>
      </c>
      <c r="E1614" s="3">
        <v>200</v>
      </c>
      <c r="F1614" s="3">
        <v>13</v>
      </c>
      <c r="G1614" s="4">
        <v>43452</v>
      </c>
      <c r="I1614" s="1">
        <v>1500</v>
      </c>
      <c r="J1614" s="1">
        <v>2500</v>
      </c>
    </row>
    <row r="1615" spans="2:18" x14ac:dyDescent="0.15">
      <c r="G1615" s="4"/>
    </row>
    <row r="1616" spans="2:18" s="12" customFormat="1" x14ac:dyDescent="0.15">
      <c r="B1616" s="12" t="s">
        <v>1062</v>
      </c>
      <c r="C1616" s="13" t="s">
        <v>970</v>
      </c>
      <c r="D1616" s="13" t="s">
        <v>969</v>
      </c>
      <c r="E1616" s="15"/>
      <c r="F1616" s="15">
        <f>SUM(F1617:F1620)</f>
        <v>46.5</v>
      </c>
      <c r="G1616" s="14">
        <f>G1619</f>
        <v>44599</v>
      </c>
    </row>
    <row r="1617" spans="2:18" x14ac:dyDescent="0.15">
      <c r="C1617" s="2" t="s">
        <v>7</v>
      </c>
      <c r="D1617" s="2" t="s">
        <v>455</v>
      </c>
      <c r="E1617" s="3">
        <v>25</v>
      </c>
      <c r="F1617" s="3">
        <v>10</v>
      </c>
      <c r="G1617" s="4">
        <v>43972</v>
      </c>
      <c r="M1617" s="1"/>
      <c r="N1617" s="1"/>
      <c r="O1617" s="1"/>
      <c r="P1617" s="1"/>
      <c r="Q1617" s="1"/>
      <c r="R1617" s="1"/>
    </row>
    <row r="1618" spans="2:18" x14ac:dyDescent="0.15">
      <c r="C1618" s="2" t="s">
        <v>5</v>
      </c>
      <c r="D1618" s="2" t="s">
        <v>455</v>
      </c>
      <c r="E1618" s="3">
        <v>11.5</v>
      </c>
      <c r="F1618" s="3">
        <v>11.5</v>
      </c>
      <c r="G1618" s="4">
        <v>43104</v>
      </c>
      <c r="M1618" s="1"/>
      <c r="N1618" s="1"/>
      <c r="O1618" s="1"/>
      <c r="P1618" s="1"/>
      <c r="Q1618" s="1"/>
      <c r="R1618" s="1"/>
    </row>
    <row r="1619" spans="2:18" x14ac:dyDescent="0.15">
      <c r="C1619" s="2" t="s">
        <v>18</v>
      </c>
      <c r="D1619" s="2" t="s">
        <v>1057</v>
      </c>
      <c r="E1619" s="3">
        <v>40</v>
      </c>
      <c r="F1619" s="3">
        <v>7</v>
      </c>
      <c r="G1619" s="4">
        <v>44599</v>
      </c>
      <c r="M1619" s="1"/>
      <c r="N1619" s="1"/>
      <c r="O1619" s="1"/>
      <c r="P1619" s="1"/>
      <c r="Q1619" s="1"/>
      <c r="R1619" s="1"/>
    </row>
    <row r="1620" spans="2:18" x14ac:dyDescent="0.15">
      <c r="C1620" s="2" t="s">
        <v>7</v>
      </c>
      <c r="D1620" s="2" t="s">
        <v>1057</v>
      </c>
      <c r="E1620" s="3">
        <v>28</v>
      </c>
      <c r="F1620" s="3">
        <v>18</v>
      </c>
      <c r="G1620" s="4">
        <v>44377</v>
      </c>
      <c r="M1620" s="1"/>
      <c r="N1620" s="1"/>
      <c r="O1620" s="1"/>
      <c r="P1620" s="1"/>
      <c r="Q1620" s="1"/>
      <c r="R1620" s="1"/>
    </row>
    <row r="1621" spans="2:18" x14ac:dyDescent="0.15">
      <c r="G1621" s="4"/>
      <c r="M1621" s="1"/>
      <c r="N1621" s="1"/>
      <c r="O1621" s="1"/>
      <c r="P1621" s="1"/>
      <c r="Q1621" s="1"/>
      <c r="R1621" s="1"/>
    </row>
    <row r="1622" spans="2:18" x14ac:dyDescent="0.15">
      <c r="B1622" s="12" t="s">
        <v>1038</v>
      </c>
      <c r="C1622" s="13" t="s">
        <v>970</v>
      </c>
      <c r="D1622" s="13" t="s">
        <v>969</v>
      </c>
      <c r="E1622" s="15"/>
      <c r="F1622" s="15">
        <f>SUM(F1623:F1631)</f>
        <v>49.333333333333336</v>
      </c>
      <c r="G1622" s="14">
        <f>G1627</f>
        <v>45007</v>
      </c>
    </row>
    <row r="1623" spans="2:18" x14ac:dyDescent="0.15">
      <c r="C1623" s="2" t="s">
        <v>7</v>
      </c>
      <c r="D1623" s="2" t="s">
        <v>694</v>
      </c>
      <c r="E1623" s="3">
        <v>50</v>
      </c>
      <c r="F1623" s="3">
        <f>25/3</f>
        <v>8.3333333333333339</v>
      </c>
      <c r="G1623" s="4">
        <v>44643</v>
      </c>
    </row>
    <row r="1624" spans="2:18" x14ac:dyDescent="0.15">
      <c r="C1624" s="2" t="s">
        <v>5</v>
      </c>
      <c r="D1624" s="2" t="s">
        <v>694</v>
      </c>
      <c r="E1624" s="3">
        <v>18.5</v>
      </c>
      <c r="F1624" s="3">
        <f>10/4</f>
        <v>2.5</v>
      </c>
      <c r="G1624" s="4">
        <v>44242</v>
      </c>
    </row>
    <row r="1625" spans="2:18" x14ac:dyDescent="0.15">
      <c r="C1625" s="2" t="s">
        <v>4</v>
      </c>
      <c r="D1625" s="2" t="s">
        <v>694</v>
      </c>
      <c r="E1625" s="3">
        <v>3.5</v>
      </c>
      <c r="F1625" s="3">
        <v>1.5</v>
      </c>
      <c r="G1625" s="4">
        <v>43631</v>
      </c>
    </row>
    <row r="1626" spans="2:18" x14ac:dyDescent="0.15">
      <c r="C1626" s="2" t="s">
        <v>5</v>
      </c>
      <c r="D1626" s="2" t="s">
        <v>987</v>
      </c>
      <c r="E1626" s="3">
        <v>25</v>
      </c>
      <c r="F1626" s="3">
        <v>4</v>
      </c>
      <c r="G1626" s="4">
        <v>44615</v>
      </c>
    </row>
    <row r="1627" spans="2:18" x14ac:dyDescent="0.15">
      <c r="C1627" s="2" t="s">
        <v>4</v>
      </c>
      <c r="D1627" s="2" t="s">
        <v>636</v>
      </c>
      <c r="E1627" s="3">
        <v>10.6</v>
      </c>
      <c r="F1627" s="3">
        <v>5</v>
      </c>
      <c r="G1627" s="4">
        <v>45007</v>
      </c>
    </row>
    <row r="1628" spans="2:18" x14ac:dyDescent="0.15">
      <c r="C1628" s="100" t="s">
        <v>18</v>
      </c>
      <c r="D1628" s="100" t="s">
        <v>5700</v>
      </c>
      <c r="E1628" s="3">
        <v>75</v>
      </c>
      <c r="F1628" s="3">
        <v>12.5</v>
      </c>
      <c r="G1628" s="4">
        <v>44627</v>
      </c>
    </row>
    <row r="1629" spans="2:18" x14ac:dyDescent="0.15">
      <c r="C1629" s="100" t="s">
        <v>7</v>
      </c>
      <c r="D1629" s="100" t="s">
        <v>5700</v>
      </c>
      <c r="E1629" s="3">
        <v>30</v>
      </c>
      <c r="F1629" s="3">
        <v>7.5</v>
      </c>
      <c r="G1629" s="4">
        <v>44222</v>
      </c>
    </row>
    <row r="1630" spans="2:18" x14ac:dyDescent="0.15">
      <c r="C1630" s="100" t="s">
        <v>5</v>
      </c>
      <c r="D1630" s="100" t="s">
        <v>5700</v>
      </c>
      <c r="E1630" s="3">
        <v>10</v>
      </c>
      <c r="F1630" s="3">
        <v>5</v>
      </c>
      <c r="G1630" s="4">
        <v>43559</v>
      </c>
    </row>
    <row r="1631" spans="2:18" x14ac:dyDescent="0.15">
      <c r="C1631" s="100" t="s">
        <v>4</v>
      </c>
      <c r="D1631" s="100" t="s">
        <v>5700</v>
      </c>
      <c r="E1631" s="3">
        <v>3</v>
      </c>
      <c r="F1631" s="3">
        <v>3</v>
      </c>
      <c r="G1631" s="4">
        <v>43558</v>
      </c>
    </row>
    <row r="1632" spans="2:18" x14ac:dyDescent="0.15">
      <c r="G1632" s="4"/>
    </row>
    <row r="1633" spans="2:18" s="12" customFormat="1" x14ac:dyDescent="0.15">
      <c r="B1633" s="12" t="s">
        <v>202</v>
      </c>
      <c r="C1633" s="13" t="s">
        <v>970</v>
      </c>
      <c r="D1633" s="13" t="s">
        <v>969</v>
      </c>
      <c r="E1633" s="15"/>
      <c r="F1633" s="15">
        <f>SUM(F1634:F1635)</f>
        <v>46</v>
      </c>
      <c r="G1633" s="14">
        <f>G1634</f>
        <v>43391</v>
      </c>
      <c r="M1633" s="13"/>
      <c r="N1633" s="13"/>
      <c r="O1633" s="13"/>
      <c r="P1633" s="13"/>
      <c r="Q1633" s="13"/>
      <c r="R1633" s="13"/>
    </row>
    <row r="1634" spans="2:18" x14ac:dyDescent="0.15">
      <c r="C1634" s="2" t="s">
        <v>7</v>
      </c>
      <c r="D1634" s="2" t="s">
        <v>197</v>
      </c>
      <c r="E1634" s="3">
        <v>120</v>
      </c>
      <c r="F1634" s="3">
        <v>30</v>
      </c>
      <c r="G1634" s="4">
        <v>43391</v>
      </c>
    </row>
    <row r="1635" spans="2:18" x14ac:dyDescent="0.15">
      <c r="C1635" s="2" t="s">
        <v>7</v>
      </c>
      <c r="D1635" s="2" t="s">
        <v>197</v>
      </c>
      <c r="E1635" s="3">
        <v>46</v>
      </c>
      <c r="F1635" s="3">
        <v>16</v>
      </c>
      <c r="G1635" s="4">
        <v>42941</v>
      </c>
    </row>
    <row r="1637" spans="2:18" s="12" customFormat="1" x14ac:dyDescent="0.15">
      <c r="B1637" s="12" t="s">
        <v>296</v>
      </c>
      <c r="C1637" s="13" t="s">
        <v>970</v>
      </c>
      <c r="D1637" s="13" t="s">
        <v>969</v>
      </c>
      <c r="E1637" s="15"/>
      <c r="F1637" s="15">
        <f>SUM(F1638:F1639)</f>
        <v>46</v>
      </c>
      <c r="G1637" s="14">
        <f>G1639</f>
        <v>43634</v>
      </c>
      <c r="M1637" s="13"/>
      <c r="N1637" s="13"/>
      <c r="O1637" s="13"/>
      <c r="P1637" s="13"/>
      <c r="Q1637" s="13"/>
      <c r="R1637" s="13"/>
    </row>
    <row r="1638" spans="2:18" x14ac:dyDescent="0.15">
      <c r="C1638" s="2" t="s">
        <v>18</v>
      </c>
      <c r="D1638" s="2" t="s">
        <v>292</v>
      </c>
      <c r="E1638" s="3">
        <v>38</v>
      </c>
      <c r="F1638" s="3">
        <v>6</v>
      </c>
      <c r="G1638" s="4">
        <v>43104</v>
      </c>
    </row>
    <row r="1639" spans="2:18" x14ac:dyDescent="0.15">
      <c r="C1639" s="2" t="s">
        <v>18</v>
      </c>
      <c r="D1639" s="2" t="s">
        <v>32</v>
      </c>
      <c r="E1639" s="3">
        <v>230</v>
      </c>
      <c r="F1639" s="3">
        <v>40</v>
      </c>
      <c r="G1639" s="4">
        <v>43634</v>
      </c>
      <c r="I1639" s="1">
        <v>770</v>
      </c>
      <c r="J1639" s="1">
        <v>770</v>
      </c>
    </row>
    <row r="1640" spans="2:18" x14ac:dyDescent="0.15">
      <c r="G1640" s="4"/>
    </row>
    <row r="1641" spans="2:18" s="12" customFormat="1" x14ac:dyDescent="0.15">
      <c r="B1641" s="12" t="s">
        <v>5042</v>
      </c>
      <c r="C1641" s="13" t="s">
        <v>970</v>
      </c>
      <c r="D1641" s="13" t="s">
        <v>969</v>
      </c>
      <c r="E1641" s="15"/>
      <c r="F1641" s="15">
        <f>SUM(F1642:F1645)</f>
        <v>45.5</v>
      </c>
      <c r="G1641" s="14">
        <f>G1643</f>
        <v>44984</v>
      </c>
      <c r="M1641" s="13"/>
      <c r="N1641" s="13"/>
      <c r="O1641" s="13"/>
      <c r="P1641" s="13"/>
      <c r="Q1641" s="13"/>
      <c r="R1641" s="13"/>
    </row>
    <row r="1642" spans="2:18" x14ac:dyDescent="0.15">
      <c r="C1642" s="2" t="s">
        <v>5</v>
      </c>
      <c r="D1642" s="2" t="s">
        <v>702</v>
      </c>
      <c r="E1642" s="3">
        <v>50</v>
      </c>
      <c r="F1642" s="3">
        <f>30/12</f>
        <v>2.5</v>
      </c>
      <c r="G1642" s="4">
        <v>44796</v>
      </c>
    </row>
    <row r="1643" spans="2:18" x14ac:dyDescent="0.15">
      <c r="C1643" s="2" t="s">
        <v>9</v>
      </c>
      <c r="D1643" s="2" t="s">
        <v>39</v>
      </c>
      <c r="E1643" s="3">
        <v>230</v>
      </c>
      <c r="F1643" s="3">
        <v>24</v>
      </c>
      <c r="G1643" s="4">
        <v>44984</v>
      </c>
      <c r="I1643" s="1">
        <v>2000</v>
      </c>
      <c r="J1643" s="1">
        <v>2000</v>
      </c>
    </row>
    <row r="1644" spans="2:18" x14ac:dyDescent="0.15">
      <c r="C1644" s="2" t="s">
        <v>18</v>
      </c>
      <c r="D1644" s="2" t="s">
        <v>39</v>
      </c>
      <c r="E1644" s="3">
        <v>100</v>
      </c>
      <c r="F1644" s="3">
        <v>15</v>
      </c>
      <c r="G1644" s="4">
        <v>44025</v>
      </c>
      <c r="J1644" s="1">
        <v>2000</v>
      </c>
    </row>
    <row r="1645" spans="2:18" x14ac:dyDescent="0.15">
      <c r="C1645" s="169" t="s">
        <v>7</v>
      </c>
      <c r="D1645" s="169" t="s">
        <v>2051</v>
      </c>
      <c r="E1645" s="3">
        <v>50</v>
      </c>
      <c r="F1645" s="3">
        <v>4</v>
      </c>
      <c r="G1645" s="4">
        <v>44252</v>
      </c>
    </row>
    <row r="1646" spans="2:18" x14ac:dyDescent="0.15">
      <c r="G1646" s="4"/>
    </row>
    <row r="1647" spans="2:18" s="12" customFormat="1" x14ac:dyDescent="0.15">
      <c r="B1647" s="12" t="s">
        <v>45</v>
      </c>
      <c r="C1647" s="13" t="s">
        <v>970</v>
      </c>
      <c r="D1647" s="13" t="s">
        <v>969</v>
      </c>
      <c r="E1647" s="15"/>
      <c r="F1647" s="15">
        <f>SUM(F1648:F1649)</f>
        <v>46.285714285714285</v>
      </c>
      <c r="G1647" s="14">
        <f>G1648</f>
        <v>44984</v>
      </c>
      <c r="M1647" s="13"/>
      <c r="N1647" s="13"/>
      <c r="O1647" s="13"/>
      <c r="P1647" s="13"/>
      <c r="Q1647" s="13"/>
      <c r="R1647" s="13"/>
    </row>
    <row r="1648" spans="2:18" x14ac:dyDescent="0.15">
      <c r="C1648" s="2" t="s">
        <v>9</v>
      </c>
      <c r="D1648" s="2" t="s">
        <v>39</v>
      </c>
      <c r="E1648" s="3">
        <v>230</v>
      </c>
      <c r="F1648" s="3">
        <f>170/7</f>
        <v>24.285714285714285</v>
      </c>
      <c r="G1648" s="4">
        <v>44984</v>
      </c>
      <c r="I1648" s="1">
        <v>2000</v>
      </c>
      <c r="J1648" s="1">
        <v>2000</v>
      </c>
    </row>
    <row r="1649" spans="2:18" x14ac:dyDescent="0.15">
      <c r="C1649" s="2" t="s">
        <v>8</v>
      </c>
      <c r="D1649" s="2" t="s">
        <v>39</v>
      </c>
      <c r="E1649" s="3">
        <v>170</v>
      </c>
      <c r="F1649" s="3">
        <v>22</v>
      </c>
      <c r="G1649" s="4">
        <v>44255</v>
      </c>
      <c r="I1649" s="1">
        <v>830</v>
      </c>
      <c r="J1649" s="1">
        <v>2000</v>
      </c>
    </row>
    <row r="1650" spans="2:18" x14ac:dyDescent="0.15">
      <c r="G1650" s="4"/>
    </row>
    <row r="1651" spans="2:18" s="12" customFormat="1" x14ac:dyDescent="0.15">
      <c r="B1651" s="12" t="s">
        <v>697</v>
      </c>
      <c r="C1651" s="13" t="s">
        <v>970</v>
      </c>
      <c r="D1651" s="13" t="s">
        <v>969</v>
      </c>
      <c r="E1651" s="15"/>
      <c r="F1651" s="15">
        <f>SUM(F1652:F1661)</f>
        <v>44.391666666666673</v>
      </c>
      <c r="G1651" s="14">
        <f>G1653</f>
        <v>44663</v>
      </c>
      <c r="M1651" s="13"/>
      <c r="N1651" s="13"/>
      <c r="O1651" s="13"/>
      <c r="P1651" s="13"/>
      <c r="Q1651" s="13"/>
      <c r="R1651" s="13"/>
    </row>
    <row r="1652" spans="2:18" x14ac:dyDescent="0.15">
      <c r="C1652" s="2" t="s">
        <v>5</v>
      </c>
      <c r="D1652" s="2" t="s">
        <v>696</v>
      </c>
      <c r="E1652" s="3">
        <v>20</v>
      </c>
      <c r="F1652" s="3">
        <v>2.5</v>
      </c>
      <c r="G1652" s="4">
        <v>44392</v>
      </c>
    </row>
    <row r="1653" spans="2:18" x14ac:dyDescent="0.15">
      <c r="C1653" s="2" t="s">
        <v>18</v>
      </c>
      <c r="D1653" s="2" t="s">
        <v>600</v>
      </c>
      <c r="E1653" s="3">
        <v>125</v>
      </c>
      <c r="F1653" s="3">
        <f>75/8</f>
        <v>9.375</v>
      </c>
      <c r="G1653" s="4">
        <v>44663</v>
      </c>
    </row>
    <row r="1654" spans="2:18" x14ac:dyDescent="0.15">
      <c r="C1654" s="2" t="s">
        <v>5</v>
      </c>
      <c r="D1654" s="2" t="s">
        <v>600</v>
      </c>
      <c r="E1654" s="3">
        <v>26</v>
      </c>
      <c r="F1654" s="3">
        <f>16/4</f>
        <v>4</v>
      </c>
      <c r="G1654" s="4">
        <v>43809</v>
      </c>
    </row>
    <row r="1655" spans="2:18" x14ac:dyDescent="0.15">
      <c r="C1655" s="2" t="s">
        <v>5</v>
      </c>
      <c r="D1655" s="2" t="s">
        <v>600</v>
      </c>
      <c r="E1655" s="3">
        <v>8</v>
      </c>
      <c r="F1655" s="3">
        <v>2</v>
      </c>
      <c r="G1655" s="4">
        <v>43249</v>
      </c>
    </row>
    <row r="1656" spans="2:18" x14ac:dyDescent="0.15">
      <c r="C1656" s="62" t="s">
        <v>8</v>
      </c>
      <c r="D1656" s="62" t="s">
        <v>2117</v>
      </c>
      <c r="E1656" s="3">
        <v>72.5</v>
      </c>
      <c r="F1656" s="3">
        <v>11</v>
      </c>
      <c r="G1656" s="4">
        <v>43697</v>
      </c>
      <c r="J1656" s="1">
        <v>1600</v>
      </c>
    </row>
    <row r="1657" spans="2:18" x14ac:dyDescent="0.15">
      <c r="C1657" s="62" t="s">
        <v>18</v>
      </c>
      <c r="D1657" s="62" t="s">
        <v>2117</v>
      </c>
      <c r="E1657" s="3">
        <v>40</v>
      </c>
      <c r="F1657" s="3">
        <v>5</v>
      </c>
      <c r="G1657" s="4">
        <v>43069</v>
      </c>
      <c r="J1657" s="1">
        <v>1600</v>
      </c>
    </row>
    <row r="1658" spans="2:18" x14ac:dyDescent="0.15">
      <c r="C1658" s="62" t="s">
        <v>7</v>
      </c>
      <c r="D1658" s="62" t="s">
        <v>2117</v>
      </c>
      <c r="E1658" s="3">
        <v>20</v>
      </c>
      <c r="F1658" s="3">
        <f>13/3</f>
        <v>4.333333333333333</v>
      </c>
      <c r="G1658" s="4">
        <v>42317</v>
      </c>
      <c r="J1658" s="1">
        <v>1600</v>
      </c>
    </row>
    <row r="1659" spans="2:18" x14ac:dyDescent="0.15">
      <c r="C1659" s="62" t="s">
        <v>5</v>
      </c>
      <c r="D1659" s="62" t="s">
        <v>2117</v>
      </c>
      <c r="E1659" s="3">
        <v>8.9</v>
      </c>
      <c r="F1659" s="3">
        <f>E1659/6</f>
        <v>1.4833333333333334</v>
      </c>
      <c r="G1659" s="4">
        <v>41839</v>
      </c>
      <c r="J1659" s="1">
        <v>1600</v>
      </c>
    </row>
    <row r="1660" spans="2:18" x14ac:dyDescent="0.15">
      <c r="C1660" s="62" t="s">
        <v>4</v>
      </c>
      <c r="D1660" s="62" t="s">
        <v>2117</v>
      </c>
      <c r="E1660" s="3">
        <v>3</v>
      </c>
      <c r="F1660" s="3">
        <v>3</v>
      </c>
      <c r="G1660" s="4">
        <v>41416</v>
      </c>
      <c r="J1660" s="1">
        <v>1600</v>
      </c>
    </row>
    <row r="1661" spans="2:18" x14ac:dyDescent="0.15">
      <c r="C1661" s="62" t="s">
        <v>4</v>
      </c>
      <c r="D1661" s="62" t="s">
        <v>2117</v>
      </c>
      <c r="E1661" s="3">
        <v>1.7</v>
      </c>
      <c r="F1661" s="3">
        <v>1.7</v>
      </c>
      <c r="G1661" s="4">
        <v>41277</v>
      </c>
      <c r="J1661" s="1">
        <v>1600</v>
      </c>
    </row>
    <row r="1662" spans="2:18" x14ac:dyDescent="0.15">
      <c r="G1662" s="4"/>
    </row>
    <row r="1663" spans="2:18" s="12" customFormat="1" x14ac:dyDescent="0.15">
      <c r="B1663" s="12" t="s">
        <v>19</v>
      </c>
      <c r="C1663" s="13" t="s">
        <v>970</v>
      </c>
      <c r="D1663" s="13" t="s">
        <v>969</v>
      </c>
      <c r="E1663" s="15"/>
      <c r="F1663" s="15">
        <f>SUM(F1664:F1668)</f>
        <v>43.666666666666671</v>
      </c>
      <c r="G1663" s="14">
        <f>G1664</f>
        <v>44322</v>
      </c>
      <c r="M1663" s="13"/>
      <c r="N1663" s="13"/>
      <c r="O1663" s="13"/>
      <c r="P1663" s="13"/>
      <c r="Q1663" s="13"/>
      <c r="R1663" s="13"/>
    </row>
    <row r="1664" spans="2:18" x14ac:dyDescent="0.15">
      <c r="C1664" s="2" t="s">
        <v>8</v>
      </c>
      <c r="D1664" s="2" t="s">
        <v>15</v>
      </c>
      <c r="E1664" s="3">
        <v>220</v>
      </c>
      <c r="F1664" s="3">
        <v>26.666666666666668</v>
      </c>
      <c r="G1664" s="4">
        <v>44322</v>
      </c>
      <c r="I1664" s="1">
        <v>780</v>
      </c>
      <c r="J1664" s="1">
        <v>780</v>
      </c>
    </row>
    <row r="1665" spans="2:18" x14ac:dyDescent="0.15">
      <c r="C1665" s="2" t="s">
        <v>18</v>
      </c>
      <c r="D1665" s="2" t="s">
        <v>15</v>
      </c>
      <c r="E1665" s="3">
        <v>60</v>
      </c>
      <c r="F1665" s="3">
        <v>10</v>
      </c>
      <c r="G1665" s="4">
        <v>43528</v>
      </c>
    </row>
    <row r="1666" spans="2:18" x14ac:dyDescent="0.15">
      <c r="C1666" s="2" t="s">
        <v>7</v>
      </c>
      <c r="D1666" s="2" t="s">
        <v>15</v>
      </c>
      <c r="E1666" s="3">
        <v>28</v>
      </c>
      <c r="F1666" s="3">
        <v>4</v>
      </c>
      <c r="G1666" s="4">
        <v>43031</v>
      </c>
    </row>
    <row r="1667" spans="2:18" x14ac:dyDescent="0.15">
      <c r="C1667" s="2" t="s">
        <v>5</v>
      </c>
      <c r="D1667" s="2" t="s">
        <v>15</v>
      </c>
      <c r="E1667" s="3">
        <v>10</v>
      </c>
      <c r="F1667" s="3">
        <v>2</v>
      </c>
      <c r="G1667" s="4">
        <v>42508</v>
      </c>
    </row>
    <row r="1668" spans="2:18" x14ac:dyDescent="0.15">
      <c r="C1668" s="2" t="s">
        <v>4</v>
      </c>
      <c r="D1668" s="2" t="s">
        <v>15</v>
      </c>
      <c r="E1668" s="3">
        <v>1.8</v>
      </c>
      <c r="F1668" s="3">
        <v>1</v>
      </c>
      <c r="G1668" s="4">
        <v>41976</v>
      </c>
    </row>
    <row r="1669" spans="2:18" x14ac:dyDescent="0.15">
      <c r="G1669" s="4"/>
    </row>
    <row r="1670" spans="2:18" s="12" customFormat="1" x14ac:dyDescent="0.15">
      <c r="B1670" s="12" t="s">
        <v>1054</v>
      </c>
      <c r="C1670" s="13" t="s">
        <v>970</v>
      </c>
      <c r="D1670" s="13" t="s">
        <v>969</v>
      </c>
      <c r="E1670" s="15"/>
      <c r="F1670" s="15">
        <f>SUM(F1671:F1681)</f>
        <v>43.916666666666664</v>
      </c>
      <c r="G1670" s="14">
        <f>G1671</f>
        <v>45048</v>
      </c>
      <c r="M1670" s="13"/>
      <c r="N1670" s="13"/>
      <c r="O1670" s="13"/>
      <c r="P1670" s="13"/>
      <c r="Q1670" s="13"/>
      <c r="R1670" s="13"/>
    </row>
    <row r="1671" spans="2:18" x14ac:dyDescent="0.15">
      <c r="B1671" s="273" t="s">
        <v>7704</v>
      </c>
      <c r="C1671" s="2" t="s">
        <v>4</v>
      </c>
      <c r="D1671" s="2" t="s">
        <v>563</v>
      </c>
      <c r="E1671" s="3">
        <v>5.6</v>
      </c>
      <c r="F1671" s="3">
        <f>E1671/3</f>
        <v>1.8666666666666665</v>
      </c>
      <c r="G1671" s="4">
        <v>45048</v>
      </c>
    </row>
    <row r="1672" spans="2:18" x14ac:dyDescent="0.15">
      <c r="C1672" s="2" t="s">
        <v>4</v>
      </c>
      <c r="D1672" s="2" t="s">
        <v>517</v>
      </c>
      <c r="E1672" s="3">
        <v>4</v>
      </c>
      <c r="F1672" s="3">
        <f>4/3</f>
        <v>1.3333333333333333</v>
      </c>
      <c r="G1672" s="4">
        <v>42647</v>
      </c>
    </row>
    <row r="1673" spans="2:18" x14ac:dyDescent="0.15">
      <c r="C1673" s="2" t="s">
        <v>18</v>
      </c>
      <c r="D1673" s="2" t="s">
        <v>310</v>
      </c>
      <c r="E1673" s="3">
        <v>110</v>
      </c>
      <c r="F1673" s="3">
        <v>14</v>
      </c>
      <c r="G1673" s="4">
        <v>44369</v>
      </c>
    </row>
    <row r="1674" spans="2:18" x14ac:dyDescent="0.15">
      <c r="C1674" s="2" t="s">
        <v>7</v>
      </c>
      <c r="D1674" s="2" t="s">
        <v>310</v>
      </c>
      <c r="E1674" s="3">
        <v>40</v>
      </c>
      <c r="F1674" s="3">
        <v>4</v>
      </c>
      <c r="G1674" s="4">
        <v>43419</v>
      </c>
    </row>
    <row r="1675" spans="2:18" x14ac:dyDescent="0.15">
      <c r="C1675" s="2" t="s">
        <v>5</v>
      </c>
      <c r="D1675" s="2" t="s">
        <v>310</v>
      </c>
      <c r="E1675" s="3">
        <v>14.7</v>
      </c>
      <c r="F1675" s="3">
        <v>5.7</v>
      </c>
      <c r="G1675" s="4">
        <v>43032</v>
      </c>
    </row>
    <row r="1676" spans="2:18" x14ac:dyDescent="0.15">
      <c r="C1676" s="2" t="s">
        <v>5</v>
      </c>
      <c r="D1676" s="2" t="s">
        <v>95</v>
      </c>
      <c r="E1676" s="3">
        <v>10</v>
      </c>
      <c r="F1676" s="3">
        <v>2.5</v>
      </c>
      <c r="G1676" s="4">
        <v>42304</v>
      </c>
    </row>
    <row r="1677" spans="2:18" x14ac:dyDescent="0.15">
      <c r="C1677" s="2" t="s">
        <v>4</v>
      </c>
      <c r="D1677" s="2" t="s">
        <v>95</v>
      </c>
      <c r="E1677" s="3">
        <v>5</v>
      </c>
      <c r="F1677" s="3">
        <f>E1677/3</f>
        <v>1.6666666666666667</v>
      </c>
      <c r="G1677" s="4">
        <v>41940</v>
      </c>
    </row>
    <row r="1678" spans="2:18" x14ac:dyDescent="0.15">
      <c r="C1678" s="100" t="s">
        <v>7</v>
      </c>
      <c r="D1678" s="100" t="s">
        <v>6042</v>
      </c>
      <c r="E1678" s="3">
        <v>50</v>
      </c>
      <c r="F1678" s="3">
        <v>7</v>
      </c>
      <c r="G1678" s="4">
        <v>44670</v>
      </c>
      <c r="J1678" s="1">
        <v>250</v>
      </c>
    </row>
    <row r="1679" spans="2:18" x14ac:dyDescent="0.15">
      <c r="C1679" s="100" t="s">
        <v>5</v>
      </c>
      <c r="D1679" s="100" t="s">
        <v>6042</v>
      </c>
      <c r="E1679" s="3">
        <v>12</v>
      </c>
      <c r="F1679" s="3">
        <v>2</v>
      </c>
      <c r="G1679" s="4">
        <v>43941</v>
      </c>
      <c r="J1679" s="1">
        <v>250</v>
      </c>
    </row>
    <row r="1680" spans="2:18" x14ac:dyDescent="0.15">
      <c r="C1680" s="100" t="s">
        <v>4</v>
      </c>
      <c r="D1680" s="100" t="s">
        <v>6042</v>
      </c>
      <c r="E1680" s="3">
        <v>4.2</v>
      </c>
      <c r="F1680" s="3">
        <v>3.2</v>
      </c>
      <c r="G1680" s="4">
        <v>43525</v>
      </c>
      <c r="J1680" s="1">
        <v>250</v>
      </c>
    </row>
    <row r="1681" spans="2:18" x14ac:dyDescent="0.15">
      <c r="C1681" s="100" t="s">
        <v>278</v>
      </c>
      <c r="D1681" s="100" t="s">
        <v>6042</v>
      </c>
      <c r="E1681" s="3">
        <v>0.65</v>
      </c>
      <c r="F1681" s="102">
        <v>0.65</v>
      </c>
      <c r="G1681" s="4">
        <v>42978</v>
      </c>
      <c r="J1681" s="1">
        <v>250</v>
      </c>
    </row>
    <row r="1682" spans="2:18" x14ac:dyDescent="0.15">
      <c r="G1682" s="4"/>
    </row>
    <row r="1683" spans="2:18" s="12" customFormat="1" x14ac:dyDescent="0.15">
      <c r="B1683" s="12" t="s">
        <v>1060</v>
      </c>
      <c r="C1683" s="13" t="s">
        <v>970</v>
      </c>
      <c r="D1683" s="13" t="s">
        <v>969</v>
      </c>
      <c r="E1683" s="15"/>
      <c r="F1683" s="15">
        <f>SUM(F1684:F1694)</f>
        <v>42.360606060606067</v>
      </c>
      <c r="G1683" s="14">
        <f>G1684</f>
        <v>44642</v>
      </c>
      <c r="M1683" s="13"/>
      <c r="N1683" s="13"/>
      <c r="O1683" s="13"/>
      <c r="P1683" s="13"/>
      <c r="Q1683" s="13"/>
      <c r="R1683" s="13"/>
    </row>
    <row r="1684" spans="2:18" x14ac:dyDescent="0.15">
      <c r="B1684" s="273" t="s">
        <v>7704</v>
      </c>
      <c r="C1684" s="2" t="s">
        <v>7</v>
      </c>
      <c r="D1684" s="2" t="s">
        <v>87</v>
      </c>
      <c r="E1684" s="3">
        <v>25</v>
      </c>
      <c r="F1684" s="3">
        <f>15/6</f>
        <v>2.5</v>
      </c>
      <c r="G1684" s="4">
        <v>44642</v>
      </c>
    </row>
    <row r="1685" spans="2:18" x14ac:dyDescent="0.15">
      <c r="C1685" s="2" t="s">
        <v>5</v>
      </c>
      <c r="D1685" s="2" t="s">
        <v>87</v>
      </c>
      <c r="E1685" s="3">
        <v>13.5</v>
      </c>
      <c r="F1685" s="3">
        <f>10/6</f>
        <v>1.6666666666666667</v>
      </c>
      <c r="G1685" s="4">
        <v>43978</v>
      </c>
    </row>
    <row r="1686" spans="2:18" x14ac:dyDescent="0.15">
      <c r="C1686" s="2" t="s">
        <v>4</v>
      </c>
      <c r="D1686" s="2" t="s">
        <v>87</v>
      </c>
      <c r="E1686" s="3">
        <v>5.3</v>
      </c>
      <c r="F1686" s="3">
        <v>1.3</v>
      </c>
      <c r="G1686" s="4">
        <v>43398</v>
      </c>
    </row>
    <row r="1687" spans="2:18" x14ac:dyDescent="0.15">
      <c r="C1687" s="2" t="s">
        <v>4</v>
      </c>
      <c r="D1687" s="2" t="s">
        <v>87</v>
      </c>
      <c r="E1687" s="3">
        <v>4</v>
      </c>
      <c r="F1687" s="3">
        <v>1.5</v>
      </c>
      <c r="G1687" s="4">
        <v>43122</v>
      </c>
    </row>
    <row r="1688" spans="2:18" x14ac:dyDescent="0.15">
      <c r="C1688" s="2" t="s">
        <v>9</v>
      </c>
      <c r="D1688" s="2" t="s">
        <v>22</v>
      </c>
      <c r="E1688" s="3">
        <v>222</v>
      </c>
      <c r="F1688" s="3">
        <f>200/21</f>
        <v>9.5238095238095237</v>
      </c>
      <c r="G1688" s="4">
        <v>44194</v>
      </c>
      <c r="I1688" s="1">
        <v>2500</v>
      </c>
      <c r="J1688" s="1">
        <v>2500</v>
      </c>
    </row>
    <row r="1689" spans="2:18" x14ac:dyDescent="0.15">
      <c r="C1689" s="2" t="s">
        <v>8</v>
      </c>
      <c r="D1689" s="2" t="s">
        <v>22</v>
      </c>
      <c r="E1689" s="3">
        <v>200</v>
      </c>
      <c r="F1689" s="3">
        <v>12.727272727272727</v>
      </c>
      <c r="G1689" s="4">
        <v>43452</v>
      </c>
      <c r="I1689" s="1">
        <v>1500</v>
      </c>
      <c r="J1689" s="1">
        <v>2500</v>
      </c>
    </row>
    <row r="1690" spans="2:18" x14ac:dyDescent="0.15">
      <c r="C1690" s="2" t="s">
        <v>18</v>
      </c>
      <c r="D1690" s="2" t="s">
        <v>22</v>
      </c>
      <c r="E1690" s="3">
        <v>50</v>
      </c>
      <c r="F1690" s="3">
        <v>5</v>
      </c>
      <c r="G1690" s="4">
        <v>43051</v>
      </c>
      <c r="J1690" s="1">
        <v>2500</v>
      </c>
    </row>
    <row r="1691" spans="2:18" x14ac:dyDescent="0.15">
      <c r="C1691" s="2" t="s">
        <v>7</v>
      </c>
      <c r="D1691" s="2" t="s">
        <v>22</v>
      </c>
      <c r="E1691" s="3">
        <v>30</v>
      </c>
      <c r="F1691" s="3">
        <v>3.1428571428571428</v>
      </c>
      <c r="G1691" s="4">
        <v>42936</v>
      </c>
      <c r="J1691" s="1">
        <v>2500</v>
      </c>
    </row>
    <row r="1692" spans="2:18" x14ac:dyDescent="0.15">
      <c r="C1692" s="2" t="s">
        <v>5</v>
      </c>
      <c r="D1692" s="2" t="s">
        <v>22</v>
      </c>
      <c r="E1692" s="3">
        <v>30</v>
      </c>
      <c r="F1692" s="3">
        <v>3</v>
      </c>
      <c r="G1692" s="4">
        <v>42674</v>
      </c>
      <c r="J1692" s="1">
        <v>2500</v>
      </c>
    </row>
    <row r="1693" spans="2:18" x14ac:dyDescent="0.15">
      <c r="C1693" s="2" t="s">
        <v>5</v>
      </c>
      <c r="D1693" s="2" t="s">
        <v>7366</v>
      </c>
      <c r="E1693" s="3">
        <v>3</v>
      </c>
      <c r="F1693" s="3">
        <v>1</v>
      </c>
      <c r="G1693" s="4">
        <v>43858</v>
      </c>
    </row>
    <row r="1694" spans="2:18" x14ac:dyDescent="0.15">
      <c r="C1694" s="2" t="s">
        <v>4</v>
      </c>
      <c r="D1694" s="2" t="s">
        <v>7366</v>
      </c>
      <c r="E1694" s="3">
        <v>3</v>
      </c>
      <c r="F1694" s="3">
        <v>1</v>
      </c>
      <c r="G1694" s="4">
        <v>43361</v>
      </c>
    </row>
    <row r="1695" spans="2:18" x14ac:dyDescent="0.15">
      <c r="G1695" s="4"/>
    </row>
    <row r="1696" spans="2:18" s="12" customFormat="1" x14ac:dyDescent="0.15">
      <c r="B1696" s="12" t="s">
        <v>27</v>
      </c>
      <c r="C1696" s="13" t="s">
        <v>970</v>
      </c>
      <c r="D1696" s="13" t="s">
        <v>969</v>
      </c>
      <c r="E1696" s="15"/>
      <c r="F1696" s="15">
        <f>SUM(F1697:F1701)</f>
        <v>40.523809523809526</v>
      </c>
      <c r="G1696" s="14">
        <f>G1701</f>
        <v>44572</v>
      </c>
      <c r="M1696" s="13"/>
      <c r="N1696" s="13"/>
      <c r="O1696" s="13"/>
      <c r="P1696" s="13"/>
      <c r="Q1696" s="13"/>
      <c r="R1696" s="13"/>
    </row>
    <row r="1697" spans="2:18" x14ac:dyDescent="0.15">
      <c r="C1697" s="2" t="s">
        <v>9</v>
      </c>
      <c r="D1697" s="2" t="s">
        <v>22</v>
      </c>
      <c r="E1697" s="3">
        <v>222</v>
      </c>
      <c r="F1697" s="3">
        <f>200/21</f>
        <v>9.5238095238095237</v>
      </c>
      <c r="G1697" s="4">
        <v>44194</v>
      </c>
      <c r="I1697" s="1">
        <v>2500</v>
      </c>
      <c r="J1697" s="1">
        <v>2500</v>
      </c>
    </row>
    <row r="1698" spans="2:18" x14ac:dyDescent="0.15">
      <c r="C1698" s="2" t="s">
        <v>8</v>
      </c>
      <c r="D1698" s="2" t="s">
        <v>22</v>
      </c>
      <c r="E1698" s="3">
        <v>200</v>
      </c>
      <c r="F1698" s="3">
        <v>13</v>
      </c>
      <c r="G1698" s="4">
        <v>43452</v>
      </c>
      <c r="I1698" s="1">
        <v>1500</v>
      </c>
      <c r="J1698" s="1">
        <v>2500</v>
      </c>
    </row>
    <row r="1699" spans="2:18" x14ac:dyDescent="0.15">
      <c r="C1699" s="2" t="s">
        <v>18</v>
      </c>
      <c r="D1699" s="2" t="s">
        <v>22</v>
      </c>
      <c r="E1699" s="3">
        <v>50</v>
      </c>
      <c r="F1699" s="3">
        <v>5</v>
      </c>
      <c r="G1699" s="4">
        <v>43051</v>
      </c>
      <c r="J1699" s="1">
        <v>2500</v>
      </c>
    </row>
    <row r="1700" spans="2:18" x14ac:dyDescent="0.15">
      <c r="C1700" s="2" t="s">
        <v>7</v>
      </c>
      <c r="D1700" s="2" t="s">
        <v>22</v>
      </c>
      <c r="E1700" s="3">
        <v>30</v>
      </c>
      <c r="F1700" s="3">
        <v>3</v>
      </c>
      <c r="G1700" s="4">
        <v>42936</v>
      </c>
      <c r="J1700" s="1">
        <v>2500</v>
      </c>
    </row>
    <row r="1701" spans="2:18" x14ac:dyDescent="0.15">
      <c r="C1701" s="169" t="s">
        <v>7</v>
      </c>
      <c r="D1701" s="169" t="s">
        <v>2039</v>
      </c>
      <c r="E1701" s="3">
        <v>25</v>
      </c>
      <c r="F1701" s="3">
        <v>10</v>
      </c>
      <c r="G1701" s="4">
        <v>44572</v>
      </c>
    </row>
    <row r="1702" spans="2:18" x14ac:dyDescent="0.15">
      <c r="G1702" s="4"/>
    </row>
    <row r="1703" spans="2:18" s="12" customFormat="1" x14ac:dyDescent="0.15">
      <c r="B1703" s="12" t="s">
        <v>4930</v>
      </c>
      <c r="C1703" s="13" t="s">
        <v>970</v>
      </c>
      <c r="D1703" s="13" t="s">
        <v>969</v>
      </c>
      <c r="E1703" s="15"/>
      <c r="F1703" s="15">
        <f>SUM(F1704:F1708)</f>
        <v>40.549999999999997</v>
      </c>
      <c r="G1703" s="14">
        <f>G1704</f>
        <v>44320</v>
      </c>
      <c r="M1703" s="13"/>
      <c r="N1703" s="13"/>
      <c r="O1703" s="13"/>
      <c r="P1703" s="13"/>
      <c r="Q1703" s="13"/>
      <c r="R1703" s="13"/>
    </row>
    <row r="1704" spans="2:18" x14ac:dyDescent="0.15">
      <c r="B1704" s="58"/>
      <c r="C1704" s="59" t="s">
        <v>8</v>
      </c>
      <c r="D1704" s="59" t="s">
        <v>4926</v>
      </c>
      <c r="E1704" s="3">
        <v>83</v>
      </c>
      <c r="F1704" s="3">
        <f>68/10</f>
        <v>6.8</v>
      </c>
      <c r="G1704" s="4">
        <v>44320</v>
      </c>
      <c r="I1704" s="1">
        <v>3600</v>
      </c>
      <c r="J1704" s="1">
        <v>3600</v>
      </c>
    </row>
    <row r="1705" spans="2:18" x14ac:dyDescent="0.15">
      <c r="C1705" s="59" t="s">
        <v>18</v>
      </c>
      <c r="D1705" s="59" t="s">
        <v>4926</v>
      </c>
      <c r="E1705" s="3">
        <v>100</v>
      </c>
      <c r="F1705" s="3">
        <f>80/8</f>
        <v>10</v>
      </c>
      <c r="G1705" s="4">
        <v>43937</v>
      </c>
      <c r="I1705" s="1">
        <v>1100</v>
      </c>
      <c r="J1705" s="1">
        <v>3600</v>
      </c>
    </row>
    <row r="1706" spans="2:18" x14ac:dyDescent="0.15">
      <c r="C1706" s="59" t="s">
        <v>7</v>
      </c>
      <c r="D1706" s="59" t="s">
        <v>4926</v>
      </c>
      <c r="E1706" s="3">
        <v>40</v>
      </c>
      <c r="F1706" s="3">
        <v>10</v>
      </c>
      <c r="G1706" s="4">
        <v>43522</v>
      </c>
      <c r="J1706" s="1">
        <v>3600</v>
      </c>
    </row>
    <row r="1707" spans="2:18" x14ac:dyDescent="0.15">
      <c r="C1707" s="59" t="s">
        <v>5</v>
      </c>
      <c r="D1707" s="59" t="s">
        <v>4926</v>
      </c>
      <c r="E1707" s="3">
        <v>25</v>
      </c>
      <c r="F1707" s="3">
        <f>E1707/4</f>
        <v>6.25</v>
      </c>
      <c r="G1707" s="4">
        <v>43172</v>
      </c>
      <c r="J1707" s="1">
        <v>3600</v>
      </c>
    </row>
    <row r="1708" spans="2:18" x14ac:dyDescent="0.15">
      <c r="C1708" s="59" t="s">
        <v>5</v>
      </c>
      <c r="D1708" s="59" t="s">
        <v>4926</v>
      </c>
      <c r="E1708" s="3">
        <v>15</v>
      </c>
      <c r="F1708" s="3">
        <f>E1708/2</f>
        <v>7.5</v>
      </c>
      <c r="G1708" s="4">
        <v>42371</v>
      </c>
      <c r="J1708" s="1">
        <v>3600</v>
      </c>
    </row>
    <row r="1710" spans="2:18" s="12" customFormat="1" x14ac:dyDescent="0.15">
      <c r="B1710" s="12" t="s">
        <v>1061</v>
      </c>
      <c r="C1710" s="13" t="s">
        <v>970</v>
      </c>
      <c r="D1710" s="13" t="s">
        <v>969</v>
      </c>
      <c r="E1710" s="15"/>
      <c r="F1710" s="15">
        <f>SUM(F1711:F1713)</f>
        <v>39.625</v>
      </c>
      <c r="G1710" s="14">
        <f>G1711</f>
        <v>44999</v>
      </c>
      <c r="M1710" s="13"/>
      <c r="N1710" s="13"/>
      <c r="O1710" s="13"/>
      <c r="P1710" s="13"/>
      <c r="Q1710" s="13"/>
      <c r="R1710" s="13"/>
    </row>
    <row r="1711" spans="2:18" x14ac:dyDescent="0.15">
      <c r="C1711" s="2" t="s">
        <v>7</v>
      </c>
      <c r="D1711" s="2" t="s">
        <v>950</v>
      </c>
      <c r="E1711" s="3">
        <v>350</v>
      </c>
      <c r="F1711" s="3">
        <v>20</v>
      </c>
      <c r="G1711" s="4">
        <v>44999</v>
      </c>
    </row>
    <row r="1712" spans="2:18" x14ac:dyDescent="0.15">
      <c r="C1712" s="2" t="s">
        <v>8</v>
      </c>
      <c r="D1712" s="2" t="s">
        <v>258</v>
      </c>
      <c r="E1712" s="3">
        <v>111</v>
      </c>
      <c r="F1712" s="3">
        <v>14</v>
      </c>
      <c r="G1712" s="4">
        <v>44622</v>
      </c>
    </row>
    <row r="1713" spans="2:19" x14ac:dyDescent="0.15">
      <c r="C1713" s="2" t="s">
        <v>18</v>
      </c>
      <c r="D1713" s="2" t="s">
        <v>258</v>
      </c>
      <c r="E1713" s="3">
        <v>55</v>
      </c>
      <c r="F1713" s="3">
        <v>5.625</v>
      </c>
      <c r="G1713" s="4">
        <v>44314</v>
      </c>
    </row>
    <row r="1714" spans="2:19" x14ac:dyDescent="0.15">
      <c r="G1714" s="4"/>
    </row>
    <row r="1715" spans="2:19" s="12" customFormat="1" x14ac:dyDescent="0.15">
      <c r="B1715" s="12" t="s">
        <v>6755</v>
      </c>
      <c r="C1715" s="13" t="s">
        <v>970</v>
      </c>
      <c r="D1715" s="13" t="s">
        <v>969</v>
      </c>
      <c r="E1715" s="15"/>
      <c r="F1715" s="15">
        <f>SUM(F1716:F1717)</f>
        <v>39.523809523809526</v>
      </c>
      <c r="G1715" s="14">
        <f>G1716</f>
        <v>44194</v>
      </c>
      <c r="M1715" s="13"/>
      <c r="N1715" s="13"/>
      <c r="O1715" s="13"/>
      <c r="P1715" s="13"/>
      <c r="Q1715" s="13"/>
      <c r="R1715" s="13"/>
    </row>
    <row r="1716" spans="2:19" x14ac:dyDescent="0.15">
      <c r="B1716" s="192"/>
      <c r="C1716" s="2" t="s">
        <v>9</v>
      </c>
      <c r="D1716" s="2" t="s">
        <v>22</v>
      </c>
      <c r="E1716" s="3">
        <v>222</v>
      </c>
      <c r="F1716" s="3">
        <f>200/21</f>
        <v>9.5238095238095237</v>
      </c>
      <c r="G1716" s="4">
        <v>44194</v>
      </c>
      <c r="I1716" s="1">
        <v>2500</v>
      </c>
      <c r="J1716" s="1">
        <v>2500</v>
      </c>
    </row>
    <row r="1717" spans="2:19" x14ac:dyDescent="0.15">
      <c r="C1717" s="2" t="s">
        <v>8</v>
      </c>
      <c r="D1717" s="2" t="s">
        <v>22</v>
      </c>
      <c r="E1717" s="3">
        <v>200</v>
      </c>
      <c r="F1717" s="3">
        <v>30</v>
      </c>
      <c r="G1717" s="4">
        <v>43452</v>
      </c>
      <c r="I1717" s="1">
        <v>1500</v>
      </c>
      <c r="J1717" s="1">
        <v>2500</v>
      </c>
    </row>
    <row r="1719" spans="2:19" s="12" customFormat="1" x14ac:dyDescent="0.15">
      <c r="B1719" s="12" t="s">
        <v>867</v>
      </c>
      <c r="C1719" s="13" t="s">
        <v>970</v>
      </c>
      <c r="D1719" s="13" t="s">
        <v>969</v>
      </c>
      <c r="E1719" s="15"/>
      <c r="F1719" s="15">
        <f>SUM(F1720:F1726)</f>
        <v>39.952380952380956</v>
      </c>
      <c r="G1719" s="14">
        <f>G1720</f>
        <v>44378</v>
      </c>
      <c r="M1719" s="13"/>
      <c r="N1719" s="13"/>
      <c r="O1719" s="13"/>
      <c r="P1719" s="13"/>
      <c r="Q1719" s="13"/>
      <c r="R1719" s="13"/>
    </row>
    <row r="1720" spans="2:19" x14ac:dyDescent="0.15">
      <c r="C1720" s="2" t="s">
        <v>5</v>
      </c>
      <c r="D1720" s="2" t="s">
        <v>865</v>
      </c>
      <c r="E1720" s="3">
        <v>10</v>
      </c>
      <c r="F1720" s="3">
        <v>3</v>
      </c>
      <c r="G1720" s="4">
        <v>44378</v>
      </c>
    </row>
    <row r="1721" spans="2:19" x14ac:dyDescent="0.15">
      <c r="C1721" s="2" t="s">
        <v>5</v>
      </c>
      <c r="D1721" s="2" t="s">
        <v>197</v>
      </c>
      <c r="E1721" s="3">
        <v>5</v>
      </c>
      <c r="F1721" s="3">
        <f>E1721/3</f>
        <v>1.6666666666666667</v>
      </c>
      <c r="G1721" s="4">
        <v>42688</v>
      </c>
    </row>
    <row r="1722" spans="2:19" x14ac:dyDescent="0.15">
      <c r="C1722" s="2" t="s">
        <v>7</v>
      </c>
      <c r="D1722" s="2" t="s">
        <v>80</v>
      </c>
      <c r="E1722" s="3">
        <v>100</v>
      </c>
      <c r="F1722" s="3">
        <v>20</v>
      </c>
      <c r="G1722" s="4">
        <v>43958</v>
      </c>
    </row>
    <row r="1723" spans="2:19" x14ac:dyDescent="0.15">
      <c r="C1723" s="2" t="s">
        <v>4</v>
      </c>
      <c r="D1723" s="2" t="s">
        <v>80</v>
      </c>
      <c r="E1723" s="3">
        <v>49</v>
      </c>
      <c r="F1723" s="3">
        <v>7.5</v>
      </c>
      <c r="G1723" s="4">
        <v>43319</v>
      </c>
    </row>
    <row r="1724" spans="2:19" x14ac:dyDescent="0.15">
      <c r="C1724" s="2" t="s">
        <v>278</v>
      </c>
      <c r="D1724" s="2" t="s">
        <v>80</v>
      </c>
      <c r="E1724" s="3">
        <f>9.5/7</f>
        <v>1.3571428571428572</v>
      </c>
      <c r="F1724" s="3">
        <f>+E1724</f>
        <v>1.3571428571428572</v>
      </c>
      <c r="G1724" s="4">
        <v>43185</v>
      </c>
    </row>
    <row r="1725" spans="2:19" x14ac:dyDescent="0.15">
      <c r="C1725" s="2" t="s">
        <v>5</v>
      </c>
      <c r="D1725" s="2" t="s">
        <v>64</v>
      </c>
      <c r="E1725" s="3">
        <v>50</v>
      </c>
      <c r="F1725" s="3">
        <f>20/4</f>
        <v>5</v>
      </c>
      <c r="G1725" s="4">
        <v>44165</v>
      </c>
    </row>
    <row r="1726" spans="2:19" x14ac:dyDescent="0.15">
      <c r="C1726" s="169" t="s">
        <v>5</v>
      </c>
      <c r="D1726" s="169" t="s">
        <v>2044</v>
      </c>
      <c r="E1726" s="3">
        <v>18</v>
      </c>
      <c r="F1726" s="3">
        <f>10/7</f>
        <v>1.4285714285714286</v>
      </c>
      <c r="G1726" s="4">
        <v>43445</v>
      </c>
    </row>
    <row r="1727" spans="2:19" x14ac:dyDescent="0.15">
      <c r="G1727" s="4"/>
    </row>
    <row r="1728" spans="2:19" s="12" customFormat="1" x14ac:dyDescent="0.15">
      <c r="B1728" s="12" t="s">
        <v>4895</v>
      </c>
      <c r="C1728" s="13" t="s">
        <v>970</v>
      </c>
      <c r="D1728" s="13" t="s">
        <v>969</v>
      </c>
      <c r="E1728" s="15"/>
      <c r="F1728" s="15">
        <f>SUM(F1729:F1730)</f>
        <v>39</v>
      </c>
      <c r="G1728" s="14">
        <f>G1729</f>
        <v>43348</v>
      </c>
      <c r="M1728" s="13"/>
      <c r="N1728" s="13"/>
      <c r="O1728" s="13"/>
      <c r="P1728" s="13"/>
      <c r="Q1728" s="13"/>
      <c r="R1728" s="13"/>
      <c r="S1728" s="12" t="s">
        <v>4912</v>
      </c>
    </row>
    <row r="1729" spans="2:18" x14ac:dyDescent="0.15">
      <c r="B1729" s="58"/>
      <c r="C1729" s="59" t="s">
        <v>5</v>
      </c>
      <c r="D1729" s="59" t="s">
        <v>2124</v>
      </c>
      <c r="E1729" s="3">
        <v>52.3</v>
      </c>
      <c r="F1729" s="3">
        <v>30</v>
      </c>
      <c r="G1729" s="4">
        <v>43348</v>
      </c>
      <c r="J1729" s="1">
        <v>700</v>
      </c>
    </row>
    <row r="1730" spans="2:18" x14ac:dyDescent="0.15">
      <c r="B1730" s="58"/>
      <c r="C1730" s="59" t="s">
        <v>4</v>
      </c>
      <c r="D1730" s="59" t="s">
        <v>2124</v>
      </c>
      <c r="E1730" s="3">
        <v>10.3</v>
      </c>
      <c r="F1730" s="3">
        <v>9</v>
      </c>
      <c r="G1730" s="4">
        <v>42846</v>
      </c>
      <c r="J1730" s="1">
        <v>700</v>
      </c>
    </row>
    <row r="1731" spans="2:18" x14ac:dyDescent="0.15">
      <c r="B1731" s="58"/>
      <c r="C1731" s="59"/>
      <c r="D1731" s="59"/>
      <c r="G1731" s="4"/>
    </row>
    <row r="1732" spans="2:18" s="12" customFormat="1" x14ac:dyDescent="0.15">
      <c r="B1732" s="12" t="s">
        <v>1059</v>
      </c>
      <c r="C1732" s="13" t="s">
        <v>970</v>
      </c>
      <c r="D1732" s="13" t="s">
        <v>969</v>
      </c>
      <c r="E1732" s="15"/>
      <c r="F1732" s="15">
        <f>SUM(F1733:F1737)</f>
        <v>38.4</v>
      </c>
      <c r="G1732" s="14">
        <f>G1733</f>
        <v>44698</v>
      </c>
      <c r="M1732" s="13"/>
      <c r="N1732" s="13"/>
      <c r="O1732" s="13"/>
      <c r="P1732" s="13"/>
      <c r="Q1732" s="13"/>
      <c r="R1732" s="13"/>
    </row>
    <row r="1733" spans="2:18" x14ac:dyDescent="0.15">
      <c r="C1733" s="2" t="s">
        <v>5</v>
      </c>
      <c r="D1733" s="2" t="s">
        <v>774</v>
      </c>
      <c r="E1733" s="3">
        <v>12.8</v>
      </c>
      <c r="F1733" s="3">
        <v>6.8</v>
      </c>
      <c r="G1733" s="4">
        <v>44698</v>
      </c>
    </row>
    <row r="1734" spans="2:18" x14ac:dyDescent="0.15">
      <c r="C1734" s="2" t="s">
        <v>5</v>
      </c>
      <c r="D1734" s="2" t="s">
        <v>543</v>
      </c>
      <c r="E1734" s="3">
        <v>14</v>
      </c>
      <c r="F1734" s="3">
        <f>8/5</f>
        <v>1.6</v>
      </c>
      <c r="G1734" s="4">
        <v>44447</v>
      </c>
    </row>
    <row r="1735" spans="2:18" x14ac:dyDescent="0.15">
      <c r="C1735" s="2" t="s">
        <v>5</v>
      </c>
      <c r="D1735" s="2" t="s">
        <v>543</v>
      </c>
      <c r="E1735" s="3">
        <v>12</v>
      </c>
      <c r="F1735" s="3">
        <f>8/4</f>
        <v>2</v>
      </c>
      <c r="G1735" s="4">
        <v>43532</v>
      </c>
    </row>
    <row r="1736" spans="2:18" x14ac:dyDescent="0.15">
      <c r="C1736" s="2" t="s">
        <v>9</v>
      </c>
      <c r="D1736" s="2" t="s">
        <v>490</v>
      </c>
      <c r="E1736" s="3">
        <v>206</v>
      </c>
      <c r="F1736" s="3">
        <v>14</v>
      </c>
      <c r="G1736" s="4">
        <v>43725</v>
      </c>
    </row>
    <row r="1737" spans="2:18" x14ac:dyDescent="0.15">
      <c r="C1737" s="2" t="s">
        <v>18</v>
      </c>
      <c r="D1737" s="2" t="s">
        <v>310</v>
      </c>
      <c r="E1737" s="3">
        <v>110</v>
      </c>
      <c r="F1737" s="3">
        <v>14</v>
      </c>
      <c r="G1737" s="4">
        <v>44369</v>
      </c>
    </row>
    <row r="1738" spans="2:18" x14ac:dyDescent="0.15">
      <c r="G1738" s="4"/>
    </row>
    <row r="1739" spans="2:18" s="12" customFormat="1" x14ac:dyDescent="0.15">
      <c r="B1739" s="12" t="s">
        <v>1058</v>
      </c>
      <c r="C1739" s="13" t="s">
        <v>970</v>
      </c>
      <c r="D1739" s="13" t="s">
        <v>969</v>
      </c>
      <c r="E1739" s="15"/>
      <c r="F1739" s="15">
        <f>SUM(F1740:F1741)</f>
        <v>38</v>
      </c>
      <c r="G1739" s="14">
        <f>G1740</f>
        <v>44812</v>
      </c>
      <c r="M1739" s="13"/>
      <c r="N1739" s="13"/>
      <c r="O1739" s="13"/>
      <c r="P1739" s="13"/>
      <c r="Q1739" s="13"/>
      <c r="R1739" s="13"/>
    </row>
    <row r="1740" spans="2:18" x14ac:dyDescent="0.15">
      <c r="C1740" s="2" t="s">
        <v>7</v>
      </c>
      <c r="D1740" s="2" t="s">
        <v>985</v>
      </c>
      <c r="E1740" s="3">
        <v>38</v>
      </c>
      <c r="F1740" s="3">
        <v>18</v>
      </c>
      <c r="G1740" s="4">
        <v>44812</v>
      </c>
    </row>
    <row r="1741" spans="2:18" x14ac:dyDescent="0.15">
      <c r="C1741" s="2" t="s">
        <v>18</v>
      </c>
      <c r="D1741" s="2" t="s">
        <v>1057</v>
      </c>
      <c r="E1741" s="3">
        <v>40</v>
      </c>
      <c r="F1741" s="3">
        <v>20</v>
      </c>
      <c r="G1741" s="4">
        <v>44599</v>
      </c>
    </row>
    <row r="1742" spans="2:18" x14ac:dyDescent="0.15">
      <c r="G1742" s="4"/>
    </row>
    <row r="1743" spans="2:18" s="12" customFormat="1" x14ac:dyDescent="0.15">
      <c r="B1743" s="12" t="s">
        <v>200</v>
      </c>
      <c r="C1743" s="13" t="s">
        <v>970</v>
      </c>
      <c r="D1743" s="13" t="s">
        <v>969</v>
      </c>
      <c r="E1743" s="15"/>
      <c r="F1743" s="15">
        <f>SUM(F1744:F1745)</f>
        <v>38</v>
      </c>
      <c r="G1743" s="14">
        <f>G1744</f>
        <v>43391</v>
      </c>
      <c r="M1743" s="13"/>
      <c r="N1743" s="13"/>
      <c r="O1743" s="13"/>
      <c r="P1743" s="13"/>
      <c r="Q1743" s="13"/>
      <c r="R1743" s="13"/>
    </row>
    <row r="1744" spans="2:18" x14ac:dyDescent="0.15">
      <c r="C1744" s="2" t="s">
        <v>7</v>
      </c>
      <c r="D1744" s="2" t="s">
        <v>197</v>
      </c>
      <c r="E1744" s="3">
        <v>120</v>
      </c>
      <c r="F1744" s="3">
        <v>30</v>
      </c>
      <c r="G1744" s="4">
        <v>43391</v>
      </c>
    </row>
    <row r="1745" spans="2:18" x14ac:dyDescent="0.15">
      <c r="C1745" s="2" t="s">
        <v>5</v>
      </c>
      <c r="D1745" s="2" t="s">
        <v>161</v>
      </c>
      <c r="E1745" s="3">
        <v>102</v>
      </c>
      <c r="F1745" s="3">
        <v>8</v>
      </c>
      <c r="G1745" s="4">
        <v>43292</v>
      </c>
    </row>
    <row r="1746" spans="2:18" x14ac:dyDescent="0.15">
      <c r="G1746" s="4"/>
    </row>
    <row r="1747" spans="2:18" s="12" customFormat="1" x14ac:dyDescent="0.15">
      <c r="B1747" s="12" t="s">
        <v>0</v>
      </c>
      <c r="C1747" s="13" t="s">
        <v>970</v>
      </c>
      <c r="D1747" s="13" t="s">
        <v>969</v>
      </c>
      <c r="E1747" s="15"/>
      <c r="F1747" s="15">
        <f>SUM(F1748:F1751)</f>
        <v>36.666666666666664</v>
      </c>
      <c r="G1747" s="14">
        <f>G1748</f>
        <v>45027</v>
      </c>
      <c r="M1747" s="13"/>
      <c r="N1747" s="13"/>
      <c r="O1747" s="13"/>
      <c r="P1747" s="13"/>
      <c r="Q1747" s="13"/>
      <c r="R1747" s="13"/>
    </row>
    <row r="1748" spans="2:18" x14ac:dyDescent="0.15">
      <c r="C1748" s="2" t="s">
        <v>5</v>
      </c>
      <c r="D1748" s="2" t="s">
        <v>685</v>
      </c>
      <c r="E1748" s="3">
        <v>21</v>
      </c>
      <c r="F1748" s="3">
        <f>11/3</f>
        <v>3.6666666666666665</v>
      </c>
      <c r="G1748" s="4">
        <v>45027</v>
      </c>
    </row>
    <row r="1749" spans="2:18" x14ac:dyDescent="0.15">
      <c r="C1749" s="2" t="s">
        <v>4</v>
      </c>
      <c r="D1749" s="2" t="s">
        <v>685</v>
      </c>
      <c r="E1749" s="3">
        <v>5</v>
      </c>
      <c r="F1749" s="3">
        <v>3</v>
      </c>
      <c r="G1749" s="4">
        <v>44888</v>
      </c>
    </row>
    <row r="1750" spans="2:18" x14ac:dyDescent="0.15">
      <c r="C1750" s="2" t="s">
        <v>5</v>
      </c>
      <c r="D1750" s="2" t="s">
        <v>698</v>
      </c>
      <c r="E1750" s="3">
        <v>23.5</v>
      </c>
      <c r="F1750" s="3">
        <v>15</v>
      </c>
      <c r="G1750" s="4">
        <v>44875</v>
      </c>
    </row>
    <row r="1751" spans="2:18" x14ac:dyDescent="0.15">
      <c r="C1751" s="2" t="s">
        <v>7</v>
      </c>
      <c r="D1751" s="2" t="s">
        <v>811</v>
      </c>
      <c r="E1751" s="3">
        <v>27</v>
      </c>
      <c r="F1751" s="3">
        <v>15</v>
      </c>
      <c r="G1751" s="4">
        <v>44882</v>
      </c>
    </row>
    <row r="1752" spans="2:18" x14ac:dyDescent="0.15">
      <c r="G1752" s="4"/>
    </row>
    <row r="1753" spans="2:18" s="12" customFormat="1" x14ac:dyDescent="0.15">
      <c r="B1753" s="12" t="s">
        <v>962</v>
      </c>
      <c r="C1753" s="13" t="s">
        <v>970</v>
      </c>
      <c r="D1753" s="13" t="s">
        <v>969</v>
      </c>
      <c r="E1753" s="15"/>
      <c r="F1753" s="15">
        <f>SUM(F1754:F1755)</f>
        <v>37</v>
      </c>
      <c r="G1753" s="14">
        <f>G1754</f>
        <v>45035</v>
      </c>
      <c r="M1753" s="13"/>
      <c r="N1753" s="13"/>
      <c r="O1753" s="13"/>
      <c r="P1753" s="13"/>
      <c r="Q1753" s="13"/>
      <c r="R1753" s="13"/>
    </row>
    <row r="1754" spans="2:18" x14ac:dyDescent="0.15">
      <c r="C1754" s="2" t="s">
        <v>5</v>
      </c>
      <c r="D1754" s="2" t="s">
        <v>902</v>
      </c>
      <c r="E1754" s="3">
        <v>70</v>
      </c>
      <c r="F1754" s="3">
        <v>30</v>
      </c>
      <c r="G1754" s="4">
        <v>45035</v>
      </c>
    </row>
    <row r="1755" spans="2:18" x14ac:dyDescent="0.15">
      <c r="C1755" s="100" t="s">
        <v>7</v>
      </c>
      <c r="D1755" s="100" t="s">
        <v>6042</v>
      </c>
      <c r="E1755" s="3">
        <v>50</v>
      </c>
      <c r="F1755" s="3">
        <f>35/5</f>
        <v>7</v>
      </c>
      <c r="G1755" s="4">
        <v>44670</v>
      </c>
    </row>
    <row r="1756" spans="2:18" x14ac:dyDescent="0.15">
      <c r="G1756" s="4"/>
    </row>
    <row r="1757" spans="2:18" s="12" customFormat="1" x14ac:dyDescent="0.15">
      <c r="B1757" s="12" t="s">
        <v>658</v>
      </c>
      <c r="C1757" s="13" t="s">
        <v>970</v>
      </c>
      <c r="D1757" s="13" t="s">
        <v>969</v>
      </c>
      <c r="E1757" s="15"/>
      <c r="F1757" s="15">
        <f>SUM(F1758:F1762)</f>
        <v>36.74545454545455</v>
      </c>
      <c r="G1757" s="14">
        <f>G1759</f>
        <v>44776</v>
      </c>
      <c r="M1757" s="13"/>
      <c r="N1757" s="13"/>
      <c r="O1757" s="13"/>
      <c r="P1757" s="13"/>
      <c r="Q1757" s="13"/>
      <c r="R1757" s="13"/>
    </row>
    <row r="1758" spans="2:18" x14ac:dyDescent="0.15">
      <c r="B1758" s="258" t="s">
        <v>7709</v>
      </c>
      <c r="C1758" s="2" t="s">
        <v>5</v>
      </c>
      <c r="D1758" s="2" t="s">
        <v>657</v>
      </c>
      <c r="E1758" s="3">
        <v>12.6</v>
      </c>
      <c r="F1758" s="3">
        <f>6.6/3</f>
        <v>2.1999999999999997</v>
      </c>
      <c r="G1758" s="4">
        <v>44579</v>
      </c>
      <c r="M1758" s="1"/>
      <c r="N1758" s="1"/>
      <c r="O1758" s="1"/>
      <c r="P1758" s="1"/>
      <c r="Q1758" s="1"/>
      <c r="R1758" s="1"/>
    </row>
    <row r="1759" spans="2:18" x14ac:dyDescent="0.15">
      <c r="B1759" s="274" t="s">
        <v>7703</v>
      </c>
      <c r="C1759" s="2" t="s">
        <v>8</v>
      </c>
      <c r="D1759" s="2" t="s">
        <v>449</v>
      </c>
      <c r="E1759" s="3">
        <v>90</v>
      </c>
      <c r="F1759" s="3">
        <f>50/11</f>
        <v>4.5454545454545459</v>
      </c>
      <c r="G1759" s="4">
        <v>44776</v>
      </c>
      <c r="M1759" s="1"/>
      <c r="N1759" s="1"/>
      <c r="O1759" s="1"/>
      <c r="P1759" s="1"/>
      <c r="Q1759" s="1"/>
      <c r="R1759" s="1"/>
    </row>
    <row r="1760" spans="2:18" x14ac:dyDescent="0.15">
      <c r="C1760" s="2" t="s">
        <v>9</v>
      </c>
      <c r="D1760" s="2" t="s">
        <v>3</v>
      </c>
      <c r="E1760" s="3">
        <v>90</v>
      </c>
      <c r="F1760" s="3">
        <v>10</v>
      </c>
      <c r="G1760" s="4">
        <v>44721</v>
      </c>
      <c r="I1760" s="1">
        <v>2200</v>
      </c>
      <c r="J1760" s="1">
        <v>2200</v>
      </c>
      <c r="M1760" s="1"/>
      <c r="N1760" s="1"/>
      <c r="O1760" s="1"/>
      <c r="P1760" s="1"/>
      <c r="Q1760" s="1"/>
      <c r="R1760" s="1"/>
    </row>
    <row r="1761" spans="2:18" x14ac:dyDescent="0.15">
      <c r="C1761" s="2" t="s">
        <v>7</v>
      </c>
      <c r="D1761" s="2" t="s">
        <v>3</v>
      </c>
      <c r="E1761" s="3">
        <v>25</v>
      </c>
      <c r="F1761" s="3">
        <v>10</v>
      </c>
      <c r="G1761" s="4">
        <v>43697</v>
      </c>
      <c r="J1761" s="1">
        <v>2200</v>
      </c>
      <c r="M1761" s="1"/>
      <c r="N1761" s="1"/>
      <c r="O1761" s="1"/>
      <c r="P1761" s="1"/>
      <c r="Q1761" s="1"/>
      <c r="R1761" s="1"/>
    </row>
    <row r="1762" spans="2:18" x14ac:dyDescent="0.15">
      <c r="C1762" s="100" t="s">
        <v>18</v>
      </c>
      <c r="D1762" s="100" t="s">
        <v>2106</v>
      </c>
      <c r="E1762" s="3">
        <v>100</v>
      </c>
      <c r="F1762" s="3">
        <v>10</v>
      </c>
      <c r="G1762" s="4">
        <v>44397</v>
      </c>
      <c r="M1762" s="1"/>
      <c r="N1762" s="1"/>
      <c r="O1762" s="1"/>
      <c r="P1762" s="1"/>
      <c r="Q1762" s="1"/>
      <c r="R1762" s="1"/>
    </row>
    <row r="1763" spans="2:18" x14ac:dyDescent="0.15">
      <c r="G1763" s="4"/>
      <c r="M1763" s="1"/>
      <c r="N1763" s="1"/>
      <c r="O1763" s="1"/>
      <c r="P1763" s="1"/>
      <c r="Q1763" s="1"/>
      <c r="R1763" s="1"/>
    </row>
    <row r="1764" spans="2:18" s="12" customFormat="1" x14ac:dyDescent="0.15">
      <c r="B1764" s="12" t="s">
        <v>14</v>
      </c>
      <c r="C1764" s="13" t="s">
        <v>970</v>
      </c>
      <c r="D1764" s="13" t="s">
        <v>969</v>
      </c>
      <c r="E1764" s="15"/>
      <c r="F1764" s="15">
        <f>SUM(F1765:F1766)</f>
        <v>37.5</v>
      </c>
      <c r="G1764" s="14">
        <f>G1765</f>
        <v>44721</v>
      </c>
      <c r="M1764" s="13"/>
      <c r="N1764" s="13"/>
      <c r="O1764" s="13"/>
      <c r="P1764" s="13"/>
      <c r="Q1764" s="13"/>
      <c r="R1764" s="13"/>
    </row>
    <row r="1765" spans="2:18" x14ac:dyDescent="0.15">
      <c r="C1765" s="2" t="s">
        <v>9</v>
      </c>
      <c r="D1765" s="2" t="s">
        <v>3</v>
      </c>
      <c r="E1765" s="3">
        <v>90</v>
      </c>
      <c r="F1765" s="3">
        <v>20</v>
      </c>
      <c r="G1765" s="4">
        <v>44721</v>
      </c>
      <c r="I1765" s="1">
        <v>2200</v>
      </c>
      <c r="J1765" s="1">
        <v>2200</v>
      </c>
    </row>
    <row r="1766" spans="2:18" x14ac:dyDescent="0.15">
      <c r="C1766" s="62" t="s">
        <v>8</v>
      </c>
      <c r="D1766" s="62" t="s">
        <v>2114</v>
      </c>
      <c r="E1766" s="3">
        <v>110</v>
      </c>
      <c r="F1766" s="3">
        <f>70/4</f>
        <v>17.5</v>
      </c>
      <c r="G1766" s="4">
        <v>44567</v>
      </c>
      <c r="I1766" s="1">
        <v>790</v>
      </c>
      <c r="J1766" s="1">
        <v>790</v>
      </c>
    </row>
    <row r="1767" spans="2:18" x14ac:dyDescent="0.15">
      <c r="G1767" s="4"/>
    </row>
    <row r="1768" spans="2:18" s="12" customFormat="1" x14ac:dyDescent="0.15">
      <c r="B1768" s="12" t="s">
        <v>1056</v>
      </c>
      <c r="C1768" s="13" t="s">
        <v>970</v>
      </c>
      <c r="D1768" s="13" t="s">
        <v>969</v>
      </c>
      <c r="E1768" s="15"/>
      <c r="F1768" s="15">
        <f>SUM(F1769:F1777)</f>
        <v>37.314285714285717</v>
      </c>
      <c r="G1768" s="14">
        <f>G1772</f>
        <v>44860</v>
      </c>
    </row>
    <row r="1769" spans="2:18" x14ac:dyDescent="0.15">
      <c r="C1769" s="2" t="s">
        <v>5</v>
      </c>
      <c r="D1769" s="2" t="s">
        <v>657</v>
      </c>
      <c r="E1769" s="3">
        <v>12.6</v>
      </c>
      <c r="F1769" s="3">
        <f>6.6/3</f>
        <v>2.1999999999999997</v>
      </c>
      <c r="G1769" s="4">
        <v>44579</v>
      </c>
      <c r="M1769" s="1"/>
      <c r="N1769" s="1"/>
      <c r="O1769" s="1"/>
      <c r="P1769" s="1"/>
      <c r="Q1769" s="1"/>
      <c r="R1769" s="1"/>
    </row>
    <row r="1770" spans="2:18" x14ac:dyDescent="0.15">
      <c r="C1770" s="2" t="s">
        <v>4</v>
      </c>
      <c r="D1770" s="2" t="s">
        <v>657</v>
      </c>
      <c r="E1770" s="3">
        <v>3</v>
      </c>
      <c r="F1770" s="3">
        <v>1</v>
      </c>
      <c r="G1770" s="4">
        <v>43999</v>
      </c>
      <c r="M1770" s="1"/>
      <c r="N1770" s="1"/>
      <c r="O1770" s="1"/>
      <c r="P1770" s="1"/>
      <c r="Q1770" s="1"/>
      <c r="R1770" s="1"/>
    </row>
    <row r="1771" spans="2:18" x14ac:dyDescent="0.15">
      <c r="C1771" s="2" t="s">
        <v>4</v>
      </c>
      <c r="D1771" s="2" t="s">
        <v>652</v>
      </c>
      <c r="E1771" s="3">
        <v>12.3</v>
      </c>
      <c r="F1771" s="3">
        <v>3</v>
      </c>
      <c r="G1771" s="4">
        <v>44622</v>
      </c>
      <c r="M1771" s="1"/>
      <c r="N1771" s="1"/>
      <c r="O1771" s="1"/>
      <c r="P1771" s="1"/>
      <c r="Q1771" s="1"/>
      <c r="R1771" s="1"/>
    </row>
    <row r="1772" spans="2:18" x14ac:dyDescent="0.15">
      <c r="C1772" s="2" t="s">
        <v>5</v>
      </c>
      <c r="D1772" s="2" t="s">
        <v>643</v>
      </c>
      <c r="E1772" s="3">
        <v>12</v>
      </c>
      <c r="F1772" s="3">
        <v>2</v>
      </c>
      <c r="G1772" s="4">
        <v>44860</v>
      </c>
      <c r="M1772" s="1"/>
      <c r="N1772" s="1"/>
      <c r="O1772" s="1"/>
      <c r="P1772" s="1"/>
      <c r="Q1772" s="1"/>
      <c r="R1772" s="1"/>
    </row>
    <row r="1773" spans="2:18" x14ac:dyDescent="0.15">
      <c r="C1773" s="2" t="s">
        <v>4</v>
      </c>
      <c r="D1773" s="2" t="s">
        <v>643</v>
      </c>
      <c r="E1773" s="3">
        <v>2.8</v>
      </c>
      <c r="F1773" s="3">
        <v>1.4</v>
      </c>
      <c r="G1773" s="4">
        <v>44215</v>
      </c>
      <c r="M1773" s="1"/>
      <c r="N1773" s="1"/>
      <c r="O1773" s="1"/>
      <c r="P1773" s="1"/>
      <c r="Q1773" s="1"/>
      <c r="R1773" s="1"/>
    </row>
    <row r="1774" spans="2:18" x14ac:dyDescent="0.15">
      <c r="C1774" s="2" t="s">
        <v>278</v>
      </c>
      <c r="D1774" s="2" t="s">
        <v>583</v>
      </c>
      <c r="E1774" s="3">
        <v>2</v>
      </c>
      <c r="F1774" s="3">
        <v>1</v>
      </c>
      <c r="G1774" s="4">
        <v>44223</v>
      </c>
      <c r="M1774" s="1"/>
      <c r="N1774" s="1"/>
      <c r="O1774" s="1"/>
      <c r="P1774" s="1"/>
      <c r="Q1774" s="1"/>
      <c r="R1774" s="1"/>
    </row>
    <row r="1775" spans="2:18" x14ac:dyDescent="0.15">
      <c r="C1775" s="2" t="s">
        <v>18</v>
      </c>
      <c r="D1775" s="2" t="s">
        <v>32</v>
      </c>
      <c r="E1775" s="3">
        <v>230</v>
      </c>
      <c r="F1775" s="3">
        <f>110/7</f>
        <v>15.714285714285714</v>
      </c>
      <c r="G1775" s="4">
        <v>43634</v>
      </c>
      <c r="M1775" s="1"/>
      <c r="N1775" s="1"/>
      <c r="O1775" s="1"/>
      <c r="P1775" s="1"/>
      <c r="Q1775" s="1"/>
      <c r="R1775" s="1"/>
    </row>
    <row r="1776" spans="2:18" x14ac:dyDescent="0.15">
      <c r="C1776" s="2" t="s">
        <v>7</v>
      </c>
      <c r="D1776" s="2" t="s">
        <v>32</v>
      </c>
      <c r="E1776" s="3">
        <v>45</v>
      </c>
      <c r="F1776" s="3">
        <v>6</v>
      </c>
      <c r="G1776" s="4">
        <v>43293</v>
      </c>
      <c r="M1776" s="1"/>
      <c r="N1776" s="1"/>
      <c r="O1776" s="1"/>
      <c r="P1776" s="1"/>
      <c r="Q1776" s="1"/>
      <c r="R1776" s="1"/>
    </row>
    <row r="1777" spans="2:18" x14ac:dyDescent="0.15">
      <c r="C1777" s="2" t="s">
        <v>5</v>
      </c>
      <c r="D1777" s="2" t="s">
        <v>32</v>
      </c>
      <c r="E1777" s="3">
        <v>18</v>
      </c>
      <c r="F1777" s="3">
        <v>5</v>
      </c>
      <c r="G1777" s="4">
        <v>42983</v>
      </c>
      <c r="M1777" s="1"/>
      <c r="N1777" s="1"/>
      <c r="O1777" s="1"/>
      <c r="P1777" s="1"/>
      <c r="Q1777" s="1"/>
      <c r="R1777" s="1"/>
    </row>
    <row r="1778" spans="2:18" x14ac:dyDescent="0.15">
      <c r="G1778" s="4"/>
      <c r="M1778" s="1"/>
      <c r="N1778" s="1"/>
      <c r="O1778" s="1"/>
      <c r="P1778" s="1"/>
      <c r="Q1778" s="1"/>
      <c r="R1778" s="1"/>
    </row>
    <row r="1779" spans="2:18" s="12" customFormat="1" x14ac:dyDescent="0.15">
      <c r="B1779" s="12" t="s">
        <v>234</v>
      </c>
      <c r="C1779" s="13" t="s">
        <v>970</v>
      </c>
      <c r="D1779" s="13" t="s">
        <v>969</v>
      </c>
      <c r="E1779" s="15"/>
      <c r="F1779" s="15">
        <f>SUM(F1780:F1783)</f>
        <v>35.666666666666664</v>
      </c>
      <c r="G1779" s="14">
        <f>G1782</f>
        <v>42941</v>
      </c>
      <c r="M1779" s="13"/>
      <c r="N1779" s="13"/>
      <c r="O1779" s="13"/>
      <c r="P1779" s="13"/>
      <c r="Q1779" s="13"/>
      <c r="R1779" s="13"/>
    </row>
    <row r="1780" spans="2:18" x14ac:dyDescent="0.15">
      <c r="C1780" s="2" t="s">
        <v>18</v>
      </c>
      <c r="D1780" s="2" t="s">
        <v>232</v>
      </c>
      <c r="E1780" s="3">
        <v>100</v>
      </c>
      <c r="F1780" s="3">
        <v>20</v>
      </c>
      <c r="G1780" s="4">
        <v>42735</v>
      </c>
    </row>
    <row r="1781" spans="2:18" x14ac:dyDescent="0.15">
      <c r="C1781" s="2" t="s">
        <v>7</v>
      </c>
      <c r="D1781" s="2" t="s">
        <v>232</v>
      </c>
      <c r="E1781" s="3">
        <v>22</v>
      </c>
      <c r="F1781" s="3">
        <v>8</v>
      </c>
      <c r="G1781" s="4">
        <v>41821</v>
      </c>
    </row>
    <row r="1782" spans="2:18" x14ac:dyDescent="0.15">
      <c r="C1782" s="2" t="s">
        <v>7</v>
      </c>
      <c r="D1782" s="2" t="s">
        <v>197</v>
      </c>
      <c r="E1782" s="3">
        <v>46</v>
      </c>
      <c r="F1782" s="3">
        <v>6</v>
      </c>
      <c r="G1782" s="4">
        <v>42941</v>
      </c>
    </row>
    <row r="1783" spans="2:18" x14ac:dyDescent="0.15">
      <c r="C1783" s="2" t="s">
        <v>5</v>
      </c>
      <c r="D1783" s="2" t="s">
        <v>197</v>
      </c>
      <c r="E1783" s="3">
        <v>5</v>
      </c>
      <c r="F1783" s="3">
        <f>E1783/3</f>
        <v>1.6666666666666667</v>
      </c>
      <c r="G1783" s="4">
        <v>42688</v>
      </c>
    </row>
    <row r="1784" spans="2:18" x14ac:dyDescent="0.15">
      <c r="G1784" s="4"/>
    </row>
    <row r="1785" spans="2:18" s="12" customFormat="1" x14ac:dyDescent="0.15">
      <c r="B1785" s="12" t="s">
        <v>504</v>
      </c>
      <c r="C1785" s="13" t="s">
        <v>970</v>
      </c>
      <c r="D1785" s="13" t="s">
        <v>969</v>
      </c>
      <c r="E1785" s="15"/>
      <c r="F1785" s="15">
        <f>SUM(F1786:F1787)</f>
        <v>36</v>
      </c>
      <c r="G1785" s="14">
        <f>G1786</f>
        <v>44152</v>
      </c>
    </row>
    <row r="1786" spans="2:18" x14ac:dyDescent="0.15">
      <c r="C1786" s="2" t="s">
        <v>53</v>
      </c>
      <c r="D1786" s="2" t="s">
        <v>490</v>
      </c>
      <c r="E1786" s="3">
        <v>270</v>
      </c>
      <c r="F1786" s="3">
        <v>22</v>
      </c>
      <c r="G1786" s="4">
        <v>44152</v>
      </c>
      <c r="M1786" s="1"/>
      <c r="N1786" s="1"/>
      <c r="O1786" s="1"/>
      <c r="P1786" s="1"/>
      <c r="Q1786" s="1"/>
      <c r="R1786" s="1"/>
    </row>
    <row r="1787" spans="2:18" x14ac:dyDescent="0.15">
      <c r="C1787" s="2" t="s">
        <v>9</v>
      </c>
      <c r="D1787" s="2" t="s">
        <v>490</v>
      </c>
      <c r="E1787" s="3">
        <v>206</v>
      </c>
      <c r="F1787" s="3">
        <v>14</v>
      </c>
      <c r="G1787" s="4">
        <v>43725</v>
      </c>
      <c r="M1787" s="1"/>
      <c r="N1787" s="1"/>
      <c r="O1787" s="1"/>
      <c r="P1787" s="1"/>
      <c r="Q1787" s="1"/>
      <c r="R1787" s="1"/>
    </row>
    <row r="1788" spans="2:18" x14ac:dyDescent="0.15">
      <c r="G1788" s="4"/>
      <c r="M1788" s="1"/>
      <c r="N1788" s="1"/>
      <c r="O1788" s="1"/>
      <c r="P1788" s="1"/>
      <c r="Q1788" s="1"/>
      <c r="R1788" s="1"/>
    </row>
    <row r="1789" spans="2:18" s="12" customFormat="1" x14ac:dyDescent="0.15">
      <c r="B1789" s="12" t="s">
        <v>369</v>
      </c>
      <c r="C1789" s="13" t="s">
        <v>970</v>
      </c>
      <c r="D1789" s="13" t="s">
        <v>969</v>
      </c>
      <c r="E1789" s="15"/>
      <c r="F1789" s="15">
        <f>SUM(F1790:F1791)</f>
        <v>36.25</v>
      </c>
      <c r="G1789" s="14">
        <f>G1790</f>
        <v>44602</v>
      </c>
    </row>
    <row r="1790" spans="2:18" x14ac:dyDescent="0.15">
      <c r="C1790" s="2" t="s">
        <v>7</v>
      </c>
      <c r="D1790" s="2" t="s">
        <v>363</v>
      </c>
      <c r="E1790" s="3">
        <v>120</v>
      </c>
      <c r="F1790" s="3">
        <f>90/8</f>
        <v>11.25</v>
      </c>
      <c r="G1790" s="4">
        <v>44602</v>
      </c>
      <c r="M1790" s="1"/>
      <c r="N1790" s="1"/>
      <c r="O1790" s="1"/>
      <c r="P1790" s="1"/>
      <c r="Q1790" s="1"/>
      <c r="R1790" s="1"/>
    </row>
    <row r="1791" spans="2:18" x14ac:dyDescent="0.15">
      <c r="C1791" s="2" t="s">
        <v>5</v>
      </c>
      <c r="D1791" s="2" t="s">
        <v>363</v>
      </c>
      <c r="E1791" s="3">
        <v>50</v>
      </c>
      <c r="F1791" s="3">
        <v>25</v>
      </c>
      <c r="G1791" s="4">
        <v>43039</v>
      </c>
      <c r="M1791" s="1"/>
      <c r="N1791" s="1"/>
      <c r="O1791" s="1"/>
      <c r="P1791" s="1"/>
      <c r="Q1791" s="1"/>
      <c r="R1791" s="1"/>
    </row>
    <row r="1792" spans="2:18" x14ac:dyDescent="0.15">
      <c r="G1792" s="4"/>
      <c r="M1792" s="1"/>
      <c r="N1792" s="1"/>
      <c r="O1792" s="1"/>
      <c r="P1792" s="1"/>
      <c r="Q1792" s="1"/>
      <c r="R1792" s="1"/>
    </row>
    <row r="1793" spans="2:18" s="12" customFormat="1" x14ac:dyDescent="0.15">
      <c r="B1793" s="12" t="s">
        <v>499</v>
      </c>
      <c r="C1793" s="13" t="s">
        <v>970</v>
      </c>
      <c r="D1793" s="13" t="s">
        <v>969</v>
      </c>
      <c r="E1793" s="15"/>
      <c r="F1793" s="15">
        <f>SUM(F1794:F1797)</f>
        <v>36.295454545454547</v>
      </c>
      <c r="G1793" s="14">
        <f>G1795</f>
        <v>44776</v>
      </c>
    </row>
    <row r="1794" spans="2:18" x14ac:dyDescent="0.15">
      <c r="C1794" s="2" t="s">
        <v>9</v>
      </c>
      <c r="D1794" s="2" t="s">
        <v>490</v>
      </c>
      <c r="E1794" s="3">
        <v>206</v>
      </c>
      <c r="F1794" s="3">
        <v>14</v>
      </c>
      <c r="G1794" s="4">
        <v>43725</v>
      </c>
      <c r="M1794" s="1"/>
      <c r="N1794" s="1"/>
      <c r="O1794" s="1"/>
      <c r="P1794" s="1"/>
      <c r="Q1794" s="1"/>
      <c r="R1794" s="1"/>
    </row>
    <row r="1795" spans="2:18" x14ac:dyDescent="0.15">
      <c r="C1795" s="2" t="s">
        <v>8</v>
      </c>
      <c r="D1795" s="2" t="s">
        <v>449</v>
      </c>
      <c r="E1795" s="3">
        <v>90</v>
      </c>
      <c r="F1795" s="3">
        <f>50/11</f>
        <v>4.5454545454545459</v>
      </c>
      <c r="G1795" s="4">
        <v>44776</v>
      </c>
      <c r="M1795" s="1"/>
      <c r="N1795" s="1"/>
      <c r="O1795" s="1"/>
      <c r="P1795" s="1"/>
      <c r="Q1795" s="1"/>
      <c r="R1795" s="1"/>
    </row>
    <row r="1796" spans="2:18" x14ac:dyDescent="0.15">
      <c r="C1796" s="2" t="s">
        <v>18</v>
      </c>
      <c r="D1796" s="2" t="s">
        <v>449</v>
      </c>
      <c r="E1796" s="3">
        <v>40</v>
      </c>
      <c r="F1796" s="3">
        <v>3.75</v>
      </c>
      <c r="G1796" s="4">
        <v>44176</v>
      </c>
      <c r="M1796" s="1"/>
      <c r="N1796" s="1"/>
      <c r="O1796" s="1"/>
      <c r="P1796" s="1"/>
      <c r="Q1796" s="1"/>
      <c r="R1796" s="1"/>
    </row>
    <row r="1797" spans="2:18" x14ac:dyDescent="0.15">
      <c r="C1797" s="100" t="s">
        <v>7</v>
      </c>
      <c r="D1797" s="100" t="s">
        <v>2081</v>
      </c>
      <c r="E1797" s="3">
        <v>100</v>
      </c>
      <c r="F1797" s="3">
        <f>70/5</f>
        <v>14</v>
      </c>
      <c r="G1797" s="4">
        <v>44937</v>
      </c>
      <c r="I1797" s="1">
        <v>900</v>
      </c>
      <c r="J1797" s="1">
        <v>900</v>
      </c>
      <c r="M1797" s="1"/>
      <c r="N1797" s="1"/>
      <c r="O1797" s="1"/>
      <c r="P1797" s="1"/>
      <c r="Q1797" s="1"/>
      <c r="R1797" s="1"/>
    </row>
    <row r="1798" spans="2:18" x14ac:dyDescent="0.15">
      <c r="G1798" s="4"/>
      <c r="M1798" s="1"/>
      <c r="N1798" s="1"/>
      <c r="O1798" s="1"/>
      <c r="P1798" s="1"/>
      <c r="Q1798" s="1"/>
      <c r="R1798" s="1"/>
    </row>
    <row r="1799" spans="2:18" x14ac:dyDescent="0.15">
      <c r="B1799" s="12" t="s">
        <v>5959</v>
      </c>
      <c r="C1799" s="13" t="s">
        <v>970</v>
      </c>
      <c r="D1799" s="13" t="s">
        <v>969</v>
      </c>
      <c r="E1799" s="15"/>
      <c r="F1799" s="15">
        <f>SUM(F1800:F1809)</f>
        <v>36.308333333333337</v>
      </c>
      <c r="G1799" s="14">
        <f>G1803</f>
        <v>44881</v>
      </c>
      <c r="I1799" s="192" t="s">
        <v>6771</v>
      </c>
    </row>
    <row r="1800" spans="2:18" x14ac:dyDescent="0.15">
      <c r="B1800" s="99"/>
      <c r="C1800" s="100" t="s">
        <v>7</v>
      </c>
      <c r="D1800" s="100" t="s">
        <v>2074</v>
      </c>
      <c r="E1800" s="3">
        <v>60</v>
      </c>
      <c r="F1800" s="3">
        <v>10</v>
      </c>
      <c r="G1800" s="4">
        <v>44278</v>
      </c>
    </row>
    <row r="1801" spans="2:18" x14ac:dyDescent="0.15">
      <c r="C1801" s="100" t="s">
        <v>5</v>
      </c>
      <c r="D1801" s="100" t="s">
        <v>2074</v>
      </c>
      <c r="E1801" s="3">
        <v>20</v>
      </c>
      <c r="F1801" s="3">
        <v>5</v>
      </c>
      <c r="G1801" s="4">
        <v>43992</v>
      </c>
    </row>
    <row r="1802" spans="2:18" x14ac:dyDescent="0.15">
      <c r="C1802" s="100" t="s">
        <v>4</v>
      </c>
      <c r="D1802" s="100" t="s">
        <v>2074</v>
      </c>
      <c r="E1802" s="3">
        <v>5</v>
      </c>
      <c r="F1802" s="3">
        <v>1</v>
      </c>
      <c r="G1802" s="4">
        <v>43466</v>
      </c>
    </row>
    <row r="1803" spans="2:18" x14ac:dyDescent="0.15">
      <c r="C1803" s="169" t="s">
        <v>7</v>
      </c>
      <c r="D1803" s="169" t="s">
        <v>2042</v>
      </c>
      <c r="E1803" s="3">
        <v>30</v>
      </c>
      <c r="F1803" s="3">
        <v>5</v>
      </c>
      <c r="G1803" s="4">
        <v>44881</v>
      </c>
    </row>
    <row r="1804" spans="2:18" x14ac:dyDescent="0.15">
      <c r="C1804" s="169" t="s">
        <v>5</v>
      </c>
      <c r="D1804" s="169" t="s">
        <v>2042</v>
      </c>
      <c r="E1804" s="3">
        <v>11</v>
      </c>
      <c r="F1804" s="3">
        <f>7/4</f>
        <v>1.75</v>
      </c>
      <c r="G1804" s="4">
        <v>44174</v>
      </c>
    </row>
    <row r="1805" spans="2:18" x14ac:dyDescent="0.15">
      <c r="C1805" s="169" t="s">
        <v>4</v>
      </c>
      <c r="D1805" s="169" t="s">
        <v>2042</v>
      </c>
      <c r="E1805" s="3">
        <v>2.9</v>
      </c>
      <c r="F1805" s="3">
        <v>1</v>
      </c>
      <c r="G1805" s="4">
        <v>43221</v>
      </c>
    </row>
    <row r="1806" spans="2:18" x14ac:dyDescent="0.15">
      <c r="C1806" s="193" t="s">
        <v>5</v>
      </c>
      <c r="D1806" s="193" t="s">
        <v>2033</v>
      </c>
      <c r="E1806" s="3">
        <v>18.5</v>
      </c>
      <c r="F1806" s="3">
        <f>E1806/4</f>
        <v>4.625</v>
      </c>
      <c r="G1806" s="4">
        <v>44561</v>
      </c>
    </row>
    <row r="1807" spans="2:18" x14ac:dyDescent="0.15">
      <c r="C1807" s="193" t="s">
        <v>4</v>
      </c>
      <c r="D1807" s="193" t="s">
        <v>2033</v>
      </c>
      <c r="E1807" s="3">
        <v>5.8</v>
      </c>
      <c r="F1807" s="3">
        <f>E1807/3</f>
        <v>1.9333333333333333</v>
      </c>
      <c r="G1807" s="4">
        <v>44348</v>
      </c>
    </row>
    <row r="1808" spans="2:18" x14ac:dyDescent="0.15">
      <c r="C1808" s="193" t="s">
        <v>5</v>
      </c>
      <c r="D1808" s="193" t="s">
        <v>2032</v>
      </c>
      <c r="E1808" s="3">
        <v>21</v>
      </c>
      <c r="F1808" s="3">
        <v>3</v>
      </c>
      <c r="G1808" s="4">
        <v>44334</v>
      </c>
    </row>
    <row r="1809" spans="2:18" x14ac:dyDescent="0.15">
      <c r="C1809" s="193" t="s">
        <v>4</v>
      </c>
      <c r="D1809" s="193" t="s">
        <v>2032</v>
      </c>
      <c r="E1809" s="3">
        <v>5</v>
      </c>
      <c r="F1809" s="3">
        <v>3</v>
      </c>
      <c r="G1809" s="4">
        <v>44105</v>
      </c>
    </row>
    <row r="1810" spans="2:18" x14ac:dyDescent="0.15">
      <c r="C1810" s="100"/>
      <c r="D1810" s="100"/>
      <c r="G1810" s="4"/>
    </row>
    <row r="1811" spans="2:18" s="12" customFormat="1" x14ac:dyDescent="0.15">
      <c r="B1811" s="12" t="s">
        <v>859</v>
      </c>
      <c r="C1811" s="13" t="s">
        <v>970</v>
      </c>
      <c r="D1811" s="13" t="s">
        <v>969</v>
      </c>
      <c r="E1811" s="15"/>
      <c r="F1811" s="15">
        <f>SUM(F1812:F1814)</f>
        <v>36</v>
      </c>
      <c r="G1811" s="14">
        <f>G1812</f>
        <v>44860</v>
      </c>
      <c r="M1811" s="13"/>
      <c r="N1811" s="13"/>
      <c r="O1811" s="13"/>
      <c r="P1811" s="13"/>
      <c r="Q1811" s="13"/>
      <c r="R1811" s="13"/>
    </row>
    <row r="1812" spans="2:18" x14ac:dyDescent="0.15">
      <c r="C1812" s="2" t="s">
        <v>5</v>
      </c>
      <c r="D1812" s="2" t="s">
        <v>643</v>
      </c>
      <c r="E1812" s="3">
        <v>12</v>
      </c>
      <c r="F1812" s="3">
        <v>3</v>
      </c>
      <c r="G1812" s="4">
        <v>44860</v>
      </c>
    </row>
    <row r="1813" spans="2:18" x14ac:dyDescent="0.15">
      <c r="C1813" s="2" t="s">
        <v>7</v>
      </c>
      <c r="D1813" s="2" t="s">
        <v>208</v>
      </c>
      <c r="E1813" s="3">
        <v>150</v>
      </c>
      <c r="F1813" s="3">
        <v>20</v>
      </c>
      <c r="G1813" s="4">
        <v>43556</v>
      </c>
    </row>
    <row r="1814" spans="2:18" x14ac:dyDescent="0.15">
      <c r="C1814" s="2" t="s">
        <v>5</v>
      </c>
      <c r="D1814" s="2" t="s">
        <v>208</v>
      </c>
      <c r="E1814" s="3">
        <v>56</v>
      </c>
      <c r="F1814" s="3">
        <v>13</v>
      </c>
      <c r="G1814" s="4">
        <v>43174</v>
      </c>
    </row>
    <row r="1815" spans="2:18" x14ac:dyDescent="0.15">
      <c r="G1815" s="4"/>
    </row>
    <row r="1816" spans="2:18" s="12" customFormat="1" x14ac:dyDescent="0.15">
      <c r="B1816" s="12" t="s">
        <v>935</v>
      </c>
      <c r="C1816" s="13" t="s">
        <v>970</v>
      </c>
      <c r="D1816" s="13" t="s">
        <v>969</v>
      </c>
      <c r="E1816" s="15"/>
      <c r="F1816" s="15">
        <f>SUM(F1817:F1819)</f>
        <v>35</v>
      </c>
      <c r="G1816" s="14">
        <f>G1817</f>
        <v>44671</v>
      </c>
      <c r="M1816" s="13"/>
      <c r="N1816" s="13"/>
      <c r="O1816" s="13"/>
      <c r="P1816" s="13"/>
      <c r="Q1816" s="13"/>
      <c r="R1816" s="13"/>
    </row>
    <row r="1817" spans="2:18" x14ac:dyDescent="0.15">
      <c r="C1817" s="2" t="s">
        <v>5</v>
      </c>
      <c r="D1817" s="2" t="s">
        <v>844</v>
      </c>
      <c r="E1817" s="3">
        <v>44</v>
      </c>
      <c r="F1817" s="3">
        <v>10</v>
      </c>
      <c r="G1817" s="4">
        <v>44671</v>
      </c>
    </row>
    <row r="1818" spans="2:18" x14ac:dyDescent="0.15">
      <c r="C1818" s="2" t="s">
        <v>18</v>
      </c>
      <c r="D1818" s="2" t="s">
        <v>39</v>
      </c>
      <c r="E1818" s="3">
        <v>100</v>
      </c>
      <c r="F1818" s="3">
        <f>60/4</f>
        <v>15</v>
      </c>
      <c r="G1818" s="4">
        <v>44025</v>
      </c>
    </row>
    <row r="1819" spans="2:18" x14ac:dyDescent="0.15">
      <c r="C1819" s="2" t="s">
        <v>7</v>
      </c>
      <c r="D1819" s="2" t="s">
        <v>39</v>
      </c>
      <c r="E1819" s="3">
        <f>42</f>
        <v>42</v>
      </c>
      <c r="F1819" s="3">
        <v>10</v>
      </c>
      <c r="G1819" s="4">
        <v>43144</v>
      </c>
    </row>
    <row r="1821" spans="2:18" x14ac:dyDescent="0.15">
      <c r="B1821" s="12" t="s">
        <v>5054</v>
      </c>
      <c r="C1821" s="13" t="s">
        <v>970</v>
      </c>
      <c r="D1821" s="13" t="s">
        <v>969</v>
      </c>
      <c r="F1821" s="15">
        <f>SUM(F1822:F1830)</f>
        <v>35.43333333333333</v>
      </c>
      <c r="G1821" s="14">
        <f>G1825</f>
        <v>45062</v>
      </c>
      <c r="M1821" s="100" t="s">
        <v>5464</v>
      </c>
    </row>
    <row r="1822" spans="2:18" x14ac:dyDescent="0.15">
      <c r="C1822" s="2" t="s">
        <v>7</v>
      </c>
      <c r="D1822" s="2" t="s">
        <v>1012</v>
      </c>
      <c r="E1822" s="3">
        <v>43</v>
      </c>
      <c r="F1822" s="3">
        <v>6</v>
      </c>
      <c r="G1822" s="4">
        <v>44978</v>
      </c>
    </row>
    <row r="1823" spans="2:18" x14ac:dyDescent="0.15">
      <c r="C1823" s="2" t="s">
        <v>4</v>
      </c>
      <c r="D1823" s="2" t="s">
        <v>772</v>
      </c>
      <c r="E1823" s="3">
        <v>10</v>
      </c>
      <c r="F1823" s="3">
        <v>1</v>
      </c>
      <c r="G1823" s="4">
        <v>44858</v>
      </c>
      <c r="I1823" s="99" t="s">
        <v>6040</v>
      </c>
    </row>
    <row r="1824" spans="2:18" x14ac:dyDescent="0.15">
      <c r="C1824" s="2" t="s">
        <v>4</v>
      </c>
      <c r="D1824" s="2" t="s">
        <v>772</v>
      </c>
      <c r="E1824" s="3">
        <v>4.5999999999999996</v>
      </c>
      <c r="F1824" s="3">
        <v>2</v>
      </c>
      <c r="G1824" s="4">
        <v>44530</v>
      </c>
    </row>
    <row r="1825" spans="2:18" x14ac:dyDescent="0.15">
      <c r="C1825" s="2" t="s">
        <v>4</v>
      </c>
      <c r="D1825" s="2" t="s">
        <v>808</v>
      </c>
      <c r="E1825" s="3">
        <v>5</v>
      </c>
      <c r="F1825" s="3">
        <f>5/3</f>
        <v>1.6666666666666667</v>
      </c>
      <c r="G1825" s="4">
        <v>45062</v>
      </c>
    </row>
    <row r="1826" spans="2:18" x14ac:dyDescent="0.15">
      <c r="C1826" s="2" t="s">
        <v>5</v>
      </c>
      <c r="D1826" s="2" t="s">
        <v>1018</v>
      </c>
      <c r="E1826" s="3">
        <v>10.6</v>
      </c>
      <c r="F1826" s="3">
        <v>3</v>
      </c>
      <c r="G1826" s="4">
        <v>44819</v>
      </c>
    </row>
    <row r="1827" spans="2:18" x14ac:dyDescent="0.15">
      <c r="C1827" s="100" t="s">
        <v>7</v>
      </c>
      <c r="D1827" s="100" t="s">
        <v>5458</v>
      </c>
      <c r="E1827" s="3">
        <v>13.5</v>
      </c>
      <c r="F1827" s="3">
        <f>8/3</f>
        <v>2.6666666666666665</v>
      </c>
      <c r="G1827" s="4">
        <v>43320</v>
      </c>
      <c r="J1827" s="1">
        <v>2000</v>
      </c>
    </row>
    <row r="1828" spans="2:18" x14ac:dyDescent="0.15">
      <c r="C1828" s="100" t="s">
        <v>5</v>
      </c>
      <c r="D1828" s="100" t="s">
        <v>5458</v>
      </c>
      <c r="E1828" s="3">
        <v>18.100000000000001</v>
      </c>
      <c r="F1828" s="3">
        <v>8.1</v>
      </c>
      <c r="G1828" s="4">
        <v>42719</v>
      </c>
      <c r="J1828" s="1">
        <v>2000</v>
      </c>
    </row>
    <row r="1829" spans="2:18" x14ac:dyDescent="0.15">
      <c r="C1829" s="100" t="s">
        <v>7</v>
      </c>
      <c r="D1829" s="100" t="s">
        <v>6042</v>
      </c>
      <c r="E1829" s="3">
        <v>50</v>
      </c>
      <c r="F1829" s="3">
        <v>7</v>
      </c>
      <c r="G1829" s="4">
        <v>44670</v>
      </c>
      <c r="J1829" s="1">
        <v>250</v>
      </c>
    </row>
    <row r="1830" spans="2:18" x14ac:dyDescent="0.15">
      <c r="C1830" s="100" t="s">
        <v>5</v>
      </c>
      <c r="D1830" s="100" t="s">
        <v>6042</v>
      </c>
      <c r="E1830" s="3">
        <v>12</v>
      </c>
      <c r="F1830" s="3">
        <v>4</v>
      </c>
      <c r="G1830" s="4">
        <v>43941</v>
      </c>
      <c r="J1830" s="1">
        <v>250</v>
      </c>
    </row>
    <row r="1831" spans="2:18" x14ac:dyDescent="0.15">
      <c r="G1831" s="4"/>
    </row>
    <row r="1832" spans="2:18" s="12" customFormat="1" x14ac:dyDescent="0.15">
      <c r="B1832" s="12" t="s">
        <v>69</v>
      </c>
      <c r="C1832" s="13" t="s">
        <v>970</v>
      </c>
      <c r="D1832" s="13" t="s">
        <v>969</v>
      </c>
      <c r="E1832" s="15"/>
      <c r="F1832" s="15">
        <f>SUM(F1833:F1834)</f>
        <v>35</v>
      </c>
      <c r="G1832" s="14">
        <f>G1833</f>
        <v>44550</v>
      </c>
      <c r="M1832" s="13"/>
      <c r="N1832" s="13"/>
      <c r="O1832" s="13"/>
      <c r="P1832" s="13"/>
      <c r="Q1832" s="13"/>
      <c r="R1832" s="13"/>
    </row>
    <row r="1833" spans="2:18" x14ac:dyDescent="0.15">
      <c r="C1833" s="2" t="s">
        <v>7</v>
      </c>
      <c r="D1833" s="2" t="s">
        <v>64</v>
      </c>
      <c r="E1833" s="3">
        <f>1600/7</f>
        <v>228.57142857142858</v>
      </c>
      <c r="F1833" s="3">
        <v>30</v>
      </c>
      <c r="G1833" s="4">
        <v>44550</v>
      </c>
    </row>
    <row r="1834" spans="2:18" x14ac:dyDescent="0.15">
      <c r="D1834" s="2" t="s">
        <v>64</v>
      </c>
      <c r="E1834" s="3">
        <v>50</v>
      </c>
      <c r="F1834" s="3">
        <f>20/4</f>
        <v>5</v>
      </c>
      <c r="G1834" s="4">
        <v>44165</v>
      </c>
    </row>
    <row r="1835" spans="2:18" x14ac:dyDescent="0.15">
      <c r="G1835" s="4"/>
    </row>
    <row r="1836" spans="2:18" s="12" customFormat="1" x14ac:dyDescent="0.15">
      <c r="B1836" s="12" t="s">
        <v>129</v>
      </c>
      <c r="C1836" s="13" t="s">
        <v>970</v>
      </c>
      <c r="D1836" s="13" t="s">
        <v>969</v>
      </c>
      <c r="E1836" s="15"/>
      <c r="F1836" s="15">
        <f>SUM(F1837:F1839)</f>
        <v>34.5</v>
      </c>
      <c r="G1836" s="14">
        <f>G1837</f>
        <v>45008</v>
      </c>
      <c r="M1836" s="13"/>
      <c r="N1836" s="13"/>
      <c r="O1836" s="13"/>
      <c r="P1836" s="13"/>
      <c r="Q1836" s="13"/>
      <c r="R1836" s="13"/>
    </row>
    <row r="1837" spans="2:18" x14ac:dyDescent="0.15">
      <c r="C1837" s="2" t="s">
        <v>7</v>
      </c>
      <c r="D1837" s="2" t="s">
        <v>128</v>
      </c>
      <c r="E1837" s="3">
        <v>23.5</v>
      </c>
      <c r="F1837" s="3">
        <f>14/4</f>
        <v>3.5</v>
      </c>
      <c r="G1837" s="4">
        <v>45008</v>
      </c>
    </row>
    <row r="1838" spans="2:18" x14ac:dyDescent="0.15">
      <c r="C1838" s="2" t="s">
        <v>505</v>
      </c>
      <c r="D1838" s="2" t="s">
        <v>3962</v>
      </c>
      <c r="E1838" s="3">
        <v>56</v>
      </c>
      <c r="F1838" s="3">
        <f>E1838/2</f>
        <v>28</v>
      </c>
      <c r="G1838" s="4">
        <v>41183</v>
      </c>
    </row>
    <row r="1839" spans="2:18" x14ac:dyDescent="0.15">
      <c r="C1839" s="59" t="s">
        <v>7</v>
      </c>
      <c r="D1839" s="59" t="s">
        <v>2122</v>
      </c>
      <c r="E1839" s="3">
        <v>40</v>
      </c>
      <c r="F1839" s="3">
        <v>3</v>
      </c>
      <c r="G1839" s="4">
        <v>43720</v>
      </c>
      <c r="J1839" s="1">
        <v>3400</v>
      </c>
    </row>
    <row r="1840" spans="2:18" x14ac:dyDescent="0.15">
      <c r="G1840" s="4"/>
    </row>
    <row r="1841" spans="2:18" s="12" customFormat="1" x14ac:dyDescent="0.15">
      <c r="B1841" s="12" t="s">
        <v>498</v>
      </c>
      <c r="C1841" s="13" t="s">
        <v>970</v>
      </c>
      <c r="D1841" s="13" t="s">
        <v>969</v>
      </c>
      <c r="E1841" s="15"/>
      <c r="F1841" s="15">
        <f>SUM(F1842:F1843)</f>
        <v>34</v>
      </c>
      <c r="G1841" s="14">
        <f>G1842</f>
        <v>43725</v>
      </c>
    </row>
    <row r="1842" spans="2:18" x14ac:dyDescent="0.15">
      <c r="C1842" s="2" t="s">
        <v>9</v>
      </c>
      <c r="D1842" s="2" t="s">
        <v>490</v>
      </c>
      <c r="E1842" s="3">
        <v>206</v>
      </c>
      <c r="F1842" s="3">
        <v>14</v>
      </c>
      <c r="G1842" s="4">
        <v>43725</v>
      </c>
      <c r="M1842" s="1"/>
      <c r="N1842" s="1"/>
      <c r="O1842" s="1"/>
      <c r="P1842" s="1"/>
      <c r="Q1842" s="1"/>
      <c r="R1842" s="1"/>
    </row>
    <row r="1843" spans="2:18" x14ac:dyDescent="0.15">
      <c r="C1843" s="2" t="s">
        <v>8</v>
      </c>
      <c r="D1843" s="2" t="s">
        <v>490</v>
      </c>
      <c r="E1843" s="3">
        <v>100</v>
      </c>
      <c r="F1843" s="3">
        <v>20</v>
      </c>
      <c r="G1843" s="4">
        <v>43397</v>
      </c>
      <c r="M1843" s="1"/>
      <c r="N1843" s="1"/>
      <c r="O1843" s="1"/>
      <c r="P1843" s="1"/>
      <c r="Q1843" s="1"/>
      <c r="R1843" s="1"/>
    </row>
    <row r="1844" spans="2:18" x14ac:dyDescent="0.15">
      <c r="G1844" s="4"/>
      <c r="M1844" s="1"/>
      <c r="N1844" s="1"/>
      <c r="O1844" s="1"/>
      <c r="P1844" s="1"/>
      <c r="Q1844" s="1"/>
      <c r="R1844" s="1"/>
    </row>
    <row r="1845" spans="2:18" s="12" customFormat="1" x14ac:dyDescent="0.15">
      <c r="B1845" s="12" t="s">
        <v>5049</v>
      </c>
      <c r="C1845" s="13" t="s">
        <v>970</v>
      </c>
      <c r="D1845" s="13" t="s">
        <v>969</v>
      </c>
      <c r="E1845" s="15"/>
      <c r="F1845" s="15">
        <f>SUM(F1846:F1847)</f>
        <v>34</v>
      </c>
      <c r="G1845" s="14">
        <f>G1846</f>
        <v>44474</v>
      </c>
      <c r="M1845" s="13"/>
      <c r="N1845" s="13"/>
      <c r="O1845" s="13"/>
      <c r="P1845" s="13"/>
      <c r="Q1845" s="13"/>
      <c r="R1845" s="13"/>
    </row>
    <row r="1846" spans="2:18" x14ac:dyDescent="0.15">
      <c r="B1846" s="61"/>
      <c r="C1846" s="62" t="s">
        <v>53</v>
      </c>
      <c r="D1846" s="62" t="s">
        <v>5044</v>
      </c>
      <c r="E1846" s="3">
        <v>100</v>
      </c>
      <c r="F1846" s="3">
        <v>14</v>
      </c>
      <c r="G1846" s="4">
        <v>44474</v>
      </c>
    </row>
    <row r="1847" spans="2:18" x14ac:dyDescent="0.15">
      <c r="C1847" s="62" t="s">
        <v>9</v>
      </c>
      <c r="D1847" s="62" t="s">
        <v>5044</v>
      </c>
      <c r="E1847" s="3">
        <v>43</v>
      </c>
      <c r="F1847" s="3">
        <v>20</v>
      </c>
      <c r="G1847" s="4">
        <v>43992</v>
      </c>
    </row>
    <row r="1848" spans="2:18" x14ac:dyDescent="0.15">
      <c r="C1848" s="62"/>
      <c r="D1848" s="62"/>
      <c r="G1848" s="4"/>
    </row>
    <row r="1849" spans="2:18" s="12" customFormat="1" x14ac:dyDescent="0.15">
      <c r="B1849" s="12" t="s">
        <v>322</v>
      </c>
      <c r="C1849" s="13" t="s">
        <v>970</v>
      </c>
      <c r="D1849" s="13" t="s">
        <v>969</v>
      </c>
      <c r="E1849" s="15"/>
      <c r="F1849" s="15">
        <f>SUM(F1850:F1851)</f>
        <v>33.75</v>
      </c>
      <c r="G1849" s="14">
        <f>G1851</f>
        <v>44867</v>
      </c>
    </row>
    <row r="1850" spans="2:18" x14ac:dyDescent="0.15">
      <c r="C1850" s="2" t="s">
        <v>7</v>
      </c>
      <c r="D1850" s="2" t="s">
        <v>318</v>
      </c>
      <c r="E1850" s="3">
        <v>55</v>
      </c>
      <c r="F1850" s="3">
        <v>25</v>
      </c>
      <c r="G1850" s="4">
        <v>44200</v>
      </c>
      <c r="L1850" s="1">
        <f>+F1850*5</f>
        <v>125</v>
      </c>
      <c r="M1850" s="1"/>
      <c r="N1850" s="1"/>
      <c r="O1850" s="1"/>
      <c r="P1850" s="1"/>
      <c r="Q1850" s="1"/>
      <c r="R1850" s="1"/>
    </row>
    <row r="1851" spans="2:18" x14ac:dyDescent="0.15">
      <c r="C1851" s="2" t="s">
        <v>18</v>
      </c>
      <c r="D1851" s="2" t="s">
        <v>318</v>
      </c>
      <c r="E1851" s="3">
        <v>91</v>
      </c>
      <c r="F1851" s="3">
        <f>70/8</f>
        <v>8.75</v>
      </c>
      <c r="G1851" s="4">
        <v>44867</v>
      </c>
      <c r="M1851" s="1"/>
      <c r="N1851" s="1"/>
      <c r="O1851" s="1"/>
      <c r="P1851" s="1"/>
      <c r="Q1851" s="1"/>
      <c r="R1851" s="1"/>
    </row>
    <row r="1852" spans="2:18" x14ac:dyDescent="0.15">
      <c r="C1852" s="59" t="s">
        <v>18</v>
      </c>
      <c r="D1852" s="59" t="s">
        <v>2124</v>
      </c>
      <c r="E1852" s="3">
        <v>300</v>
      </c>
      <c r="F1852" s="3">
        <f>200/14</f>
        <v>14.285714285714286</v>
      </c>
      <c r="G1852" s="4">
        <v>44300</v>
      </c>
      <c r="M1852" s="1"/>
      <c r="N1852" s="1"/>
      <c r="O1852" s="1"/>
      <c r="P1852" s="1"/>
      <c r="Q1852" s="1"/>
      <c r="R1852" s="1"/>
    </row>
    <row r="1853" spans="2:18" x14ac:dyDescent="0.15">
      <c r="G1853" s="4"/>
      <c r="M1853" s="1"/>
      <c r="N1853" s="1"/>
      <c r="O1853" s="1"/>
      <c r="P1853" s="1"/>
      <c r="Q1853" s="1"/>
      <c r="R1853" s="1"/>
    </row>
    <row r="1854" spans="2:18" s="12" customFormat="1" x14ac:dyDescent="0.15">
      <c r="B1854" s="12" t="s">
        <v>956</v>
      </c>
      <c r="C1854" s="13" t="s">
        <v>970</v>
      </c>
      <c r="D1854" s="13" t="s">
        <v>969</v>
      </c>
      <c r="E1854" s="15"/>
      <c r="F1854" s="15">
        <f>SUM(F1855:F1856)</f>
        <v>33.523809523809526</v>
      </c>
      <c r="G1854" s="14">
        <f>G1855</f>
        <v>45048</v>
      </c>
      <c r="M1854" s="13"/>
      <c r="N1854" s="13"/>
      <c r="O1854" s="13"/>
      <c r="P1854" s="13"/>
      <c r="Q1854" s="13"/>
      <c r="R1854" s="13"/>
    </row>
    <row r="1855" spans="2:18" x14ac:dyDescent="0.15">
      <c r="C1855" s="2" t="s">
        <v>18</v>
      </c>
      <c r="D1855" s="2" t="s">
        <v>953</v>
      </c>
      <c r="E1855" s="3">
        <v>270</v>
      </c>
      <c r="F1855" s="3">
        <v>24</v>
      </c>
      <c r="G1855" s="4">
        <v>45048</v>
      </c>
    </row>
    <row r="1856" spans="2:18" x14ac:dyDescent="0.15">
      <c r="C1856" s="2" t="s">
        <v>9</v>
      </c>
      <c r="D1856" s="2" t="s">
        <v>22</v>
      </c>
      <c r="E1856" s="3">
        <v>222</v>
      </c>
      <c r="F1856" s="3">
        <f>200/21</f>
        <v>9.5238095238095237</v>
      </c>
      <c r="G1856" s="4">
        <v>44194</v>
      </c>
      <c r="I1856" s="1">
        <v>2500</v>
      </c>
      <c r="J1856" s="1">
        <v>2500</v>
      </c>
    </row>
    <row r="1857" spans="2:18" x14ac:dyDescent="0.15">
      <c r="G1857" s="4"/>
    </row>
    <row r="1858" spans="2:18" s="12" customFormat="1" x14ac:dyDescent="0.15">
      <c r="B1858" s="12" t="s">
        <v>56</v>
      </c>
      <c r="C1858" s="13" t="s">
        <v>970</v>
      </c>
      <c r="D1858" s="13" t="s">
        <v>969</v>
      </c>
      <c r="E1858" s="15"/>
      <c r="F1858" s="15">
        <f>SUM(F1859:F1862)</f>
        <v>33.75</v>
      </c>
      <c r="G1858" s="14">
        <f>G1859</f>
        <v>44055</v>
      </c>
      <c r="M1858" s="13"/>
      <c r="N1858" s="13"/>
      <c r="O1858" s="13"/>
      <c r="P1858" s="13"/>
      <c r="Q1858" s="13"/>
      <c r="R1858" s="13"/>
    </row>
    <row r="1859" spans="2:18" x14ac:dyDescent="0.15">
      <c r="C1859" s="2" t="s">
        <v>8</v>
      </c>
      <c r="D1859" s="2" t="s">
        <v>55</v>
      </c>
      <c r="E1859" s="3">
        <v>200</v>
      </c>
      <c r="F1859" s="3">
        <v>18.75</v>
      </c>
      <c r="G1859" s="4">
        <v>44055</v>
      </c>
      <c r="I1859" s="1">
        <v>2000</v>
      </c>
      <c r="J1859" s="1">
        <v>7000</v>
      </c>
    </row>
    <row r="1860" spans="2:18" x14ac:dyDescent="0.15">
      <c r="C1860" s="2" t="s">
        <v>18</v>
      </c>
      <c r="D1860" s="2" t="s">
        <v>55</v>
      </c>
      <c r="E1860" s="3">
        <v>65</v>
      </c>
      <c r="F1860" s="3">
        <v>8</v>
      </c>
      <c r="G1860" s="4">
        <v>43802</v>
      </c>
      <c r="I1860" s="1">
        <v>685</v>
      </c>
      <c r="J1860" s="1">
        <v>7000</v>
      </c>
    </row>
    <row r="1861" spans="2:18" x14ac:dyDescent="0.15">
      <c r="C1861" s="2" t="s">
        <v>7</v>
      </c>
      <c r="D1861" s="2" t="s">
        <v>55</v>
      </c>
      <c r="E1861" s="3">
        <v>20</v>
      </c>
      <c r="F1861" s="3">
        <v>5</v>
      </c>
      <c r="G1861" s="4">
        <v>42898</v>
      </c>
      <c r="J1861" s="1">
        <v>7000</v>
      </c>
    </row>
    <row r="1862" spans="2:18" x14ac:dyDescent="0.15">
      <c r="C1862" s="261" t="s">
        <v>4</v>
      </c>
      <c r="D1862" s="261" t="s">
        <v>2019</v>
      </c>
      <c r="E1862" s="3">
        <v>12</v>
      </c>
      <c r="F1862" s="3">
        <v>2</v>
      </c>
      <c r="G1862" s="4">
        <v>43872</v>
      </c>
    </row>
    <row r="1863" spans="2:18" x14ac:dyDescent="0.15">
      <c r="G1863" s="4"/>
    </row>
    <row r="1864" spans="2:18" s="12" customFormat="1" x14ac:dyDescent="0.15">
      <c r="B1864" s="12" t="s">
        <v>932</v>
      </c>
      <c r="C1864" s="13" t="s">
        <v>970</v>
      </c>
      <c r="D1864" s="13" t="s">
        <v>969</v>
      </c>
      <c r="E1864" s="15"/>
      <c r="F1864" s="15">
        <f>SUM(F1865:F1867)</f>
        <v>34</v>
      </c>
      <c r="G1864" s="14">
        <f>G1865</f>
        <v>44392</v>
      </c>
      <c r="M1864" s="13"/>
      <c r="N1864" s="13"/>
      <c r="O1864" s="13"/>
      <c r="P1864" s="13"/>
      <c r="Q1864" s="13"/>
      <c r="R1864" s="13"/>
    </row>
    <row r="1865" spans="2:18" x14ac:dyDescent="0.15">
      <c r="C1865" s="2" t="s">
        <v>5</v>
      </c>
      <c r="D1865" s="2" t="s">
        <v>696</v>
      </c>
      <c r="E1865" s="3">
        <v>20</v>
      </c>
      <c r="F1865" s="3">
        <v>10</v>
      </c>
      <c r="G1865" s="4">
        <v>44392</v>
      </c>
    </row>
    <row r="1866" spans="2:18" x14ac:dyDescent="0.15">
      <c r="C1866" s="2" t="s">
        <v>8</v>
      </c>
      <c r="D1866" s="2" t="s">
        <v>176</v>
      </c>
      <c r="E1866" s="3">
        <v>130</v>
      </c>
      <c r="F1866" s="3">
        <v>12</v>
      </c>
      <c r="G1866" s="4">
        <v>42080</v>
      </c>
    </row>
    <row r="1867" spans="2:18" x14ac:dyDescent="0.15">
      <c r="C1867" s="2" t="s">
        <v>18</v>
      </c>
      <c r="D1867" s="2" t="s">
        <v>102</v>
      </c>
      <c r="E1867" s="3">
        <v>24</v>
      </c>
      <c r="F1867" s="3">
        <v>12</v>
      </c>
      <c r="G1867" s="4">
        <v>41921</v>
      </c>
    </row>
    <row r="1868" spans="2:18" x14ac:dyDescent="0.15">
      <c r="G1868" s="4"/>
    </row>
    <row r="1869" spans="2:18" x14ac:dyDescent="0.15">
      <c r="B1869" s="12" t="s">
        <v>1021</v>
      </c>
      <c r="C1869" s="13" t="s">
        <v>970</v>
      </c>
      <c r="D1869" s="13" t="s">
        <v>969</v>
      </c>
      <c r="F1869" s="15">
        <f>SUM(F1870:F1874)</f>
        <v>33.142857142857139</v>
      </c>
      <c r="G1869" s="14">
        <f>G1871</f>
        <v>44650</v>
      </c>
    </row>
    <row r="1870" spans="2:18" x14ac:dyDescent="0.15">
      <c r="C1870" s="2" t="s">
        <v>7</v>
      </c>
      <c r="D1870" s="2" t="s">
        <v>865</v>
      </c>
      <c r="E1870" s="3">
        <v>50</v>
      </c>
      <c r="F1870" s="3">
        <f>E1870/7</f>
        <v>7.1428571428571432</v>
      </c>
      <c r="G1870" s="4">
        <v>44628</v>
      </c>
    </row>
    <row r="1871" spans="2:18" x14ac:dyDescent="0.15">
      <c r="C1871" s="2" t="s">
        <v>7</v>
      </c>
      <c r="D1871" s="2" t="s">
        <v>892</v>
      </c>
      <c r="E1871" s="3">
        <v>40</v>
      </c>
      <c r="F1871" s="3">
        <v>5</v>
      </c>
      <c r="G1871" s="4">
        <v>44650</v>
      </c>
    </row>
    <row r="1872" spans="2:18" x14ac:dyDescent="0.15">
      <c r="C1872" s="2" t="s">
        <v>5</v>
      </c>
      <c r="D1872" s="2" t="s">
        <v>892</v>
      </c>
      <c r="E1872" s="3">
        <v>14</v>
      </c>
      <c r="F1872" s="3">
        <v>5</v>
      </c>
      <c r="G1872" s="4">
        <v>44131</v>
      </c>
    </row>
    <row r="1873" spans="2:18" x14ac:dyDescent="0.15">
      <c r="C1873" s="2" t="s">
        <v>7</v>
      </c>
      <c r="D1873" s="2" t="s">
        <v>286</v>
      </c>
      <c r="E1873" s="3">
        <v>35</v>
      </c>
      <c r="F1873" s="3">
        <v>10</v>
      </c>
      <c r="G1873" s="4">
        <v>44309</v>
      </c>
    </row>
    <row r="1874" spans="2:18" x14ac:dyDescent="0.15">
      <c r="C1874" s="2" t="s">
        <v>7</v>
      </c>
      <c r="D1874" s="2" t="s">
        <v>197</v>
      </c>
      <c r="E1874" s="3">
        <v>46</v>
      </c>
      <c r="F1874" s="3">
        <v>6</v>
      </c>
      <c r="G1874" s="4">
        <v>42941</v>
      </c>
    </row>
    <row r="1876" spans="2:18" s="12" customFormat="1" x14ac:dyDescent="0.15">
      <c r="B1876" s="12" t="s">
        <v>1051</v>
      </c>
      <c r="C1876" s="13" t="s">
        <v>970</v>
      </c>
      <c r="D1876" s="13" t="s">
        <v>969</v>
      </c>
      <c r="E1876" s="15"/>
      <c r="F1876" s="15">
        <f>SUM(F1877:F1885)</f>
        <v>31.774999999999999</v>
      </c>
      <c r="G1876" s="14">
        <f>+G1883</f>
        <v>45008</v>
      </c>
      <c r="M1876" s="13"/>
      <c r="N1876" s="13"/>
      <c r="O1876" s="13"/>
      <c r="P1876" s="13"/>
      <c r="Q1876" s="13"/>
      <c r="R1876" s="13"/>
    </row>
    <row r="1877" spans="2:18" x14ac:dyDescent="0.15">
      <c r="C1877" s="2" t="s">
        <v>5</v>
      </c>
      <c r="D1877" s="2" t="s">
        <v>774</v>
      </c>
      <c r="E1877" s="3">
        <v>12.8</v>
      </c>
      <c r="F1877" s="3">
        <v>3</v>
      </c>
      <c r="G1877" s="4">
        <v>44698</v>
      </c>
    </row>
    <row r="1878" spans="2:18" x14ac:dyDescent="0.15">
      <c r="C1878" s="2" t="s">
        <v>4</v>
      </c>
      <c r="D1878" s="2" t="s">
        <v>774</v>
      </c>
      <c r="E1878" s="3">
        <v>5.5</v>
      </c>
      <c r="F1878" s="3">
        <v>1</v>
      </c>
      <c r="G1878" s="4">
        <v>44488</v>
      </c>
    </row>
    <row r="1879" spans="2:18" x14ac:dyDescent="0.15">
      <c r="C1879" s="2" t="s">
        <v>4</v>
      </c>
      <c r="D1879" s="2" t="s">
        <v>650</v>
      </c>
      <c r="E1879" s="3">
        <v>8</v>
      </c>
      <c r="F1879" s="3">
        <v>1</v>
      </c>
      <c r="G1879" s="4">
        <v>44677</v>
      </c>
    </row>
    <row r="1880" spans="2:18" x14ac:dyDescent="0.15">
      <c r="C1880" s="2" t="s">
        <v>7</v>
      </c>
      <c r="D1880" s="2" t="s">
        <v>476</v>
      </c>
      <c r="E1880" s="3">
        <v>90</v>
      </c>
      <c r="F1880" s="3">
        <v>6</v>
      </c>
      <c r="G1880" s="4">
        <v>44398</v>
      </c>
    </row>
    <row r="1881" spans="2:18" x14ac:dyDescent="0.15">
      <c r="C1881" s="2" t="s">
        <v>5</v>
      </c>
      <c r="D1881" s="2" t="s">
        <v>476</v>
      </c>
      <c r="E1881" s="3">
        <v>22.8</v>
      </c>
      <c r="F1881" s="3">
        <v>6.4</v>
      </c>
      <c r="G1881" s="4">
        <v>43160</v>
      </c>
    </row>
    <row r="1882" spans="2:18" x14ac:dyDescent="0.15">
      <c r="C1882" s="2" t="s">
        <v>5</v>
      </c>
      <c r="D1882" s="2" t="s">
        <v>313</v>
      </c>
      <c r="E1882" s="3">
        <v>57</v>
      </c>
      <c r="F1882" s="3">
        <v>6</v>
      </c>
      <c r="G1882" s="4">
        <v>44508</v>
      </c>
    </row>
    <row r="1883" spans="2:18" x14ac:dyDescent="0.15">
      <c r="C1883" s="2" t="s">
        <v>7</v>
      </c>
      <c r="D1883" s="2" t="s">
        <v>128</v>
      </c>
      <c r="E1883" s="3">
        <v>23.5</v>
      </c>
      <c r="F1883" s="3">
        <f>13.5/4</f>
        <v>3.375</v>
      </c>
      <c r="G1883" s="4">
        <v>45008</v>
      </c>
    </row>
    <row r="1884" spans="2:18" x14ac:dyDescent="0.15">
      <c r="C1884" s="2" t="s">
        <v>4</v>
      </c>
      <c r="D1884" s="2" t="s">
        <v>128</v>
      </c>
      <c r="E1884" s="3">
        <v>5</v>
      </c>
      <c r="F1884" s="3">
        <v>2</v>
      </c>
      <c r="G1884" s="4">
        <v>44176</v>
      </c>
    </row>
    <row r="1885" spans="2:18" x14ac:dyDescent="0.15">
      <c r="C1885" s="2" t="s">
        <v>5</v>
      </c>
      <c r="D1885" s="2" t="s">
        <v>2022</v>
      </c>
      <c r="E1885" s="3">
        <v>10</v>
      </c>
      <c r="F1885" s="3">
        <v>3</v>
      </c>
      <c r="G1885" s="4">
        <v>44504</v>
      </c>
    </row>
    <row r="1886" spans="2:18" x14ac:dyDescent="0.15">
      <c r="G1886" s="4"/>
    </row>
    <row r="1887" spans="2:18" s="12" customFormat="1" x14ac:dyDescent="0.15">
      <c r="B1887" s="12" t="s">
        <v>5038</v>
      </c>
      <c r="C1887" s="13" t="s">
        <v>970</v>
      </c>
      <c r="D1887" s="13" t="s">
        <v>969</v>
      </c>
      <c r="E1887" s="15"/>
      <c r="F1887" s="15">
        <f>SUM(F1888:F1890)</f>
        <v>31.964285714285715</v>
      </c>
      <c r="G1887" s="14">
        <f>G1888</f>
        <v>44507</v>
      </c>
      <c r="M1887" s="13"/>
      <c r="N1887" s="13"/>
      <c r="O1887" s="13"/>
      <c r="P1887" s="13"/>
      <c r="Q1887" s="13"/>
      <c r="R1887" s="13"/>
    </row>
    <row r="1888" spans="2:18" s="61" customFormat="1" x14ac:dyDescent="0.15">
      <c r="B1888" s="274" t="s">
        <v>7703</v>
      </c>
      <c r="C1888" s="62" t="s">
        <v>9</v>
      </c>
      <c r="D1888" s="62" t="s">
        <v>2117</v>
      </c>
      <c r="E1888" s="64">
        <v>100</v>
      </c>
      <c r="F1888" s="64">
        <v>10.714285714285714</v>
      </c>
      <c r="G1888" s="63">
        <v>44507</v>
      </c>
      <c r="I1888" s="61">
        <v>1600</v>
      </c>
      <c r="J1888" s="61">
        <v>1600</v>
      </c>
      <c r="M1888" s="62"/>
      <c r="N1888" s="62"/>
      <c r="O1888" s="62"/>
      <c r="P1888" s="62"/>
      <c r="Q1888" s="62"/>
      <c r="R1888" s="62"/>
    </row>
    <row r="1889" spans="2:18" x14ac:dyDescent="0.15">
      <c r="C1889" s="62" t="s">
        <v>8</v>
      </c>
      <c r="D1889" s="62" t="s">
        <v>2117</v>
      </c>
      <c r="E1889" s="3">
        <v>72.5</v>
      </c>
      <c r="F1889" s="3">
        <f>22.5/2</f>
        <v>11.25</v>
      </c>
      <c r="G1889" s="4">
        <v>43697</v>
      </c>
      <c r="J1889" s="1">
        <v>1600</v>
      </c>
    </row>
    <row r="1890" spans="2:18" x14ac:dyDescent="0.15">
      <c r="C1890" s="62" t="s">
        <v>18</v>
      </c>
      <c r="D1890" s="62" t="s">
        <v>2117</v>
      </c>
      <c r="E1890" s="3">
        <v>40</v>
      </c>
      <c r="F1890" s="3">
        <v>10</v>
      </c>
      <c r="G1890" s="4">
        <v>43069</v>
      </c>
      <c r="J1890" s="1">
        <v>1600</v>
      </c>
    </row>
    <row r="1891" spans="2:18" x14ac:dyDescent="0.15">
      <c r="C1891" s="62"/>
      <c r="D1891" s="62"/>
      <c r="G1891" s="4"/>
    </row>
    <row r="1892" spans="2:18" s="12" customFormat="1" x14ac:dyDescent="0.15">
      <c r="B1892" s="12" t="s">
        <v>1011</v>
      </c>
      <c r="C1892" s="13" t="s">
        <v>970</v>
      </c>
      <c r="D1892" s="13" t="s">
        <v>969</v>
      </c>
      <c r="E1892" s="15"/>
      <c r="F1892" s="15">
        <f>SUM(F1893:F1902)</f>
        <v>32.299999999999997</v>
      </c>
      <c r="G1892" s="14">
        <f>G1894</f>
        <v>44705</v>
      </c>
      <c r="M1892" s="13"/>
      <c r="N1892" s="13"/>
      <c r="O1892" s="13"/>
      <c r="P1892" s="13"/>
      <c r="Q1892" s="13"/>
      <c r="R1892" s="13"/>
    </row>
    <row r="1893" spans="2:18" x14ac:dyDescent="0.15">
      <c r="C1893" s="2" t="s">
        <v>5</v>
      </c>
      <c r="D1893" s="2" t="s">
        <v>872</v>
      </c>
      <c r="E1893" s="3">
        <v>21.4</v>
      </c>
      <c r="F1893" s="3">
        <f>11.4/3</f>
        <v>3.8000000000000003</v>
      </c>
      <c r="G1893" s="4">
        <v>44232</v>
      </c>
    </row>
    <row r="1894" spans="2:18" x14ac:dyDescent="0.15">
      <c r="C1894" s="2" t="s">
        <v>5</v>
      </c>
      <c r="D1894" s="2" t="s">
        <v>670</v>
      </c>
      <c r="E1894" s="3">
        <v>14</v>
      </c>
      <c r="F1894" s="3">
        <v>3</v>
      </c>
      <c r="G1894" s="4">
        <v>44705</v>
      </c>
    </row>
    <row r="1895" spans="2:18" x14ac:dyDescent="0.15">
      <c r="C1895" s="2" t="s">
        <v>4</v>
      </c>
      <c r="D1895" s="2" t="s">
        <v>670</v>
      </c>
      <c r="E1895" s="3">
        <v>5</v>
      </c>
      <c r="F1895" s="3">
        <v>2</v>
      </c>
      <c r="G1895" s="4">
        <v>44578</v>
      </c>
    </row>
    <row r="1896" spans="2:18" x14ac:dyDescent="0.15">
      <c r="C1896" s="2" t="s">
        <v>5</v>
      </c>
      <c r="D1896" s="2" t="s">
        <v>110</v>
      </c>
      <c r="E1896" s="3">
        <v>25</v>
      </c>
      <c r="F1896" s="3">
        <v>3</v>
      </c>
      <c r="G1896" s="4">
        <v>44510</v>
      </c>
    </row>
    <row r="1897" spans="2:18" x14ac:dyDescent="0.15">
      <c r="C1897" s="2" t="s">
        <v>4</v>
      </c>
      <c r="D1897" s="2" t="s">
        <v>110</v>
      </c>
      <c r="E1897" s="3">
        <v>8</v>
      </c>
      <c r="F1897" s="3">
        <v>1.5</v>
      </c>
      <c r="G1897" s="4">
        <v>44063</v>
      </c>
    </row>
    <row r="1898" spans="2:18" x14ac:dyDescent="0.15">
      <c r="C1898" s="62" t="s">
        <v>18</v>
      </c>
      <c r="D1898" s="62" t="s">
        <v>2114</v>
      </c>
      <c r="E1898" s="3">
        <v>40</v>
      </c>
      <c r="F1898" s="3">
        <v>5</v>
      </c>
      <c r="G1898" s="4">
        <v>44238</v>
      </c>
      <c r="J1898" s="1">
        <v>790</v>
      </c>
    </row>
    <row r="1899" spans="2:18" x14ac:dyDescent="0.15">
      <c r="C1899" s="62" t="s">
        <v>7</v>
      </c>
      <c r="D1899" s="62" t="s">
        <v>2114</v>
      </c>
      <c r="E1899" s="3">
        <v>25</v>
      </c>
      <c r="F1899" s="3">
        <v>5</v>
      </c>
      <c r="G1899" s="4">
        <v>43865</v>
      </c>
      <c r="J1899" s="1">
        <v>790</v>
      </c>
    </row>
    <row r="1900" spans="2:18" x14ac:dyDescent="0.15">
      <c r="C1900" s="62" t="s">
        <v>5</v>
      </c>
      <c r="D1900" s="62" t="s">
        <v>2114</v>
      </c>
      <c r="E1900" s="3">
        <v>10</v>
      </c>
      <c r="F1900" s="3">
        <v>5</v>
      </c>
      <c r="G1900" s="4">
        <v>43564</v>
      </c>
      <c r="J1900" s="1">
        <v>790</v>
      </c>
    </row>
    <row r="1901" spans="2:18" x14ac:dyDescent="0.15">
      <c r="C1901" s="62" t="s">
        <v>4</v>
      </c>
      <c r="D1901" s="62" t="s">
        <v>2114</v>
      </c>
      <c r="E1901" s="3">
        <v>3.9</v>
      </c>
      <c r="F1901" s="3">
        <v>1</v>
      </c>
      <c r="G1901" s="4">
        <v>43311</v>
      </c>
      <c r="J1901" s="1">
        <v>790</v>
      </c>
    </row>
    <row r="1902" spans="2:18" x14ac:dyDescent="0.15">
      <c r="C1902" s="193" t="s">
        <v>5</v>
      </c>
      <c r="D1902" s="193" t="s">
        <v>6743</v>
      </c>
      <c r="E1902" s="3">
        <v>21</v>
      </c>
      <c r="F1902" s="3">
        <v>3</v>
      </c>
      <c r="G1902" s="4">
        <v>44515</v>
      </c>
    </row>
    <row r="1903" spans="2:18" x14ac:dyDescent="0.15">
      <c r="G1903" s="4"/>
    </row>
    <row r="1904" spans="2:18" s="12" customFormat="1" x14ac:dyDescent="0.15">
      <c r="B1904" s="12" t="s">
        <v>5039</v>
      </c>
      <c r="C1904" s="13" t="s">
        <v>970</v>
      </c>
      <c r="D1904" s="13" t="s">
        <v>969</v>
      </c>
      <c r="E1904" s="15"/>
      <c r="F1904" s="15">
        <f>SUM(F1905:F1906)</f>
        <v>32.222222222222221</v>
      </c>
      <c r="G1904" s="14">
        <f>G1905</f>
        <v>44999</v>
      </c>
      <c r="M1904" s="13"/>
      <c r="N1904" s="13"/>
      <c r="O1904" s="13"/>
      <c r="P1904" s="13"/>
      <c r="Q1904" s="13"/>
      <c r="R1904" s="13"/>
    </row>
    <row r="1905" spans="2:18" x14ac:dyDescent="0.15">
      <c r="C1905" s="2" t="s">
        <v>7</v>
      </c>
      <c r="D1905" s="2" t="s">
        <v>950</v>
      </c>
      <c r="E1905" s="3">
        <v>350</v>
      </c>
      <c r="F1905" s="3">
        <v>20</v>
      </c>
      <c r="G1905" s="4">
        <v>44999</v>
      </c>
    </row>
    <row r="1906" spans="2:18" x14ac:dyDescent="0.15">
      <c r="C1906" s="2" t="s">
        <v>18</v>
      </c>
      <c r="D1906" s="2" t="s">
        <v>2134</v>
      </c>
      <c r="E1906" s="3">
        <v>200</v>
      </c>
      <c r="F1906" s="3">
        <f>110/9</f>
        <v>12.222222222222221</v>
      </c>
      <c r="G1906" s="4">
        <v>44557</v>
      </c>
      <c r="I1906" s="1">
        <v>1300</v>
      </c>
      <c r="J1906" s="1">
        <v>1300</v>
      </c>
    </row>
    <row r="1907" spans="2:18" x14ac:dyDescent="0.15">
      <c r="G1907" s="4"/>
    </row>
    <row r="1908" spans="2:18" s="12" customFormat="1" x14ac:dyDescent="0.15">
      <c r="B1908" s="12" t="s">
        <v>6479</v>
      </c>
      <c r="C1908" s="13" t="s">
        <v>970</v>
      </c>
      <c r="D1908" s="13" t="s">
        <v>969</v>
      </c>
      <c r="E1908" s="15"/>
      <c r="F1908" s="15">
        <f>SUM(F1909:F1911)</f>
        <v>31.166666666666664</v>
      </c>
      <c r="G1908" s="14">
        <f>G1909</f>
        <v>43682</v>
      </c>
      <c r="M1908" s="13"/>
      <c r="N1908" s="13"/>
      <c r="O1908" s="13"/>
      <c r="P1908" s="13"/>
      <c r="Q1908" s="13"/>
      <c r="R1908" s="13"/>
    </row>
    <row r="1909" spans="2:18" x14ac:dyDescent="0.15">
      <c r="C1909" s="2" t="s">
        <v>18</v>
      </c>
      <c r="D1909" s="2" t="s">
        <v>804</v>
      </c>
      <c r="E1909" s="3">
        <v>100</v>
      </c>
      <c r="F1909" s="3">
        <v>13</v>
      </c>
      <c r="G1909" s="4">
        <v>43682</v>
      </c>
    </row>
    <row r="1910" spans="2:18" x14ac:dyDescent="0.15">
      <c r="C1910" s="2" t="s">
        <v>8</v>
      </c>
      <c r="D1910" s="2" t="s">
        <v>47</v>
      </c>
      <c r="E1910" s="3">
        <v>145</v>
      </c>
      <c r="F1910" s="3">
        <f>85/6</f>
        <v>14.166666666666666</v>
      </c>
      <c r="G1910" s="4">
        <v>43228</v>
      </c>
      <c r="I1910" s="1">
        <v>855</v>
      </c>
      <c r="J1910" s="1">
        <v>4100</v>
      </c>
    </row>
    <row r="1911" spans="2:18" x14ac:dyDescent="0.15">
      <c r="C1911" s="169" t="s">
        <v>7</v>
      </c>
      <c r="D1911" s="169" t="s">
        <v>2041</v>
      </c>
      <c r="E1911" s="3">
        <v>25</v>
      </c>
      <c r="F1911" s="3">
        <v>4</v>
      </c>
      <c r="G1911" s="4">
        <v>43528</v>
      </c>
    </row>
    <row r="1912" spans="2:18" x14ac:dyDescent="0.15">
      <c r="G1912" s="4"/>
    </row>
    <row r="1913" spans="2:18" s="12" customFormat="1" x14ac:dyDescent="0.15">
      <c r="B1913" s="12" t="s">
        <v>23</v>
      </c>
      <c r="C1913" s="13" t="s">
        <v>970</v>
      </c>
      <c r="D1913" s="13" t="s">
        <v>969</v>
      </c>
      <c r="E1913" s="15"/>
      <c r="F1913" s="15">
        <f>SUM(F1914:F1917)</f>
        <v>30.523809523809526</v>
      </c>
      <c r="G1913" s="14">
        <f>G1914</f>
        <v>44194</v>
      </c>
      <c r="M1913" s="13"/>
      <c r="N1913" s="13"/>
      <c r="O1913" s="13"/>
      <c r="P1913" s="13"/>
      <c r="Q1913" s="13"/>
      <c r="R1913" s="13"/>
    </row>
    <row r="1914" spans="2:18" x14ac:dyDescent="0.15">
      <c r="C1914" s="2" t="s">
        <v>9</v>
      </c>
      <c r="D1914" s="2" t="s">
        <v>22</v>
      </c>
      <c r="E1914" s="3">
        <v>222</v>
      </c>
      <c r="F1914" s="3">
        <f>200/21</f>
        <v>9.5238095238095237</v>
      </c>
      <c r="G1914" s="4">
        <v>44194</v>
      </c>
      <c r="I1914" s="1">
        <v>2500</v>
      </c>
      <c r="J1914" s="1">
        <v>2500</v>
      </c>
    </row>
    <row r="1915" spans="2:18" x14ac:dyDescent="0.15">
      <c r="C1915" s="2" t="s">
        <v>8</v>
      </c>
      <c r="D1915" s="2" t="s">
        <v>22</v>
      </c>
      <c r="E1915" s="3">
        <v>200</v>
      </c>
      <c r="F1915" s="3">
        <v>13</v>
      </c>
      <c r="G1915" s="4">
        <v>43452</v>
      </c>
      <c r="I1915" s="1">
        <v>1500</v>
      </c>
      <c r="J1915" s="1">
        <v>2500</v>
      </c>
    </row>
    <row r="1916" spans="2:18" x14ac:dyDescent="0.15">
      <c r="C1916" s="2" t="s">
        <v>18</v>
      </c>
      <c r="D1916" s="2" t="s">
        <v>22</v>
      </c>
      <c r="E1916" s="3">
        <v>50</v>
      </c>
      <c r="F1916" s="3">
        <v>5</v>
      </c>
      <c r="G1916" s="4">
        <v>43051</v>
      </c>
      <c r="J1916" s="1">
        <v>2500</v>
      </c>
    </row>
    <row r="1917" spans="2:18" x14ac:dyDescent="0.15">
      <c r="C1917" s="2" t="s">
        <v>7</v>
      </c>
      <c r="D1917" s="2" t="s">
        <v>22</v>
      </c>
      <c r="E1917" s="3">
        <v>30</v>
      </c>
      <c r="F1917" s="3">
        <v>3</v>
      </c>
      <c r="G1917" s="4">
        <v>42936</v>
      </c>
      <c r="J1917" s="1">
        <v>2500</v>
      </c>
    </row>
    <row r="1918" spans="2:18" x14ac:dyDescent="0.15">
      <c r="G1918" s="4"/>
    </row>
    <row r="1919" spans="2:18" s="12" customFormat="1" x14ac:dyDescent="0.15">
      <c r="B1919" s="12" t="s">
        <v>5040</v>
      </c>
      <c r="C1919" s="13" t="s">
        <v>970</v>
      </c>
      <c r="D1919" s="13" t="s">
        <v>969</v>
      </c>
      <c r="E1919" s="15"/>
      <c r="F1919" s="15">
        <f>SUM(F1920:F1927)</f>
        <v>30.549999999999997</v>
      </c>
      <c r="G1919" s="14">
        <f>G1920</f>
        <v>44952</v>
      </c>
    </row>
    <row r="1920" spans="2:18" x14ac:dyDescent="0.15">
      <c r="C1920" s="2" t="s">
        <v>5</v>
      </c>
      <c r="D1920" s="2" t="s">
        <v>667</v>
      </c>
      <c r="E1920" s="3">
        <v>12.7</v>
      </c>
      <c r="F1920" s="3">
        <f>8/5</f>
        <v>1.6</v>
      </c>
      <c r="G1920" s="4">
        <v>44952</v>
      </c>
      <c r="M1920" s="1"/>
      <c r="N1920" s="1"/>
      <c r="O1920" s="1"/>
      <c r="P1920" s="1"/>
      <c r="Q1920" s="1"/>
      <c r="R1920" s="1"/>
    </row>
    <row r="1921" spans="2:18" x14ac:dyDescent="0.15">
      <c r="C1921" s="2" t="s">
        <v>18</v>
      </c>
      <c r="D1921" s="2" t="s">
        <v>607</v>
      </c>
      <c r="E1921" s="3">
        <v>48</v>
      </c>
      <c r="F1921" s="3">
        <v>4</v>
      </c>
      <c r="G1921" s="4">
        <v>43888</v>
      </c>
      <c r="M1921" s="1"/>
      <c r="N1921" s="1"/>
      <c r="O1921" s="1"/>
      <c r="P1921" s="1"/>
      <c r="Q1921" s="1"/>
      <c r="R1921" s="1"/>
    </row>
    <row r="1922" spans="2:18" x14ac:dyDescent="0.15">
      <c r="C1922" s="2" t="s">
        <v>7</v>
      </c>
      <c r="D1922" s="2" t="s">
        <v>607</v>
      </c>
      <c r="E1922" s="3">
        <v>25</v>
      </c>
      <c r="F1922" s="3">
        <v>5</v>
      </c>
      <c r="G1922" s="4">
        <v>43440</v>
      </c>
      <c r="M1922" s="1"/>
      <c r="N1922" s="1"/>
      <c r="O1922" s="1"/>
      <c r="P1922" s="1"/>
      <c r="Q1922" s="1"/>
      <c r="R1922" s="1"/>
    </row>
    <row r="1923" spans="2:18" x14ac:dyDescent="0.15">
      <c r="C1923" s="2" t="s">
        <v>5</v>
      </c>
      <c r="D1923" s="2" t="s">
        <v>607</v>
      </c>
      <c r="E1923" s="3">
        <v>5.8</v>
      </c>
      <c r="F1923" s="3">
        <f>E1923/4</f>
        <v>1.45</v>
      </c>
      <c r="G1923" s="4">
        <v>43117</v>
      </c>
      <c r="M1923" s="1"/>
      <c r="N1923" s="1"/>
      <c r="O1923" s="1"/>
      <c r="P1923" s="1"/>
      <c r="Q1923" s="1"/>
      <c r="R1923" s="1"/>
    </row>
    <row r="1924" spans="2:18" x14ac:dyDescent="0.15">
      <c r="C1924" s="2" t="s">
        <v>4</v>
      </c>
      <c r="D1924" s="2" t="s">
        <v>607</v>
      </c>
      <c r="E1924" s="3">
        <v>3.3</v>
      </c>
      <c r="F1924" s="3">
        <v>0.5</v>
      </c>
      <c r="G1924" s="4">
        <v>42678</v>
      </c>
      <c r="M1924" s="1"/>
      <c r="N1924" s="1"/>
      <c r="O1924" s="1"/>
      <c r="P1924" s="1"/>
      <c r="Q1924" s="1"/>
      <c r="R1924" s="1"/>
    </row>
    <row r="1925" spans="2:18" x14ac:dyDescent="0.15">
      <c r="C1925" s="2" t="s">
        <v>5</v>
      </c>
      <c r="D1925" s="2" t="s">
        <v>289</v>
      </c>
      <c r="E1925" s="3">
        <v>30</v>
      </c>
      <c r="F1925" s="3">
        <f>20/5</f>
        <v>4</v>
      </c>
      <c r="G1925" s="4">
        <v>44474</v>
      </c>
      <c r="M1925" s="1"/>
      <c r="N1925" s="1"/>
      <c r="O1925" s="1"/>
      <c r="P1925" s="1"/>
      <c r="Q1925" s="1"/>
      <c r="R1925" s="1"/>
    </row>
    <row r="1926" spans="2:18" x14ac:dyDescent="0.15">
      <c r="C1926" s="2" t="s">
        <v>4</v>
      </c>
      <c r="D1926" s="2" t="s">
        <v>289</v>
      </c>
      <c r="E1926" s="3">
        <v>15</v>
      </c>
      <c r="F1926" s="3">
        <v>5</v>
      </c>
      <c r="G1926" s="4">
        <v>43775</v>
      </c>
      <c r="M1926" s="1"/>
      <c r="N1926" s="1"/>
      <c r="O1926" s="1"/>
      <c r="P1926" s="1"/>
      <c r="Q1926" s="1"/>
      <c r="R1926" s="1"/>
    </row>
    <row r="1927" spans="2:18" x14ac:dyDescent="0.15">
      <c r="C1927" s="2" t="s">
        <v>5</v>
      </c>
      <c r="D1927" s="2" t="s">
        <v>161</v>
      </c>
      <c r="E1927" s="3">
        <v>112</v>
      </c>
      <c r="F1927" s="3">
        <v>9</v>
      </c>
      <c r="G1927" s="4">
        <v>43115</v>
      </c>
      <c r="M1927" s="1"/>
      <c r="N1927" s="1"/>
      <c r="O1927" s="1"/>
      <c r="P1927" s="1"/>
      <c r="Q1927" s="1"/>
      <c r="R1927" s="1"/>
    </row>
    <row r="1928" spans="2:18" x14ac:dyDescent="0.15">
      <c r="G1928" s="4"/>
      <c r="M1928" s="1"/>
      <c r="N1928" s="1"/>
      <c r="O1928" s="1"/>
      <c r="P1928" s="1"/>
      <c r="Q1928" s="1"/>
      <c r="R1928" s="1"/>
    </row>
    <row r="1929" spans="2:18" s="12" customFormat="1" x14ac:dyDescent="0.15">
      <c r="B1929" s="12" t="s">
        <v>612</v>
      </c>
      <c r="C1929" s="13" t="s">
        <v>970</v>
      </c>
      <c r="D1929" s="13" t="s">
        <v>969</v>
      </c>
      <c r="E1929" s="15"/>
      <c r="F1929" s="15">
        <f>SUM(F1930:F1935)</f>
        <v>29.68888888888889</v>
      </c>
      <c r="G1929" s="14">
        <f>G1930</f>
        <v>44215</v>
      </c>
    </row>
    <row r="1930" spans="2:18" x14ac:dyDescent="0.15">
      <c r="C1930" s="2" t="s">
        <v>9</v>
      </c>
      <c r="D1930" s="2" t="s">
        <v>607</v>
      </c>
      <c r="E1930" s="3">
        <v>132</v>
      </c>
      <c r="F1930" s="3">
        <f>72/10</f>
        <v>7.2</v>
      </c>
      <c r="G1930" s="4">
        <v>44215</v>
      </c>
      <c r="M1930" s="1"/>
      <c r="N1930" s="1"/>
      <c r="O1930" s="1"/>
      <c r="P1930" s="1"/>
      <c r="Q1930" s="1"/>
      <c r="R1930" s="1"/>
    </row>
    <row r="1931" spans="2:18" x14ac:dyDescent="0.15">
      <c r="C1931" s="2" t="s">
        <v>18</v>
      </c>
      <c r="D1931" s="2" t="s">
        <v>607</v>
      </c>
      <c r="E1931" s="3">
        <v>48</v>
      </c>
      <c r="F1931" s="3">
        <v>4</v>
      </c>
      <c r="G1931" s="4">
        <v>43888</v>
      </c>
      <c r="M1931" s="1"/>
      <c r="N1931" s="1"/>
      <c r="O1931" s="1"/>
      <c r="P1931" s="1"/>
      <c r="Q1931" s="1"/>
      <c r="R1931" s="1"/>
    </row>
    <row r="1932" spans="2:18" x14ac:dyDescent="0.15">
      <c r="C1932" s="2" t="s">
        <v>7</v>
      </c>
      <c r="D1932" s="2" t="s">
        <v>607</v>
      </c>
      <c r="E1932" s="3">
        <v>25</v>
      </c>
      <c r="F1932" s="3">
        <v>5</v>
      </c>
      <c r="G1932" s="4">
        <v>43440</v>
      </c>
      <c r="M1932" s="1"/>
      <c r="N1932" s="1"/>
      <c r="O1932" s="1"/>
      <c r="P1932" s="1"/>
      <c r="Q1932" s="1"/>
      <c r="R1932" s="1"/>
    </row>
    <row r="1933" spans="2:18" x14ac:dyDescent="0.15">
      <c r="C1933" s="2" t="s">
        <v>5</v>
      </c>
      <c r="D1933" s="2" t="s">
        <v>258</v>
      </c>
      <c r="E1933" s="3">
        <v>3.5</v>
      </c>
      <c r="F1933" s="3">
        <f>+E1933/9</f>
        <v>0.3888888888888889</v>
      </c>
      <c r="G1933" s="4">
        <v>42979</v>
      </c>
      <c r="M1933" s="1"/>
      <c r="N1933" s="1"/>
      <c r="O1933" s="1"/>
      <c r="P1933" s="1"/>
      <c r="Q1933" s="1"/>
      <c r="R1933" s="1"/>
    </row>
    <row r="1934" spans="2:18" x14ac:dyDescent="0.15">
      <c r="C1934" s="2" t="s">
        <v>8</v>
      </c>
      <c r="D1934" s="2" t="s">
        <v>176</v>
      </c>
      <c r="E1934" s="3">
        <v>130</v>
      </c>
      <c r="F1934" s="3">
        <v>12</v>
      </c>
      <c r="G1934" s="4">
        <v>42080</v>
      </c>
      <c r="M1934" s="1"/>
      <c r="N1934" s="1"/>
      <c r="O1934" s="1"/>
      <c r="P1934" s="1"/>
      <c r="Q1934" s="1"/>
      <c r="R1934" s="1"/>
    </row>
    <row r="1935" spans="2:18" x14ac:dyDescent="0.15">
      <c r="C1935" s="2" t="s">
        <v>5</v>
      </c>
      <c r="D1935" s="2" t="s">
        <v>176</v>
      </c>
      <c r="E1935" s="3">
        <v>1.1000000000000001</v>
      </c>
      <c r="F1935" s="3">
        <v>1.1000000000000001</v>
      </c>
      <c r="G1935" s="4">
        <v>40750</v>
      </c>
      <c r="M1935" s="1"/>
      <c r="N1935" s="1"/>
      <c r="O1935" s="1"/>
      <c r="P1935" s="1"/>
      <c r="Q1935" s="1"/>
      <c r="R1935" s="1"/>
    </row>
    <row r="1936" spans="2:18" x14ac:dyDescent="0.15">
      <c r="G1936" s="4"/>
      <c r="M1936" s="1"/>
      <c r="N1936" s="1"/>
      <c r="O1936" s="1"/>
      <c r="P1936" s="1"/>
      <c r="Q1936" s="1"/>
      <c r="R1936" s="1"/>
    </row>
    <row r="1937" spans="2:18" s="12" customFormat="1" x14ac:dyDescent="0.15">
      <c r="B1937" s="12" t="s">
        <v>450</v>
      </c>
      <c r="C1937" s="13" t="s">
        <v>970</v>
      </c>
      <c r="D1937" s="13" t="s">
        <v>969</v>
      </c>
      <c r="E1937" s="15"/>
      <c r="F1937" s="15">
        <f>SUM(F1938:F1947)</f>
        <v>30.655454545454546</v>
      </c>
      <c r="G1937" s="14">
        <f>G1947</f>
        <v>44866</v>
      </c>
    </row>
    <row r="1938" spans="2:18" x14ac:dyDescent="0.15">
      <c r="C1938" s="2" t="s">
        <v>8</v>
      </c>
      <c r="D1938" s="2" t="s">
        <v>449</v>
      </c>
      <c r="E1938" s="3">
        <v>90</v>
      </c>
      <c r="F1938" s="3">
        <f>50/11</f>
        <v>4.5454545454545459</v>
      </c>
      <c r="G1938" s="4">
        <v>44776</v>
      </c>
      <c r="M1938" s="1"/>
      <c r="N1938" s="1"/>
      <c r="O1938" s="1"/>
      <c r="P1938" s="1"/>
      <c r="Q1938" s="1"/>
      <c r="R1938" s="1"/>
    </row>
    <row r="1939" spans="2:18" x14ac:dyDescent="0.15">
      <c r="C1939" s="2" t="s">
        <v>18</v>
      </c>
      <c r="D1939" s="2" t="s">
        <v>449</v>
      </c>
      <c r="E1939" s="3">
        <v>40</v>
      </c>
      <c r="F1939" s="3">
        <v>3.75</v>
      </c>
      <c r="G1939" s="4">
        <v>44176</v>
      </c>
      <c r="M1939" s="1"/>
      <c r="N1939" s="1"/>
      <c r="O1939" s="1"/>
      <c r="P1939" s="1"/>
      <c r="Q1939" s="1"/>
      <c r="R1939" s="1"/>
    </row>
    <row r="1940" spans="2:18" x14ac:dyDescent="0.15">
      <c r="C1940" s="2" t="s">
        <v>7</v>
      </c>
      <c r="D1940" s="2" t="s">
        <v>449</v>
      </c>
      <c r="E1940" s="3">
        <v>20</v>
      </c>
      <c r="F1940" s="3">
        <v>3</v>
      </c>
      <c r="G1940" s="4">
        <v>43879</v>
      </c>
      <c r="M1940" s="1"/>
      <c r="N1940" s="1"/>
      <c r="O1940" s="1"/>
      <c r="P1940" s="1"/>
      <c r="Q1940" s="1"/>
      <c r="R1940" s="1"/>
    </row>
    <row r="1941" spans="2:18" x14ac:dyDescent="0.15">
      <c r="C1941" s="62" t="s">
        <v>18</v>
      </c>
      <c r="D1941" s="62" t="s">
        <v>2114</v>
      </c>
      <c r="E1941" s="3">
        <v>40</v>
      </c>
      <c r="F1941" s="3">
        <v>5</v>
      </c>
      <c r="G1941" s="4">
        <v>44238</v>
      </c>
      <c r="J1941" s="1">
        <v>790</v>
      </c>
      <c r="M1941" s="1"/>
      <c r="N1941" s="1"/>
      <c r="O1941" s="1"/>
      <c r="P1941" s="1"/>
      <c r="Q1941" s="1"/>
      <c r="R1941" s="1"/>
    </row>
    <row r="1942" spans="2:18" x14ac:dyDescent="0.15">
      <c r="C1942" s="62" t="s">
        <v>7</v>
      </c>
      <c r="D1942" s="62" t="s">
        <v>2114</v>
      </c>
      <c r="E1942" s="3">
        <v>25</v>
      </c>
      <c r="F1942" s="3">
        <v>5</v>
      </c>
      <c r="G1942" s="4">
        <v>43865</v>
      </c>
      <c r="J1942" s="1">
        <v>790</v>
      </c>
      <c r="M1942" s="1"/>
      <c r="N1942" s="1"/>
      <c r="O1942" s="1"/>
      <c r="P1942" s="1"/>
      <c r="Q1942" s="1"/>
      <c r="R1942" s="1"/>
    </row>
    <row r="1943" spans="2:18" x14ac:dyDescent="0.15">
      <c r="C1943" s="62" t="s">
        <v>5</v>
      </c>
      <c r="D1943" s="62" t="s">
        <v>2114</v>
      </c>
      <c r="E1943" s="3">
        <v>10</v>
      </c>
      <c r="F1943" s="3">
        <v>2.5</v>
      </c>
      <c r="G1943" s="4">
        <v>43564</v>
      </c>
      <c r="J1943" s="1">
        <v>790</v>
      </c>
      <c r="M1943" s="1"/>
      <c r="N1943" s="1"/>
      <c r="O1943" s="1"/>
      <c r="P1943" s="1"/>
      <c r="Q1943" s="1"/>
      <c r="R1943" s="1"/>
    </row>
    <row r="1944" spans="2:18" x14ac:dyDescent="0.15">
      <c r="C1944" s="62" t="s">
        <v>4</v>
      </c>
      <c r="D1944" s="62" t="s">
        <v>2114</v>
      </c>
      <c r="E1944" s="3">
        <v>3.9</v>
      </c>
      <c r="F1944" s="3">
        <v>1</v>
      </c>
      <c r="G1944" s="4">
        <v>43220</v>
      </c>
      <c r="M1944" s="1"/>
      <c r="N1944" s="1"/>
      <c r="O1944" s="1"/>
      <c r="P1944" s="1"/>
      <c r="Q1944" s="1"/>
      <c r="R1944" s="1"/>
    </row>
    <row r="1945" spans="2:18" x14ac:dyDescent="0.15">
      <c r="C1945" s="169" t="s">
        <v>5</v>
      </c>
      <c r="D1945" s="169" t="s">
        <v>2044</v>
      </c>
      <c r="E1945" s="3">
        <v>18</v>
      </c>
      <c r="F1945" s="3">
        <v>4</v>
      </c>
      <c r="G1945" s="4">
        <v>43445</v>
      </c>
      <c r="M1945" s="1"/>
      <c r="N1945" s="1"/>
      <c r="O1945" s="1"/>
      <c r="P1945" s="1"/>
      <c r="Q1945" s="1"/>
      <c r="R1945" s="1"/>
    </row>
    <row r="1946" spans="2:18" x14ac:dyDescent="0.15">
      <c r="C1946" s="169" t="s">
        <v>4</v>
      </c>
      <c r="D1946" s="169" t="s">
        <v>2044</v>
      </c>
      <c r="E1946" s="3">
        <v>4.3</v>
      </c>
      <c r="F1946" s="3">
        <f>E1946/5</f>
        <v>0.86</v>
      </c>
      <c r="G1946" s="4">
        <v>43157</v>
      </c>
      <c r="M1946" s="1"/>
      <c r="N1946" s="1"/>
      <c r="O1946" s="1"/>
      <c r="P1946" s="1"/>
      <c r="Q1946" s="1"/>
      <c r="R1946" s="1"/>
    </row>
    <row r="1947" spans="2:18" x14ac:dyDescent="0.15">
      <c r="C1947" s="193" t="s">
        <v>4</v>
      </c>
      <c r="D1947" s="193" t="s">
        <v>6821</v>
      </c>
      <c r="E1947" s="3">
        <v>10</v>
      </c>
      <c r="F1947" s="3">
        <v>1</v>
      </c>
      <c r="G1947" s="4">
        <v>44866</v>
      </c>
      <c r="I1947" s="1">
        <v>65</v>
      </c>
      <c r="J1947" s="1">
        <v>350</v>
      </c>
      <c r="M1947" s="1"/>
      <c r="N1947" s="1"/>
      <c r="O1947" s="1"/>
      <c r="P1947" s="1"/>
      <c r="Q1947" s="1"/>
      <c r="R1947" s="1"/>
    </row>
    <row r="1948" spans="2:18" x14ac:dyDescent="0.15">
      <c r="G1948" s="4"/>
      <c r="M1948" s="1"/>
      <c r="N1948" s="1"/>
      <c r="O1948" s="1"/>
      <c r="P1948" s="1"/>
      <c r="Q1948" s="1"/>
      <c r="R1948" s="1"/>
    </row>
    <row r="1949" spans="2:18" s="12" customFormat="1" x14ac:dyDescent="0.15">
      <c r="B1949" s="12" t="s">
        <v>37</v>
      </c>
      <c r="C1949" s="13" t="s">
        <v>970</v>
      </c>
      <c r="D1949" s="13" t="s">
        <v>969</v>
      </c>
      <c r="E1949" s="15"/>
      <c r="F1949" s="15">
        <f>SUM(F1950:F1952)</f>
        <v>29.714285714285715</v>
      </c>
      <c r="G1949" s="14">
        <f>G1950</f>
        <v>43634</v>
      </c>
      <c r="M1949" s="13"/>
      <c r="N1949" s="13"/>
      <c r="O1949" s="13"/>
      <c r="P1949" s="13"/>
      <c r="Q1949" s="13"/>
      <c r="R1949" s="13"/>
    </row>
    <row r="1950" spans="2:18" x14ac:dyDescent="0.15">
      <c r="C1950" s="2" t="s">
        <v>18</v>
      </c>
      <c r="D1950" s="2" t="s">
        <v>32</v>
      </c>
      <c r="E1950" s="3">
        <v>230</v>
      </c>
      <c r="F1950" s="3">
        <f>110/7</f>
        <v>15.714285714285714</v>
      </c>
      <c r="G1950" s="4">
        <v>43634</v>
      </c>
      <c r="I1950" s="1">
        <v>770</v>
      </c>
      <c r="J1950" s="1">
        <v>770</v>
      </c>
    </row>
    <row r="1951" spans="2:18" x14ac:dyDescent="0.15">
      <c r="C1951" s="2" t="s">
        <v>7</v>
      </c>
      <c r="D1951" s="2" t="s">
        <v>32</v>
      </c>
      <c r="E1951" s="3">
        <v>45</v>
      </c>
      <c r="F1951" s="3">
        <v>11</v>
      </c>
      <c r="G1951" s="4">
        <v>43293</v>
      </c>
      <c r="J1951" s="1">
        <v>770</v>
      </c>
    </row>
    <row r="1952" spans="2:18" x14ac:dyDescent="0.15">
      <c r="C1952" s="2" t="s">
        <v>5</v>
      </c>
      <c r="D1952" s="2" t="s">
        <v>32</v>
      </c>
      <c r="E1952" s="3">
        <v>18</v>
      </c>
      <c r="F1952" s="3">
        <v>3</v>
      </c>
      <c r="G1952" s="4">
        <v>42983</v>
      </c>
      <c r="J1952" s="1">
        <v>770</v>
      </c>
    </row>
    <row r="1953" spans="2:18" x14ac:dyDescent="0.15">
      <c r="G1953" s="4"/>
    </row>
    <row r="1954" spans="2:18" s="12" customFormat="1" x14ac:dyDescent="0.15">
      <c r="B1954" s="12" t="s">
        <v>395</v>
      </c>
      <c r="C1954" s="13" t="s">
        <v>970</v>
      </c>
      <c r="D1954" s="13" t="s">
        <v>969</v>
      </c>
      <c r="E1954" s="15"/>
      <c r="F1954" s="15">
        <f>SUM(F1955:F1956)</f>
        <v>30</v>
      </c>
      <c r="G1954" s="14">
        <f>G1955</f>
        <v>44286</v>
      </c>
    </row>
    <row r="1955" spans="2:18" x14ac:dyDescent="0.15">
      <c r="C1955" s="2" t="s">
        <v>8</v>
      </c>
      <c r="D1955" s="2" t="s">
        <v>386</v>
      </c>
      <c r="E1955" s="3">
        <v>140</v>
      </c>
      <c r="F1955" s="3">
        <v>10</v>
      </c>
      <c r="G1955" s="4">
        <v>44286</v>
      </c>
      <c r="M1955" s="1"/>
      <c r="N1955" s="1"/>
      <c r="O1955" s="1"/>
      <c r="P1955" s="1"/>
      <c r="Q1955" s="1"/>
      <c r="R1955" s="1"/>
    </row>
    <row r="1956" spans="2:18" x14ac:dyDescent="0.15">
      <c r="C1956" s="2" t="s">
        <v>18</v>
      </c>
      <c r="D1956" s="2" t="s">
        <v>386</v>
      </c>
      <c r="E1956" s="3">
        <v>110</v>
      </c>
      <c r="F1956" s="3">
        <v>20</v>
      </c>
      <c r="G1956" s="4">
        <v>43690</v>
      </c>
      <c r="M1956" s="1"/>
      <c r="N1956" s="1"/>
      <c r="O1956" s="1"/>
      <c r="P1956" s="1"/>
      <c r="Q1956" s="1"/>
      <c r="R1956" s="1"/>
    </row>
    <row r="1957" spans="2:18" x14ac:dyDescent="0.15">
      <c r="G1957" s="4"/>
      <c r="M1957" s="1"/>
      <c r="N1957" s="1"/>
      <c r="O1957" s="1"/>
      <c r="P1957" s="1"/>
      <c r="Q1957" s="1"/>
      <c r="R1957" s="1"/>
    </row>
    <row r="1958" spans="2:18" s="12" customFormat="1" x14ac:dyDescent="0.15">
      <c r="B1958" s="12" t="s">
        <v>394</v>
      </c>
      <c r="C1958" s="13" t="s">
        <v>970</v>
      </c>
      <c r="D1958" s="13" t="s">
        <v>969</v>
      </c>
      <c r="E1958" s="15"/>
      <c r="F1958" s="15">
        <f>SUM(F1959:F1960)</f>
        <v>30</v>
      </c>
      <c r="G1958" s="14">
        <f>G1959</f>
        <v>44286</v>
      </c>
    </row>
    <row r="1959" spans="2:18" x14ac:dyDescent="0.15">
      <c r="C1959" s="2" t="s">
        <v>8</v>
      </c>
      <c r="D1959" s="2" t="s">
        <v>386</v>
      </c>
      <c r="E1959" s="3">
        <v>140</v>
      </c>
      <c r="F1959" s="3">
        <v>10</v>
      </c>
      <c r="G1959" s="4">
        <v>44286</v>
      </c>
      <c r="M1959" s="1"/>
      <c r="N1959" s="1"/>
      <c r="O1959" s="1"/>
      <c r="P1959" s="1"/>
      <c r="Q1959" s="1"/>
      <c r="R1959" s="1"/>
    </row>
    <row r="1960" spans="2:18" x14ac:dyDescent="0.15">
      <c r="C1960" s="2" t="s">
        <v>18</v>
      </c>
      <c r="D1960" s="2" t="s">
        <v>386</v>
      </c>
      <c r="E1960" s="3">
        <v>110</v>
      </c>
      <c r="F1960" s="3">
        <v>20</v>
      </c>
      <c r="G1960" s="4">
        <v>43690</v>
      </c>
      <c r="M1960" s="1"/>
      <c r="N1960" s="1"/>
      <c r="O1960" s="1"/>
      <c r="P1960" s="1"/>
      <c r="Q1960" s="1"/>
      <c r="R1960" s="1"/>
    </row>
    <row r="1961" spans="2:18" x14ac:dyDescent="0.15">
      <c r="G1961" s="4"/>
      <c r="M1961" s="1"/>
      <c r="N1961" s="1"/>
      <c r="O1961" s="1"/>
      <c r="P1961" s="1"/>
      <c r="Q1961" s="1"/>
      <c r="R1961" s="1"/>
    </row>
    <row r="1962" spans="2:18" x14ac:dyDescent="0.15">
      <c r="B1962" s="12" t="s">
        <v>7367</v>
      </c>
      <c r="C1962" s="13" t="s">
        <v>970</v>
      </c>
      <c r="D1962" s="13" t="s">
        <v>969</v>
      </c>
      <c r="F1962" s="15">
        <f>SUM(F1963:F1965)</f>
        <v>29.5</v>
      </c>
      <c r="G1962" s="14">
        <f>+G1964</f>
        <v>45013</v>
      </c>
    </row>
    <row r="1963" spans="2:18" x14ac:dyDescent="0.15">
      <c r="C1963" s="2" t="s">
        <v>18</v>
      </c>
      <c r="D1963" s="2" t="s">
        <v>1006</v>
      </c>
      <c r="E1963" s="3">
        <v>100</v>
      </c>
      <c r="F1963" s="3">
        <v>10</v>
      </c>
      <c r="G1963" s="4">
        <v>44754</v>
      </c>
    </row>
    <row r="1964" spans="2:18" x14ac:dyDescent="0.15">
      <c r="C1964" s="2" t="s">
        <v>5</v>
      </c>
      <c r="D1964" s="2" t="s">
        <v>1005</v>
      </c>
      <c r="E1964" s="3">
        <v>25.6</v>
      </c>
      <c r="F1964" s="3">
        <v>2</v>
      </c>
      <c r="G1964" s="4">
        <v>45013</v>
      </c>
    </row>
    <row r="1965" spans="2:18" x14ac:dyDescent="0.15">
      <c r="C1965" s="62" t="s">
        <v>8</v>
      </c>
      <c r="D1965" s="62" t="s">
        <v>2114</v>
      </c>
      <c r="E1965" s="3">
        <v>110</v>
      </c>
      <c r="F1965" s="3">
        <f>70/4</f>
        <v>17.5</v>
      </c>
      <c r="G1965" s="4">
        <v>44567</v>
      </c>
      <c r="I1965" s="1">
        <v>790</v>
      </c>
      <c r="J1965" s="1">
        <v>790</v>
      </c>
    </row>
    <row r="1966" spans="2:18" x14ac:dyDescent="0.15">
      <c r="G1966" s="4"/>
    </row>
    <row r="1967" spans="2:18" s="12" customFormat="1" x14ac:dyDescent="0.15">
      <c r="B1967" s="12" t="s">
        <v>926</v>
      </c>
      <c r="C1967" s="13" t="s">
        <v>970</v>
      </c>
      <c r="D1967" s="13" t="s">
        <v>969</v>
      </c>
      <c r="E1967" s="15"/>
      <c r="F1967" s="15">
        <f>SUM(F1968:F1970)</f>
        <v>29.75</v>
      </c>
      <c r="G1967" s="14">
        <f>G1968</f>
        <v>45090</v>
      </c>
      <c r="M1967" s="13"/>
      <c r="N1967" s="13"/>
      <c r="O1967" s="13"/>
      <c r="P1967" s="13"/>
      <c r="Q1967" s="13"/>
      <c r="R1967" s="13"/>
    </row>
    <row r="1968" spans="2:18" x14ac:dyDescent="0.15">
      <c r="C1968" s="2" t="s">
        <v>4</v>
      </c>
      <c r="D1968" s="2" t="s">
        <v>706</v>
      </c>
      <c r="E1968" s="3">
        <v>113</v>
      </c>
      <c r="F1968" s="3">
        <v>8</v>
      </c>
      <c r="G1968" s="4">
        <v>45090</v>
      </c>
    </row>
    <row r="1969" spans="2:18" x14ac:dyDescent="0.15">
      <c r="C1969" s="59" t="s">
        <v>8</v>
      </c>
      <c r="D1969" s="59" t="s">
        <v>2122</v>
      </c>
      <c r="E1969" s="3">
        <v>175</v>
      </c>
      <c r="F1969" s="3">
        <f>75/4</f>
        <v>18.75</v>
      </c>
      <c r="G1969" s="4">
        <v>44511</v>
      </c>
      <c r="I1969" s="1">
        <v>3400</v>
      </c>
      <c r="J1969" s="1">
        <v>3400</v>
      </c>
    </row>
    <row r="1970" spans="2:18" x14ac:dyDescent="0.15">
      <c r="C1970" s="59" t="s">
        <v>7</v>
      </c>
      <c r="D1970" s="59" t="s">
        <v>2122</v>
      </c>
      <c r="E1970" s="3">
        <v>40</v>
      </c>
      <c r="F1970" s="3">
        <v>3</v>
      </c>
      <c r="G1970" s="4">
        <v>43720</v>
      </c>
      <c r="J1970" s="1">
        <v>3400</v>
      </c>
    </row>
    <row r="1971" spans="2:18" x14ac:dyDescent="0.15">
      <c r="G1971" s="4"/>
    </row>
    <row r="1972" spans="2:18" s="12" customFormat="1" x14ac:dyDescent="0.15">
      <c r="B1972" s="12" t="s">
        <v>233</v>
      </c>
      <c r="C1972" s="13" t="s">
        <v>970</v>
      </c>
      <c r="D1972" s="13" t="s">
        <v>969</v>
      </c>
      <c r="E1972" s="15"/>
      <c r="F1972" s="15">
        <f>SUM(F1973:F1974)</f>
        <v>30</v>
      </c>
      <c r="G1972" s="14">
        <f>G1974</f>
        <v>43391</v>
      </c>
      <c r="M1972" s="13"/>
      <c r="N1972" s="13"/>
      <c r="O1972" s="13"/>
      <c r="P1972" s="13"/>
      <c r="Q1972" s="13"/>
      <c r="R1972" s="13"/>
    </row>
    <row r="1973" spans="2:18" x14ac:dyDescent="0.15">
      <c r="C1973" s="2" t="s">
        <v>18</v>
      </c>
      <c r="D1973" s="2" t="s">
        <v>232</v>
      </c>
      <c r="E1973" s="3">
        <v>100</v>
      </c>
      <c r="F1973" s="3">
        <v>20</v>
      </c>
      <c r="G1973" s="4">
        <v>42735</v>
      </c>
    </row>
    <row r="1974" spans="2:18" x14ac:dyDescent="0.15">
      <c r="C1974" s="2" t="s">
        <v>7</v>
      </c>
      <c r="D1974" s="2" t="s">
        <v>197</v>
      </c>
      <c r="E1974" s="3">
        <v>120</v>
      </c>
      <c r="F1974" s="3">
        <v>10</v>
      </c>
      <c r="G1974" s="4">
        <v>43391</v>
      </c>
    </row>
    <row r="1975" spans="2:18" x14ac:dyDescent="0.15">
      <c r="G1975" s="4"/>
    </row>
    <row r="1976" spans="2:18" s="12" customFormat="1" x14ac:dyDescent="0.15">
      <c r="B1976" s="12" t="s">
        <v>500</v>
      </c>
      <c r="C1976" s="13" t="s">
        <v>970</v>
      </c>
      <c r="D1976" s="13" t="s">
        <v>969</v>
      </c>
      <c r="E1976" s="15"/>
      <c r="F1976" s="15">
        <f>SUM(F1977:F1980)</f>
        <v>30.071428571428569</v>
      </c>
      <c r="G1976" s="14">
        <f>G1978</f>
        <v>44880</v>
      </c>
    </row>
    <row r="1977" spans="2:18" x14ac:dyDescent="0.15">
      <c r="C1977" s="2" t="s">
        <v>53</v>
      </c>
      <c r="D1977" s="2" t="s">
        <v>490</v>
      </c>
      <c r="E1977" s="3">
        <v>50</v>
      </c>
      <c r="F1977" s="3">
        <v>10</v>
      </c>
      <c r="G1977" s="4">
        <v>44174</v>
      </c>
      <c r="M1977" s="1"/>
      <c r="N1977" s="1"/>
      <c r="O1977" s="1"/>
      <c r="P1977" s="1"/>
      <c r="Q1977" s="1"/>
      <c r="R1977" s="1"/>
    </row>
    <row r="1978" spans="2:18" x14ac:dyDescent="0.15">
      <c r="C1978" s="2" t="s">
        <v>8</v>
      </c>
      <c r="D1978" s="2" t="s">
        <v>131</v>
      </c>
      <c r="E1978" s="3">
        <v>135</v>
      </c>
      <c r="F1978" s="3">
        <v>8</v>
      </c>
      <c r="G1978" s="4">
        <v>44880</v>
      </c>
      <c r="M1978" s="1"/>
      <c r="N1978" s="1"/>
      <c r="O1978" s="1"/>
      <c r="P1978" s="1"/>
      <c r="Q1978" s="1"/>
      <c r="R1978" s="1"/>
    </row>
    <row r="1979" spans="2:18" x14ac:dyDescent="0.15">
      <c r="C1979" s="2" t="s">
        <v>18</v>
      </c>
      <c r="D1979" s="2" t="s">
        <v>131</v>
      </c>
      <c r="E1979" s="3">
        <v>73</v>
      </c>
      <c r="F1979" s="3">
        <f>53/7</f>
        <v>7.5714285714285712</v>
      </c>
      <c r="G1979" s="4">
        <v>44565</v>
      </c>
      <c r="M1979" s="1"/>
      <c r="N1979" s="1"/>
      <c r="O1979" s="1"/>
      <c r="P1979" s="1"/>
      <c r="Q1979" s="1"/>
      <c r="R1979" s="1"/>
    </row>
    <row r="1980" spans="2:18" x14ac:dyDescent="0.15">
      <c r="C1980" s="2" t="s">
        <v>18</v>
      </c>
      <c r="D1980" s="2" t="s">
        <v>131</v>
      </c>
      <c r="E1980" s="3">
        <v>31.7</v>
      </c>
      <c r="F1980" s="3">
        <f>18/4</f>
        <v>4.5</v>
      </c>
      <c r="G1980" s="4">
        <v>43599</v>
      </c>
      <c r="M1980" s="1"/>
      <c r="N1980" s="1"/>
      <c r="O1980" s="1"/>
      <c r="P1980" s="1"/>
      <c r="Q1980" s="1"/>
      <c r="R1980" s="1"/>
    </row>
    <row r="1981" spans="2:18" x14ac:dyDescent="0.15">
      <c r="G1981" s="4"/>
      <c r="M1981" s="1"/>
      <c r="N1981" s="1"/>
      <c r="O1981" s="1"/>
      <c r="P1981" s="1"/>
      <c r="Q1981" s="1"/>
      <c r="R1981" s="1"/>
    </row>
    <row r="1982" spans="2:18" x14ac:dyDescent="0.15">
      <c r="B1982" s="12" t="s">
        <v>1053</v>
      </c>
      <c r="C1982" s="13" t="s">
        <v>970</v>
      </c>
      <c r="D1982" s="13" t="s">
        <v>969</v>
      </c>
      <c r="E1982" s="15"/>
      <c r="F1982" s="15">
        <f>SUM(F1983:F1991)</f>
        <v>28.683333333333334</v>
      </c>
      <c r="G1982" s="14">
        <f>G1986</f>
        <v>44861</v>
      </c>
    </row>
    <row r="1983" spans="2:18" x14ac:dyDescent="0.15">
      <c r="C1983" s="2" t="s">
        <v>5</v>
      </c>
      <c r="D1983" s="2" t="s">
        <v>987</v>
      </c>
      <c r="E1983" s="3">
        <v>25</v>
      </c>
      <c r="F1983" s="3">
        <f>15/4</f>
        <v>3.75</v>
      </c>
      <c r="G1983" s="4">
        <v>44615</v>
      </c>
    </row>
    <row r="1984" spans="2:18" x14ac:dyDescent="0.15">
      <c r="C1984" s="2" t="s">
        <v>4</v>
      </c>
      <c r="D1984" s="2" t="s">
        <v>987</v>
      </c>
      <c r="E1984" s="3">
        <v>5</v>
      </c>
      <c r="F1984" s="3">
        <v>2</v>
      </c>
      <c r="G1984" s="4">
        <v>44292</v>
      </c>
    </row>
    <row r="1985" spans="2:9" x14ac:dyDescent="0.15">
      <c r="C1985" s="2" t="s">
        <v>4</v>
      </c>
      <c r="D1985" s="2" t="s">
        <v>566</v>
      </c>
      <c r="E1985" s="3">
        <v>9</v>
      </c>
      <c r="F1985" s="3">
        <v>2</v>
      </c>
      <c r="G1985" s="4">
        <v>44859</v>
      </c>
    </row>
    <row r="1986" spans="2:9" x14ac:dyDescent="0.15">
      <c r="C1986" s="2" t="s">
        <v>7</v>
      </c>
      <c r="D1986" s="2" t="s">
        <v>351</v>
      </c>
      <c r="E1986" s="3">
        <v>22</v>
      </c>
      <c r="F1986" s="3">
        <v>5</v>
      </c>
      <c r="G1986" s="4">
        <v>44861</v>
      </c>
    </row>
    <row r="1987" spans="2:9" x14ac:dyDescent="0.15">
      <c r="C1987" s="2" t="s">
        <v>5</v>
      </c>
      <c r="D1987" s="2" t="s">
        <v>351</v>
      </c>
      <c r="E1987" s="3">
        <v>15</v>
      </c>
      <c r="F1987" s="3">
        <v>9</v>
      </c>
      <c r="G1987" s="4">
        <v>44487</v>
      </c>
    </row>
    <row r="1988" spans="2:9" x14ac:dyDescent="0.15">
      <c r="C1988" s="2" t="s">
        <v>5</v>
      </c>
      <c r="D1988" s="2" t="s">
        <v>281</v>
      </c>
      <c r="E1988" s="3">
        <v>13</v>
      </c>
      <c r="F1988" s="3">
        <f>+E1988/3</f>
        <v>4.333333333333333</v>
      </c>
      <c r="G1988" s="4">
        <v>44453</v>
      </c>
    </row>
    <row r="1989" spans="2:9" x14ac:dyDescent="0.15">
      <c r="C1989" s="2" t="s">
        <v>4</v>
      </c>
      <c r="D1989" s="2" t="s">
        <v>281</v>
      </c>
      <c r="E1989" s="3">
        <v>6.2</v>
      </c>
      <c r="F1989" s="3">
        <v>2.6</v>
      </c>
      <c r="G1989" s="4">
        <v>44201</v>
      </c>
    </row>
    <row r="1990" spans="2:9" x14ac:dyDescent="0.15">
      <c r="C1990" s="2" t="s">
        <v>9</v>
      </c>
      <c r="D1990" s="2" t="s">
        <v>148</v>
      </c>
      <c r="E1990" s="3">
        <v>300</v>
      </c>
      <c r="F1990" s="6" t="s">
        <v>1048</v>
      </c>
      <c r="G1990" s="4">
        <v>44271</v>
      </c>
    </row>
    <row r="1991" spans="2:9" x14ac:dyDescent="0.15">
      <c r="C1991" s="2" t="s">
        <v>5</v>
      </c>
      <c r="D1991" s="2" t="s">
        <v>148</v>
      </c>
      <c r="E1991" s="3">
        <v>3</v>
      </c>
      <c r="F1991" s="6" t="s">
        <v>1052</v>
      </c>
      <c r="G1991" s="4">
        <v>41879</v>
      </c>
      <c r="I1991" s="1">
        <v>11</v>
      </c>
    </row>
    <row r="1992" spans="2:9" x14ac:dyDescent="0.15">
      <c r="G1992" s="4"/>
    </row>
    <row r="1993" spans="2:9" s="12" customFormat="1" x14ac:dyDescent="0.15">
      <c r="B1993" s="12" t="s">
        <v>737</v>
      </c>
      <c r="C1993" s="13" t="s">
        <v>970</v>
      </c>
      <c r="D1993" s="13" t="s">
        <v>969</v>
      </c>
      <c r="E1993" s="15"/>
      <c r="F1993" s="15">
        <f>SUM(F1994:F1998)</f>
        <v>29</v>
      </c>
      <c r="G1993" s="14">
        <f>G1995</f>
        <v>44776</v>
      </c>
    </row>
    <row r="1994" spans="2:9" x14ac:dyDescent="0.15">
      <c r="C1994" s="2" t="s">
        <v>7</v>
      </c>
      <c r="D1994" s="2" t="s">
        <v>736</v>
      </c>
      <c r="E1994" s="3">
        <v>25</v>
      </c>
      <c r="F1994" s="3">
        <f>15/5</f>
        <v>3</v>
      </c>
      <c r="G1994" s="4">
        <v>44755</v>
      </c>
    </row>
    <row r="1995" spans="2:9" x14ac:dyDescent="0.15">
      <c r="C1995" s="2" t="s">
        <v>8</v>
      </c>
      <c r="D1995" s="2" t="s">
        <v>449</v>
      </c>
      <c r="E1995" s="3">
        <v>90</v>
      </c>
      <c r="F1995" s="3">
        <v>5</v>
      </c>
      <c r="G1995" s="4">
        <v>44776</v>
      </c>
    </row>
    <row r="1996" spans="2:9" x14ac:dyDescent="0.15">
      <c r="C1996" s="2" t="s">
        <v>18</v>
      </c>
      <c r="D1996" s="2" t="s">
        <v>449</v>
      </c>
      <c r="E1996" s="3">
        <v>40</v>
      </c>
      <c r="F1996" s="3">
        <v>10</v>
      </c>
      <c r="G1996" s="4">
        <v>44176</v>
      </c>
    </row>
    <row r="1997" spans="2:9" x14ac:dyDescent="0.15">
      <c r="C1997" s="2" t="s">
        <v>18</v>
      </c>
      <c r="D1997" s="2" t="s">
        <v>417</v>
      </c>
      <c r="E1997" s="3">
        <v>23</v>
      </c>
      <c r="F1997" s="3">
        <v>3</v>
      </c>
      <c r="G1997" s="4">
        <v>44328</v>
      </c>
    </row>
    <row r="1998" spans="2:9" x14ac:dyDescent="0.15">
      <c r="C1998" s="2" t="s">
        <v>7</v>
      </c>
      <c r="D1998" s="2" t="s">
        <v>417</v>
      </c>
      <c r="E1998" s="3">
        <v>16</v>
      </c>
      <c r="F1998" s="3">
        <v>8</v>
      </c>
      <c r="G1998" s="4">
        <v>42995</v>
      </c>
    </row>
    <row r="1999" spans="2:9" x14ac:dyDescent="0.15">
      <c r="G1999" s="4"/>
    </row>
    <row r="2000" spans="2:9" x14ac:dyDescent="0.15">
      <c r="B2000" s="12" t="s">
        <v>1050</v>
      </c>
      <c r="C2000" s="13" t="s">
        <v>970</v>
      </c>
      <c r="D2000" s="13" t="s">
        <v>969</v>
      </c>
      <c r="E2000" s="15"/>
      <c r="F2000" s="15">
        <f>SUM(F2001:F2007)</f>
        <v>28.566666666666666</v>
      </c>
      <c r="G2000" s="14">
        <f>G2001</f>
        <v>45069</v>
      </c>
    </row>
    <row r="2001" spans="2:7" x14ac:dyDescent="0.15">
      <c r="C2001" s="2" t="s">
        <v>4</v>
      </c>
      <c r="D2001" s="2" t="s">
        <v>681</v>
      </c>
      <c r="E2001" s="3">
        <v>5.3</v>
      </c>
      <c r="F2001" s="3">
        <v>2</v>
      </c>
      <c r="G2001" s="4">
        <v>45069</v>
      </c>
    </row>
    <row r="2002" spans="2:7" x14ac:dyDescent="0.15">
      <c r="C2002" s="2" t="s">
        <v>18</v>
      </c>
      <c r="D2002" s="2" t="s">
        <v>693</v>
      </c>
      <c r="E2002" s="3">
        <v>125</v>
      </c>
      <c r="F2002" s="3">
        <v>9</v>
      </c>
      <c r="G2002" s="4">
        <v>44663</v>
      </c>
    </row>
    <row r="2003" spans="2:7" x14ac:dyDescent="0.15">
      <c r="C2003" s="2" t="s">
        <v>7</v>
      </c>
      <c r="D2003" s="2" t="s">
        <v>693</v>
      </c>
      <c r="E2003" s="3">
        <v>54</v>
      </c>
      <c r="F2003" s="3">
        <f>40/6</f>
        <v>6.666666666666667</v>
      </c>
      <c r="G2003" s="4">
        <v>44089</v>
      </c>
    </row>
    <row r="2004" spans="2:7" x14ac:dyDescent="0.15">
      <c r="C2004" s="2" t="s">
        <v>5</v>
      </c>
      <c r="D2004" s="2" t="s">
        <v>693</v>
      </c>
      <c r="E2004" s="3">
        <v>26</v>
      </c>
      <c r="F2004" s="3">
        <v>4</v>
      </c>
      <c r="G2004" s="4">
        <v>43809</v>
      </c>
    </row>
    <row r="2005" spans="2:7" x14ac:dyDescent="0.15">
      <c r="C2005" s="2" t="s">
        <v>5</v>
      </c>
      <c r="D2005" s="2" t="s">
        <v>693</v>
      </c>
      <c r="E2005" s="3">
        <v>8</v>
      </c>
      <c r="F2005" s="3">
        <v>1</v>
      </c>
      <c r="G2005" s="4">
        <v>43249</v>
      </c>
    </row>
    <row r="2006" spans="2:7" x14ac:dyDescent="0.15">
      <c r="C2006" s="2" t="s">
        <v>5</v>
      </c>
      <c r="D2006" s="2" t="s">
        <v>693</v>
      </c>
      <c r="E2006" s="3">
        <v>0.9</v>
      </c>
      <c r="F2006" s="3">
        <v>0.9</v>
      </c>
      <c r="G2006" s="4">
        <v>42951</v>
      </c>
    </row>
    <row r="2007" spans="2:7" x14ac:dyDescent="0.15">
      <c r="C2007" s="2" t="s">
        <v>5</v>
      </c>
      <c r="D2007" s="2" t="s">
        <v>560</v>
      </c>
      <c r="E2007" s="3">
        <v>20</v>
      </c>
      <c r="F2007" s="3">
        <v>5</v>
      </c>
      <c r="G2007" s="4">
        <v>44671</v>
      </c>
    </row>
    <row r="2008" spans="2:7" x14ac:dyDescent="0.15">
      <c r="G2008" s="4"/>
    </row>
    <row r="2009" spans="2:7" x14ac:dyDescent="0.15">
      <c r="B2009" s="12" t="s">
        <v>1004</v>
      </c>
      <c r="C2009" s="13" t="s">
        <v>970</v>
      </c>
      <c r="D2009" s="13" t="s">
        <v>969</v>
      </c>
      <c r="E2009" s="15"/>
      <c r="F2009" s="15">
        <f>SUM(F2010:F2015)</f>
        <v>29</v>
      </c>
      <c r="G2009" s="14">
        <f>+G2010</f>
        <v>44900</v>
      </c>
    </row>
    <row r="2010" spans="2:7" x14ac:dyDescent="0.15">
      <c r="C2010" s="2" t="s">
        <v>18</v>
      </c>
      <c r="D2010" s="2" t="s">
        <v>958</v>
      </c>
      <c r="E2010" s="3">
        <v>50</v>
      </c>
      <c r="F2010" s="3">
        <v>6</v>
      </c>
      <c r="G2010" s="4">
        <v>44900</v>
      </c>
    </row>
    <row r="2011" spans="2:7" x14ac:dyDescent="0.15">
      <c r="C2011" s="2" t="s">
        <v>7</v>
      </c>
      <c r="D2011" s="2" t="s">
        <v>958</v>
      </c>
      <c r="E2011" s="3">
        <v>35</v>
      </c>
      <c r="F2011" s="3">
        <v>5</v>
      </c>
      <c r="G2011" s="4">
        <v>44543</v>
      </c>
    </row>
    <row r="2012" spans="2:7" x14ac:dyDescent="0.15">
      <c r="C2012" s="2" t="s">
        <v>5</v>
      </c>
      <c r="D2012" s="2" t="s">
        <v>958</v>
      </c>
      <c r="E2012" s="3">
        <v>8.5</v>
      </c>
      <c r="F2012" s="3">
        <v>1</v>
      </c>
      <c r="G2012" s="4">
        <v>44181</v>
      </c>
    </row>
    <row r="2013" spans="2:7" x14ac:dyDescent="0.15">
      <c r="C2013" s="2" t="s">
        <v>7</v>
      </c>
      <c r="D2013" s="2" t="s">
        <v>2136</v>
      </c>
      <c r="E2013" s="3">
        <v>176</v>
      </c>
      <c r="F2013" s="3">
        <v>13</v>
      </c>
      <c r="G2013" s="4">
        <v>44578</v>
      </c>
    </row>
    <row r="2014" spans="2:7" x14ac:dyDescent="0.15">
      <c r="C2014" s="2" t="s">
        <v>5</v>
      </c>
      <c r="D2014" s="2" t="s">
        <v>2136</v>
      </c>
      <c r="E2014" s="3">
        <v>20</v>
      </c>
      <c r="F2014" s="3">
        <v>3</v>
      </c>
      <c r="G2014" s="4">
        <v>44044</v>
      </c>
    </row>
    <row r="2015" spans="2:7" x14ac:dyDescent="0.15">
      <c r="C2015" s="2" t="s">
        <v>4</v>
      </c>
      <c r="D2015" s="2" t="s">
        <v>2136</v>
      </c>
      <c r="E2015" s="3">
        <v>3</v>
      </c>
      <c r="F2015" s="3">
        <v>1</v>
      </c>
      <c r="G2015" s="4">
        <v>42979</v>
      </c>
    </row>
    <row r="2016" spans="2:7" x14ac:dyDescent="0.15">
      <c r="G2016" s="4"/>
    </row>
    <row r="2017" spans="2:18" s="12" customFormat="1" x14ac:dyDescent="0.15">
      <c r="B2017" s="12" t="s">
        <v>1001</v>
      </c>
      <c r="C2017" s="13" t="s">
        <v>970</v>
      </c>
      <c r="D2017" s="13" t="s">
        <v>969</v>
      </c>
      <c r="E2017" s="15"/>
      <c r="F2017" s="15">
        <f>SUM(F2018:F2021)</f>
        <v>28.5</v>
      </c>
      <c r="G2017" s="14">
        <f>G2018</f>
        <v>44699</v>
      </c>
      <c r="M2017" s="13"/>
      <c r="N2017" s="13"/>
      <c r="O2017" s="13"/>
      <c r="P2017" s="13"/>
      <c r="Q2017" s="13"/>
      <c r="R2017" s="13"/>
    </row>
    <row r="2018" spans="2:18" x14ac:dyDescent="0.15">
      <c r="C2018" s="2" t="s">
        <v>5</v>
      </c>
      <c r="D2018" s="2" t="s">
        <v>1000</v>
      </c>
      <c r="E2018" s="3">
        <v>25</v>
      </c>
      <c r="F2018" s="3">
        <v>10</v>
      </c>
      <c r="G2018" s="4">
        <v>44699</v>
      </c>
    </row>
    <row r="2019" spans="2:18" x14ac:dyDescent="0.15">
      <c r="C2019" s="2" t="s">
        <v>5</v>
      </c>
      <c r="D2019" s="2" t="s">
        <v>698</v>
      </c>
      <c r="E2019" s="3">
        <v>5.6</v>
      </c>
      <c r="F2019" s="3">
        <v>1</v>
      </c>
      <c r="G2019" s="4">
        <v>44292</v>
      </c>
    </row>
    <row r="2020" spans="2:18" x14ac:dyDescent="0.15">
      <c r="C2020" s="184" t="s">
        <v>5</v>
      </c>
      <c r="D2020" s="184" t="s">
        <v>2038</v>
      </c>
      <c r="E2020" s="3">
        <v>25</v>
      </c>
      <c r="F2020" s="3">
        <v>12.5</v>
      </c>
      <c r="G2020" s="4">
        <v>44454</v>
      </c>
    </row>
    <row r="2021" spans="2:18" x14ac:dyDescent="0.15">
      <c r="C2021" s="184" t="s">
        <v>4</v>
      </c>
      <c r="D2021" s="184" t="s">
        <v>2038</v>
      </c>
      <c r="E2021" s="3">
        <v>5</v>
      </c>
      <c r="F2021" s="3">
        <v>5</v>
      </c>
      <c r="G2021" s="4">
        <v>44454</v>
      </c>
    </row>
    <row r="2022" spans="2:18" x14ac:dyDescent="0.15">
      <c r="G2022" s="4"/>
    </row>
    <row r="2023" spans="2:18" s="12" customFormat="1" x14ac:dyDescent="0.15">
      <c r="B2023" s="12" t="s">
        <v>4391</v>
      </c>
      <c r="C2023" s="13" t="s">
        <v>970</v>
      </c>
      <c r="D2023" s="13" t="s">
        <v>969</v>
      </c>
      <c r="E2023" s="15"/>
      <c r="F2023" s="15">
        <f>SUM(F2024:F2025)</f>
        <v>28.9</v>
      </c>
      <c r="G2023" s="14">
        <f>G2025</f>
        <v>39506</v>
      </c>
      <c r="M2023" s="13"/>
      <c r="N2023" s="13"/>
      <c r="O2023" s="13"/>
      <c r="P2023" s="13"/>
      <c r="Q2023" s="13"/>
      <c r="R2023" s="13"/>
    </row>
    <row r="2024" spans="2:18" x14ac:dyDescent="0.15">
      <c r="C2024" s="2" t="s">
        <v>7</v>
      </c>
      <c r="D2024" s="2" t="s">
        <v>3962</v>
      </c>
      <c r="E2024" s="3">
        <v>10.5</v>
      </c>
      <c r="F2024" s="3">
        <v>10.5</v>
      </c>
      <c r="G2024" s="4">
        <v>39044</v>
      </c>
    </row>
    <row r="2025" spans="2:18" x14ac:dyDescent="0.15">
      <c r="C2025" s="2" t="s">
        <v>18</v>
      </c>
      <c r="D2025" s="2" t="s">
        <v>3962</v>
      </c>
      <c r="E2025" s="3">
        <v>36.799999999999997</v>
      </c>
      <c r="F2025" s="3">
        <f>E2025/2</f>
        <v>18.399999999999999</v>
      </c>
      <c r="G2025" s="4">
        <v>39506</v>
      </c>
    </row>
    <row r="2026" spans="2:18" x14ac:dyDescent="0.15">
      <c r="G2026" s="4"/>
    </row>
    <row r="2027" spans="2:18" s="12" customFormat="1" x14ac:dyDescent="0.15">
      <c r="B2027" s="12" t="s">
        <v>84</v>
      </c>
      <c r="C2027" s="13" t="s">
        <v>970</v>
      </c>
      <c r="D2027" s="13" t="s">
        <v>969</v>
      </c>
      <c r="E2027" s="15"/>
      <c r="F2027" s="15">
        <f>SUM(F2028:F2029)</f>
        <v>27.5</v>
      </c>
      <c r="G2027" s="14">
        <f>G2028</f>
        <v>43958</v>
      </c>
      <c r="M2027" s="13"/>
      <c r="N2027" s="13"/>
      <c r="O2027" s="13"/>
      <c r="P2027" s="13"/>
      <c r="Q2027" s="13"/>
      <c r="R2027" s="13"/>
    </row>
    <row r="2028" spans="2:18" x14ac:dyDescent="0.15">
      <c r="C2028" s="2" t="s">
        <v>7</v>
      </c>
      <c r="D2028" s="2" t="s">
        <v>80</v>
      </c>
      <c r="E2028" s="3">
        <v>100</v>
      </c>
      <c r="F2028" s="3">
        <v>20</v>
      </c>
      <c r="G2028" s="4">
        <v>43958</v>
      </c>
      <c r="I2028" s="5">
        <f>4500/7</f>
        <v>642.85714285714289</v>
      </c>
    </row>
    <row r="2029" spans="2:18" x14ac:dyDescent="0.15">
      <c r="C2029" s="2" t="s">
        <v>4</v>
      </c>
      <c r="D2029" s="2" t="s">
        <v>80</v>
      </c>
      <c r="E2029" s="3">
        <v>49</v>
      </c>
      <c r="F2029" s="3">
        <v>7.5</v>
      </c>
      <c r="G2029" s="4">
        <v>43319</v>
      </c>
      <c r="I2029" s="5"/>
    </row>
    <row r="2030" spans="2:18" x14ac:dyDescent="0.15">
      <c r="G2030" s="4"/>
      <c r="I2030" s="5"/>
    </row>
    <row r="2031" spans="2:18" s="12" customFormat="1" x14ac:dyDescent="0.15">
      <c r="B2031" s="12" t="s">
        <v>1049</v>
      </c>
      <c r="C2031" s="13" t="s">
        <v>970</v>
      </c>
      <c r="D2031" s="13" t="s">
        <v>969</v>
      </c>
      <c r="E2031" s="15"/>
      <c r="F2031" s="15">
        <f>SUM(F2032:F2035)</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C2034" s="2" t="s">
        <v>9</v>
      </c>
      <c r="D2034" s="2" t="s">
        <v>148</v>
      </c>
      <c r="E2034" s="3">
        <v>300</v>
      </c>
      <c r="F2034" s="6" t="s">
        <v>1048</v>
      </c>
      <c r="G2034" s="4">
        <v>44271</v>
      </c>
    </row>
    <row r="2035" spans="2:18" x14ac:dyDescent="0.15">
      <c r="C2035" s="2" t="s">
        <v>8</v>
      </c>
      <c r="D2035" s="2" t="s">
        <v>148</v>
      </c>
      <c r="E2035" s="3">
        <v>38</v>
      </c>
      <c r="F2035" s="6" t="s">
        <v>1047</v>
      </c>
      <c r="G2035" s="4">
        <v>43266</v>
      </c>
    </row>
    <row r="2036" spans="2:18" x14ac:dyDescent="0.15">
      <c r="G2036" s="4"/>
    </row>
    <row r="2037" spans="2:18" s="12" customFormat="1" x14ac:dyDescent="0.15">
      <c r="B2037" s="12" t="s">
        <v>140</v>
      </c>
      <c r="C2037" s="13" t="s">
        <v>970</v>
      </c>
      <c r="D2037" s="13" t="s">
        <v>969</v>
      </c>
      <c r="E2037" s="15"/>
      <c r="F2037" s="15">
        <f>SUM(F2038:F2039)</f>
        <v>28</v>
      </c>
      <c r="G2037" s="14">
        <f>G2038</f>
        <v>44880</v>
      </c>
      <c r="M2037" s="13"/>
      <c r="N2037" s="13"/>
      <c r="O2037" s="13"/>
      <c r="P2037" s="13"/>
      <c r="Q2037" s="13"/>
      <c r="R2037" s="13"/>
    </row>
    <row r="2038" spans="2:18" x14ac:dyDescent="0.15">
      <c r="C2038" s="2" t="s">
        <v>8</v>
      </c>
      <c r="D2038" s="2" t="s">
        <v>131</v>
      </c>
      <c r="E2038" s="3">
        <v>135</v>
      </c>
      <c r="F2038" s="3">
        <v>8</v>
      </c>
      <c r="G2038" s="4">
        <v>44880</v>
      </c>
    </row>
    <row r="2039" spans="2:18" x14ac:dyDescent="0.15">
      <c r="C2039" s="2" t="s">
        <v>18</v>
      </c>
      <c r="D2039" s="2" t="s">
        <v>131</v>
      </c>
      <c r="E2039" s="3">
        <v>73</v>
      </c>
      <c r="F2039" s="3">
        <v>20</v>
      </c>
      <c r="G2039" s="4">
        <v>44565</v>
      </c>
    </row>
    <row r="2040" spans="2:18" x14ac:dyDescent="0.15">
      <c r="G2040" s="4"/>
    </row>
    <row r="2041" spans="2:18" s="12" customFormat="1" x14ac:dyDescent="0.15">
      <c r="B2041" s="12" t="s">
        <v>610</v>
      </c>
      <c r="C2041" s="13" t="s">
        <v>970</v>
      </c>
      <c r="D2041" s="13" t="s">
        <v>969</v>
      </c>
      <c r="E2041" s="15"/>
      <c r="F2041" s="15">
        <f>SUM(F2042:F2045)</f>
        <v>28.2</v>
      </c>
      <c r="G2041" s="14">
        <f>G2042</f>
        <v>44215</v>
      </c>
    </row>
    <row r="2042" spans="2:18" x14ac:dyDescent="0.15">
      <c r="C2042" s="2" t="s">
        <v>9</v>
      </c>
      <c r="D2042" s="2" t="s">
        <v>607</v>
      </c>
      <c r="E2042" s="3">
        <v>132</v>
      </c>
      <c r="F2042" s="3">
        <f>72/10</f>
        <v>7.2</v>
      </c>
      <c r="G2042" s="4">
        <v>44215</v>
      </c>
      <c r="M2042" s="1"/>
      <c r="N2042" s="1"/>
      <c r="O2042" s="1"/>
      <c r="P2042" s="1"/>
      <c r="Q2042" s="1"/>
      <c r="R2042" s="1"/>
    </row>
    <row r="2043" spans="2:18" x14ac:dyDescent="0.15">
      <c r="C2043" s="2" t="s">
        <v>8</v>
      </c>
      <c r="D2043" s="2" t="s">
        <v>607</v>
      </c>
      <c r="E2043" s="3">
        <v>42</v>
      </c>
      <c r="F2043" s="3">
        <f>30/5</f>
        <v>6</v>
      </c>
      <c r="G2043" s="4">
        <v>44153</v>
      </c>
      <c r="M2043" s="1"/>
      <c r="N2043" s="1"/>
      <c r="O2043" s="1"/>
      <c r="P2043" s="1"/>
      <c r="Q2043" s="1"/>
      <c r="R2043" s="1"/>
    </row>
    <row r="2044" spans="2:18" x14ac:dyDescent="0.15">
      <c r="C2044" s="2" t="s">
        <v>18</v>
      </c>
      <c r="D2044" s="2" t="s">
        <v>607</v>
      </c>
      <c r="E2044" s="3">
        <v>48</v>
      </c>
      <c r="F2044" s="3">
        <v>10</v>
      </c>
      <c r="G2044" s="4">
        <v>43888</v>
      </c>
      <c r="M2044" s="1"/>
      <c r="N2044" s="1"/>
      <c r="O2044" s="1"/>
      <c r="P2044" s="1"/>
      <c r="Q2044" s="1"/>
      <c r="R2044" s="1"/>
    </row>
    <row r="2045" spans="2:18" x14ac:dyDescent="0.15">
      <c r="C2045" s="2" t="s">
        <v>7</v>
      </c>
      <c r="D2045" s="2" t="s">
        <v>607</v>
      </c>
      <c r="E2045" s="3">
        <v>25</v>
      </c>
      <c r="F2045" s="3">
        <v>5</v>
      </c>
      <c r="G2045" s="4">
        <v>43440</v>
      </c>
      <c r="M2045" s="1"/>
      <c r="N2045" s="1"/>
      <c r="O2045" s="1"/>
      <c r="P2045" s="1"/>
      <c r="Q2045" s="1"/>
      <c r="R2045" s="1"/>
    </row>
    <row r="2046" spans="2:18" x14ac:dyDescent="0.15">
      <c r="G2046" s="4"/>
      <c r="M2046" s="1"/>
      <c r="N2046" s="1"/>
      <c r="O2046" s="1"/>
      <c r="P2046" s="1"/>
      <c r="Q2046" s="1"/>
      <c r="R2046" s="1"/>
    </row>
    <row r="2047" spans="2:18" s="12" customFormat="1" x14ac:dyDescent="0.15">
      <c r="B2047" s="12" t="s">
        <v>205</v>
      </c>
      <c r="C2047" s="13" t="s">
        <v>970</v>
      </c>
      <c r="D2047" s="13" t="s">
        <v>969</v>
      </c>
      <c r="E2047" s="15"/>
      <c r="F2047" s="15">
        <f>SUM(F2048:F2049)</f>
        <v>28.222222222222221</v>
      </c>
      <c r="G2047" s="14">
        <f>G2048</f>
        <v>44274</v>
      </c>
      <c r="M2047" s="13"/>
      <c r="N2047" s="13"/>
      <c r="O2047" s="13"/>
      <c r="P2047" s="13"/>
      <c r="Q2047" s="13"/>
      <c r="R2047" s="13"/>
    </row>
    <row r="2048" spans="2:18" x14ac:dyDescent="0.15">
      <c r="C2048" s="2" t="s">
        <v>18</v>
      </c>
      <c r="D2048" s="2" t="s">
        <v>197</v>
      </c>
      <c r="E2048" s="3">
        <v>500</v>
      </c>
      <c r="F2048" s="3">
        <f>200/9</f>
        <v>22.222222222222221</v>
      </c>
      <c r="G2048" s="4">
        <v>44274</v>
      </c>
    </row>
    <row r="2049" spans="2:18" x14ac:dyDescent="0.15">
      <c r="C2049" s="2" t="s">
        <v>7</v>
      </c>
      <c r="D2049" s="2" t="s">
        <v>197</v>
      </c>
      <c r="E2049" s="3">
        <v>46</v>
      </c>
      <c r="F2049" s="3">
        <v>6</v>
      </c>
      <c r="G2049" s="4">
        <v>42941</v>
      </c>
    </row>
    <row r="2050" spans="2:18" x14ac:dyDescent="0.15">
      <c r="G2050" s="4"/>
    </row>
    <row r="2051" spans="2:18" s="12" customFormat="1" x14ac:dyDescent="0.15">
      <c r="B2051" s="12" t="s">
        <v>4927</v>
      </c>
      <c r="C2051" s="13" t="s">
        <v>970</v>
      </c>
      <c r="D2051" s="13" t="s">
        <v>969</v>
      </c>
      <c r="E2051" s="15"/>
      <c r="F2051" s="15">
        <f>SUM(F2052:F2054)</f>
        <v>26.8</v>
      </c>
      <c r="G2051" s="14">
        <f>G2052</f>
        <v>44320</v>
      </c>
      <c r="M2051" s="13"/>
      <c r="N2051" s="13"/>
      <c r="O2051" s="13"/>
      <c r="P2051" s="13"/>
      <c r="Q2051" s="13"/>
      <c r="R2051" s="13"/>
    </row>
    <row r="2052" spans="2:18" x14ac:dyDescent="0.15">
      <c r="B2052" s="58"/>
      <c r="C2052" s="59" t="s">
        <v>8</v>
      </c>
      <c r="D2052" s="59" t="s">
        <v>4926</v>
      </c>
      <c r="E2052" s="3">
        <v>83</v>
      </c>
      <c r="F2052" s="3">
        <f>68/10</f>
        <v>6.8</v>
      </c>
      <c r="G2052" s="4">
        <v>44320</v>
      </c>
      <c r="I2052" s="1">
        <v>3600</v>
      </c>
      <c r="J2052" s="1">
        <v>3600</v>
      </c>
    </row>
    <row r="2053" spans="2:18" x14ac:dyDescent="0.15">
      <c r="B2053" s="58"/>
      <c r="C2053" s="59" t="s">
        <v>18</v>
      </c>
      <c r="D2053" s="59" t="s">
        <v>4926</v>
      </c>
      <c r="E2053" s="3">
        <v>100</v>
      </c>
      <c r="F2053" s="3">
        <f>80/8</f>
        <v>10</v>
      </c>
      <c r="G2053" s="4">
        <v>43937</v>
      </c>
      <c r="I2053" s="1">
        <v>1100</v>
      </c>
      <c r="J2053" s="1">
        <v>3600</v>
      </c>
    </row>
    <row r="2054" spans="2:18" x14ac:dyDescent="0.15">
      <c r="B2054" s="58"/>
      <c r="C2054" s="59" t="s">
        <v>7</v>
      </c>
      <c r="D2054" s="59" t="s">
        <v>4926</v>
      </c>
      <c r="E2054" s="3">
        <v>40</v>
      </c>
      <c r="F2054" s="3">
        <v>10</v>
      </c>
      <c r="G2054" s="4">
        <v>43522</v>
      </c>
      <c r="J2054" s="1">
        <v>3600</v>
      </c>
    </row>
    <row r="2055" spans="2:18" x14ac:dyDescent="0.15">
      <c r="B2055" s="58"/>
      <c r="C2055" s="59"/>
      <c r="D2055" s="59"/>
      <c r="G2055" s="4"/>
    </row>
    <row r="2056" spans="2:18" s="12" customFormat="1" x14ac:dyDescent="0.15">
      <c r="B2056" s="12" t="s">
        <v>36</v>
      </c>
      <c r="C2056" s="13" t="s">
        <v>970</v>
      </c>
      <c r="D2056" s="13" t="s">
        <v>969</v>
      </c>
      <c r="E2056" s="15"/>
      <c r="F2056" s="15">
        <f>SUM(F2057:F2058)</f>
        <v>26.714285714285715</v>
      </c>
      <c r="G2056" s="14">
        <f>G2057</f>
        <v>43634</v>
      </c>
      <c r="M2056" s="13"/>
      <c r="N2056" s="13"/>
      <c r="O2056" s="13"/>
      <c r="P2056" s="13"/>
      <c r="Q2056" s="13"/>
      <c r="R2056" s="13"/>
    </row>
    <row r="2057" spans="2:18" x14ac:dyDescent="0.15">
      <c r="C2057" s="2" t="s">
        <v>18</v>
      </c>
      <c r="D2057" s="2" t="s">
        <v>32</v>
      </c>
      <c r="E2057" s="3">
        <v>230</v>
      </c>
      <c r="F2057" s="3">
        <f>110/7</f>
        <v>15.714285714285714</v>
      </c>
      <c r="G2057" s="4">
        <v>43634</v>
      </c>
      <c r="I2057" s="1">
        <v>770</v>
      </c>
      <c r="J2057" s="1">
        <v>770</v>
      </c>
    </row>
    <row r="2058" spans="2:18" x14ac:dyDescent="0.15">
      <c r="C2058" s="2" t="s">
        <v>7</v>
      </c>
      <c r="D2058" s="2" t="s">
        <v>32</v>
      </c>
      <c r="E2058" s="3">
        <v>45</v>
      </c>
      <c r="F2058" s="3">
        <v>11</v>
      </c>
      <c r="G2058" s="4">
        <v>43293</v>
      </c>
      <c r="J2058" s="1">
        <v>770</v>
      </c>
    </row>
    <row r="2059" spans="2:18" x14ac:dyDescent="0.15">
      <c r="G2059" s="4"/>
    </row>
    <row r="2060" spans="2:18" s="12" customFormat="1" x14ac:dyDescent="0.15">
      <c r="B2060" s="12" t="s">
        <v>33</v>
      </c>
      <c r="C2060" s="13" t="s">
        <v>970</v>
      </c>
      <c r="D2060" s="13" t="s">
        <v>969</v>
      </c>
      <c r="E2060" s="15"/>
      <c r="F2060" s="15">
        <f>SUM(F2061:F2063)</f>
        <v>26.714285714285715</v>
      </c>
      <c r="G2060" s="14">
        <f>G2061</f>
        <v>43634</v>
      </c>
      <c r="M2060" s="13"/>
      <c r="N2060" s="13"/>
      <c r="O2060" s="13"/>
      <c r="P2060" s="13"/>
      <c r="Q2060" s="13"/>
      <c r="R2060" s="13"/>
    </row>
    <row r="2061" spans="2:18" x14ac:dyDescent="0.15">
      <c r="C2061" s="2" t="s">
        <v>18</v>
      </c>
      <c r="D2061" s="2" t="s">
        <v>32</v>
      </c>
      <c r="E2061" s="3">
        <v>230</v>
      </c>
      <c r="F2061" s="3">
        <f>110/7</f>
        <v>15.714285714285714</v>
      </c>
      <c r="G2061" s="4">
        <v>43634</v>
      </c>
      <c r="I2061" s="1">
        <v>770</v>
      </c>
      <c r="J2061" s="1">
        <v>770</v>
      </c>
    </row>
    <row r="2062" spans="2:18" x14ac:dyDescent="0.15">
      <c r="C2062" s="2" t="s">
        <v>7</v>
      </c>
      <c r="D2062" s="2" t="s">
        <v>32</v>
      </c>
      <c r="E2062" s="3">
        <v>45</v>
      </c>
      <c r="F2062" s="3">
        <v>6</v>
      </c>
      <c r="G2062" s="4">
        <v>43293</v>
      </c>
      <c r="J2062" s="1">
        <v>770</v>
      </c>
    </row>
    <row r="2063" spans="2:18" x14ac:dyDescent="0.15">
      <c r="C2063" s="2" t="s">
        <v>5</v>
      </c>
      <c r="D2063" s="2" t="s">
        <v>32</v>
      </c>
      <c r="E2063" s="3">
        <v>18</v>
      </c>
      <c r="F2063" s="3">
        <v>5</v>
      </c>
      <c r="G2063" s="4">
        <v>42983</v>
      </c>
      <c r="J2063" s="1">
        <v>770</v>
      </c>
    </row>
    <row r="2064" spans="2:18" x14ac:dyDescent="0.15">
      <c r="G2064" s="4"/>
    </row>
    <row r="2065" spans="2:18" s="12" customFormat="1" x14ac:dyDescent="0.15">
      <c r="B2065" s="12" t="s">
        <v>5459</v>
      </c>
      <c r="C2065" s="13" t="s">
        <v>970</v>
      </c>
      <c r="D2065" s="13" t="s">
        <v>969</v>
      </c>
      <c r="E2065" s="15"/>
      <c r="F2065" s="15">
        <f>SUM(F2066:F2068)</f>
        <v>27</v>
      </c>
      <c r="G2065" s="14">
        <f>G2066</f>
        <v>44307</v>
      </c>
      <c r="M2065" s="13"/>
      <c r="N2065" s="13"/>
      <c r="O2065" s="13"/>
      <c r="P2065" s="13"/>
      <c r="Q2065" s="13"/>
      <c r="R2065" s="13"/>
    </row>
    <row r="2066" spans="2:18" x14ac:dyDescent="0.15">
      <c r="B2066" s="99"/>
      <c r="C2066" s="100" t="s">
        <v>8</v>
      </c>
      <c r="D2066" s="100" t="s">
        <v>5458</v>
      </c>
      <c r="E2066" s="3">
        <v>50</v>
      </c>
      <c r="F2066" s="3">
        <f>30/4</f>
        <v>7.5</v>
      </c>
      <c r="G2066" s="4">
        <v>44307</v>
      </c>
      <c r="I2066" s="1">
        <v>2000</v>
      </c>
      <c r="J2066" s="1">
        <v>2000</v>
      </c>
    </row>
    <row r="2067" spans="2:18" x14ac:dyDescent="0.15">
      <c r="B2067" s="99"/>
      <c r="C2067" s="100" t="s">
        <v>18</v>
      </c>
      <c r="D2067" s="100" t="s">
        <v>5458</v>
      </c>
      <c r="E2067" s="3">
        <v>37</v>
      </c>
      <c r="F2067" s="3">
        <v>14</v>
      </c>
      <c r="G2067" s="4">
        <v>43831</v>
      </c>
      <c r="J2067" s="1">
        <v>2000</v>
      </c>
    </row>
    <row r="2068" spans="2:18" x14ac:dyDescent="0.15">
      <c r="B2068" s="99"/>
      <c r="C2068" s="100" t="s">
        <v>7</v>
      </c>
      <c r="D2068" s="100" t="s">
        <v>5458</v>
      </c>
      <c r="E2068" s="3">
        <v>13.5</v>
      </c>
      <c r="F2068" s="3">
        <v>5.5</v>
      </c>
      <c r="G2068" s="4">
        <v>43320</v>
      </c>
      <c r="J2068" s="1">
        <v>2000</v>
      </c>
    </row>
    <row r="2069" spans="2:18" x14ac:dyDescent="0.15">
      <c r="B2069" s="99"/>
      <c r="C2069" s="100"/>
      <c r="D2069" s="100"/>
      <c r="G2069" s="4"/>
    </row>
    <row r="2070" spans="2:18" x14ac:dyDescent="0.15">
      <c r="B2070" s="12" t="s">
        <v>1046</v>
      </c>
      <c r="C2070" s="13" t="s">
        <v>970</v>
      </c>
      <c r="D2070" s="13" t="s">
        <v>969</v>
      </c>
      <c r="E2070" s="15"/>
      <c r="F2070" s="15">
        <f>SUM(F2071:F2079)</f>
        <v>26.5</v>
      </c>
      <c r="G2070" s="14">
        <f>+G2076</f>
        <v>44398</v>
      </c>
    </row>
    <row r="2071" spans="2:18" x14ac:dyDescent="0.15">
      <c r="B2071" s="273" t="s">
        <v>7704</v>
      </c>
      <c r="C2071" s="2" t="s">
        <v>278</v>
      </c>
      <c r="D2071" s="2" t="s">
        <v>764</v>
      </c>
      <c r="E2071" s="3">
        <v>1</v>
      </c>
      <c r="F2071" s="3">
        <v>0.5</v>
      </c>
      <c r="G2071" s="4">
        <v>44287</v>
      </c>
    </row>
    <row r="2072" spans="2:18" x14ac:dyDescent="0.15">
      <c r="C2072" s="2" t="s">
        <v>5</v>
      </c>
      <c r="D2072" s="2" t="s">
        <v>958</v>
      </c>
      <c r="E2072" s="3">
        <v>8.5</v>
      </c>
      <c r="F2072" s="3">
        <v>1</v>
      </c>
      <c r="G2072" s="4">
        <v>44181</v>
      </c>
    </row>
    <row r="2073" spans="2:18" x14ac:dyDescent="0.15">
      <c r="C2073" s="2" t="s">
        <v>5</v>
      </c>
      <c r="D2073" s="2" t="s">
        <v>696</v>
      </c>
      <c r="E2073" s="3">
        <v>20</v>
      </c>
      <c r="F2073" s="3">
        <f>10/4</f>
        <v>2.5</v>
      </c>
      <c r="G2073" s="4">
        <v>44392</v>
      </c>
    </row>
    <row r="2074" spans="2:18" x14ac:dyDescent="0.15">
      <c r="C2074" s="2" t="s">
        <v>4</v>
      </c>
      <c r="D2074" s="2" t="s">
        <v>664</v>
      </c>
      <c r="E2074" s="3">
        <v>4.5</v>
      </c>
      <c r="F2074" s="3">
        <v>0.5</v>
      </c>
      <c r="G2074" s="4">
        <v>44293</v>
      </c>
    </row>
    <row r="2075" spans="2:18" x14ac:dyDescent="0.15">
      <c r="C2075" s="2" t="s">
        <v>7</v>
      </c>
      <c r="D2075" s="2" t="s">
        <v>600</v>
      </c>
      <c r="E2075" s="3">
        <v>54</v>
      </c>
      <c r="F2075" s="3">
        <f>40/5</f>
        <v>8</v>
      </c>
      <c r="G2075" s="4">
        <v>44089</v>
      </c>
    </row>
    <row r="2076" spans="2:18" x14ac:dyDescent="0.15">
      <c r="C2076" s="2" t="s">
        <v>7</v>
      </c>
      <c r="D2076" s="2" t="s">
        <v>476</v>
      </c>
      <c r="E2076" s="3">
        <v>90</v>
      </c>
      <c r="F2076" s="3">
        <v>6</v>
      </c>
      <c r="G2076" s="4">
        <v>44398</v>
      </c>
    </row>
    <row r="2077" spans="2:18" x14ac:dyDescent="0.15">
      <c r="C2077" s="2" t="s">
        <v>7</v>
      </c>
      <c r="D2077" s="2" t="s">
        <v>526</v>
      </c>
      <c r="E2077" s="3">
        <v>32</v>
      </c>
      <c r="F2077" s="3">
        <v>3</v>
      </c>
      <c r="G2077" s="4">
        <v>44364</v>
      </c>
    </row>
    <row r="2078" spans="2:18" x14ac:dyDescent="0.15">
      <c r="C2078" s="2" t="s">
        <v>5</v>
      </c>
      <c r="D2078" s="2" t="s">
        <v>298</v>
      </c>
      <c r="E2078" s="3">
        <v>15</v>
      </c>
      <c r="F2078" s="3">
        <v>2</v>
      </c>
      <c r="G2078" s="4">
        <v>44314</v>
      </c>
    </row>
    <row r="2079" spans="2:18" x14ac:dyDescent="0.15">
      <c r="C2079" s="2" t="s">
        <v>5</v>
      </c>
      <c r="D2079" s="2" t="s">
        <v>2136</v>
      </c>
      <c r="E2079" s="3">
        <v>20</v>
      </c>
      <c r="F2079" s="3">
        <v>3</v>
      </c>
      <c r="G2079" s="4">
        <v>44044</v>
      </c>
    </row>
    <row r="2081" spans="2:18" s="12" customFormat="1" x14ac:dyDescent="0.15">
      <c r="B2081" s="12" t="s">
        <v>4390</v>
      </c>
      <c r="C2081" s="13" t="s">
        <v>970</v>
      </c>
      <c r="D2081" s="13" t="s">
        <v>969</v>
      </c>
      <c r="E2081" s="15"/>
      <c r="F2081" s="15">
        <f>SUM(F2082:F2083)</f>
        <v>25.9</v>
      </c>
      <c r="G2081" s="14">
        <f>G2083</f>
        <v>39506</v>
      </c>
      <c r="M2081" s="13"/>
      <c r="N2081" s="13"/>
      <c r="O2081" s="13"/>
      <c r="P2081" s="13"/>
      <c r="Q2081" s="13"/>
      <c r="R2081" s="13"/>
    </row>
    <row r="2082" spans="2:18" x14ac:dyDescent="0.15">
      <c r="C2082" s="2" t="s">
        <v>5</v>
      </c>
      <c r="D2082" s="2" t="s">
        <v>3962</v>
      </c>
      <c r="E2082" s="3">
        <v>7.5</v>
      </c>
      <c r="F2082" s="3">
        <v>7.5</v>
      </c>
      <c r="G2082" s="4">
        <v>38919</v>
      </c>
    </row>
    <row r="2083" spans="2:18" x14ac:dyDescent="0.15">
      <c r="C2083" s="2" t="s">
        <v>18</v>
      </c>
      <c r="D2083" s="2" t="s">
        <v>3962</v>
      </c>
      <c r="E2083" s="3">
        <v>36.799999999999997</v>
      </c>
      <c r="F2083" s="3">
        <f>E2083/2</f>
        <v>18.399999999999999</v>
      </c>
      <c r="G2083" s="4">
        <v>39506</v>
      </c>
    </row>
    <row r="2084" spans="2:18" x14ac:dyDescent="0.15">
      <c r="G2084" s="4"/>
    </row>
    <row r="2085" spans="2:18" x14ac:dyDescent="0.15">
      <c r="B2085" s="12" t="s">
        <v>1033</v>
      </c>
      <c r="C2085" s="13" t="s">
        <v>970</v>
      </c>
      <c r="D2085" s="13" t="s">
        <v>969</v>
      </c>
      <c r="F2085" s="15">
        <f>SUM(F2086:F2095)</f>
        <v>25.966666666666669</v>
      </c>
      <c r="G2085" s="14">
        <f>G2091</f>
        <v>45092</v>
      </c>
    </row>
    <row r="2086" spans="2:18" x14ac:dyDescent="0.15">
      <c r="C2086" s="2" t="s">
        <v>7</v>
      </c>
      <c r="D2086" s="2" t="s">
        <v>797</v>
      </c>
      <c r="E2086" s="3">
        <v>50</v>
      </c>
      <c r="F2086" s="3">
        <v>6</v>
      </c>
      <c r="G2086" s="4">
        <v>45036</v>
      </c>
    </row>
    <row r="2087" spans="2:18" x14ac:dyDescent="0.15">
      <c r="C2087" s="2" t="s">
        <v>5</v>
      </c>
      <c r="D2087" s="2" t="s">
        <v>797</v>
      </c>
      <c r="E2087" s="3">
        <v>16.5</v>
      </c>
      <c r="F2087" s="3">
        <v>1</v>
      </c>
      <c r="G2087" s="4">
        <v>44614</v>
      </c>
    </row>
    <row r="2088" spans="2:18" x14ac:dyDescent="0.15">
      <c r="C2088" s="2" t="s">
        <v>4</v>
      </c>
      <c r="D2088" s="2" t="s">
        <v>797</v>
      </c>
      <c r="E2088" s="3">
        <v>1.2</v>
      </c>
      <c r="F2088" s="3">
        <v>0.5</v>
      </c>
      <c r="G2088" s="4">
        <v>44044</v>
      </c>
    </row>
    <row r="2089" spans="2:18" x14ac:dyDescent="0.15">
      <c r="C2089" s="2" t="s">
        <v>7</v>
      </c>
      <c r="D2089" s="2" t="s">
        <v>892</v>
      </c>
      <c r="E2089" s="3">
        <v>40</v>
      </c>
      <c r="F2089" s="3">
        <f>30/6</f>
        <v>5</v>
      </c>
      <c r="G2089" s="4">
        <v>44650</v>
      </c>
    </row>
    <row r="2090" spans="2:18" x14ac:dyDescent="0.15">
      <c r="C2090" s="2" t="s">
        <v>5</v>
      </c>
      <c r="D2090" s="2" t="s">
        <v>892</v>
      </c>
      <c r="E2090" s="3">
        <v>14</v>
      </c>
      <c r="F2090" s="3">
        <f>9/5</f>
        <v>1.8</v>
      </c>
      <c r="G2090" s="4">
        <v>44131</v>
      </c>
    </row>
    <row r="2091" spans="2:18" x14ac:dyDescent="0.15">
      <c r="C2091" s="2" t="s">
        <v>4</v>
      </c>
      <c r="D2091" s="2" t="s">
        <v>710</v>
      </c>
      <c r="E2091" s="3">
        <v>5.5</v>
      </c>
      <c r="F2091" s="3">
        <v>1</v>
      </c>
      <c r="G2091" s="4">
        <v>45092</v>
      </c>
    </row>
    <row r="2092" spans="2:18" x14ac:dyDescent="0.15">
      <c r="C2092" s="2" t="s">
        <v>4</v>
      </c>
      <c r="D2092" s="2" t="s">
        <v>653</v>
      </c>
      <c r="E2092" s="3">
        <v>12</v>
      </c>
      <c r="F2092" s="3">
        <v>2</v>
      </c>
      <c r="G2092" s="4">
        <v>44971</v>
      </c>
    </row>
    <row r="2093" spans="2:18" x14ac:dyDescent="0.15">
      <c r="C2093" s="2" t="s">
        <v>4</v>
      </c>
      <c r="D2093" s="2" t="s">
        <v>653</v>
      </c>
      <c r="E2093" s="3">
        <v>5</v>
      </c>
      <c r="F2093" s="3">
        <v>2</v>
      </c>
      <c r="G2093" s="4">
        <v>44769</v>
      </c>
    </row>
    <row r="2094" spans="2:18" x14ac:dyDescent="0.15">
      <c r="C2094" s="62" t="s">
        <v>18</v>
      </c>
      <c r="D2094" s="62" t="s">
        <v>5044</v>
      </c>
      <c r="E2094" s="3">
        <v>27</v>
      </c>
      <c r="F2094" s="3">
        <f>17/3</f>
        <v>5.666666666666667</v>
      </c>
      <c r="G2094" s="4">
        <v>42851</v>
      </c>
    </row>
    <row r="2095" spans="2:18" x14ac:dyDescent="0.15">
      <c r="C2095" s="62" t="s">
        <v>5</v>
      </c>
      <c r="D2095" s="62" t="s">
        <v>5044</v>
      </c>
      <c r="E2095" s="3">
        <v>3</v>
      </c>
      <c r="F2095" s="3">
        <v>1</v>
      </c>
      <c r="G2095" s="4">
        <v>42220</v>
      </c>
    </row>
    <row r="2096" spans="2:18" x14ac:dyDescent="0.15">
      <c r="G2096" s="4"/>
    </row>
    <row r="2097" spans="2:18" s="12" customFormat="1" x14ac:dyDescent="0.15">
      <c r="B2097" s="12" t="s">
        <v>1040</v>
      </c>
      <c r="C2097" s="13" t="s">
        <v>970</v>
      </c>
      <c r="D2097" s="13" t="s">
        <v>969</v>
      </c>
      <c r="E2097" s="15"/>
      <c r="F2097" s="15">
        <f>SUM(F2098:F2102)</f>
        <v>25.83</v>
      </c>
      <c r="G2097" s="14">
        <f>G2099</f>
        <v>44419</v>
      </c>
      <c r="M2097" s="13"/>
      <c r="N2097" s="13"/>
      <c r="O2097" s="13"/>
      <c r="P2097" s="13"/>
      <c r="Q2097" s="13"/>
      <c r="R2097" s="13"/>
    </row>
    <row r="2098" spans="2:18" x14ac:dyDescent="0.15">
      <c r="C2098" s="2" t="s">
        <v>5</v>
      </c>
      <c r="D2098" s="2" t="s">
        <v>963</v>
      </c>
      <c r="E2098" s="3">
        <v>5</v>
      </c>
      <c r="F2098" s="3">
        <v>1</v>
      </c>
      <c r="G2098" s="4">
        <v>43251</v>
      </c>
    </row>
    <row r="2099" spans="2:18" x14ac:dyDescent="0.15">
      <c r="C2099" s="2" t="s">
        <v>8</v>
      </c>
      <c r="D2099" s="2" t="s">
        <v>521</v>
      </c>
      <c r="E2099" s="3">
        <v>100</v>
      </c>
      <c r="F2099" s="3">
        <f>50/4</f>
        <v>12.5</v>
      </c>
      <c r="G2099" s="4">
        <v>44419</v>
      </c>
    </row>
    <row r="2100" spans="2:18" x14ac:dyDescent="0.15">
      <c r="C2100" s="2" t="s">
        <v>7</v>
      </c>
      <c r="D2100" s="2" t="s">
        <v>476</v>
      </c>
      <c r="E2100" s="3">
        <v>90</v>
      </c>
      <c r="F2100" s="3">
        <v>6</v>
      </c>
      <c r="G2100" s="4">
        <v>44398</v>
      </c>
    </row>
    <row r="2101" spans="2:18" x14ac:dyDescent="0.15">
      <c r="C2101" s="2" t="s">
        <v>5</v>
      </c>
      <c r="D2101" s="2" t="s">
        <v>476</v>
      </c>
      <c r="E2101" s="3">
        <v>22.8</v>
      </c>
      <c r="F2101" s="3">
        <v>3.33</v>
      </c>
      <c r="G2101" s="4">
        <v>43160</v>
      </c>
    </row>
    <row r="2102" spans="2:18" x14ac:dyDescent="0.15">
      <c r="C2102" s="149" t="s">
        <v>5</v>
      </c>
      <c r="D2102" s="149" t="s">
        <v>6354</v>
      </c>
      <c r="E2102" s="3">
        <v>25</v>
      </c>
      <c r="F2102" s="3">
        <v>3</v>
      </c>
      <c r="G2102" s="4">
        <v>44594</v>
      </c>
    </row>
    <row r="2103" spans="2:18" x14ac:dyDescent="0.15">
      <c r="G2103" s="4"/>
    </row>
    <row r="2104" spans="2:18" s="12" customFormat="1" x14ac:dyDescent="0.15">
      <c r="B2104" s="12" t="s">
        <v>619</v>
      </c>
      <c r="C2104" s="13" t="s">
        <v>970</v>
      </c>
      <c r="D2104" s="13" t="s">
        <v>969</v>
      </c>
      <c r="E2104" s="15"/>
      <c r="F2104" s="15">
        <f>SUM(F2105:F2106)</f>
        <v>26</v>
      </c>
      <c r="G2104" s="14">
        <f>G2105</f>
        <v>44215</v>
      </c>
    </row>
    <row r="2105" spans="2:18" x14ac:dyDescent="0.15">
      <c r="C2105" s="2" t="s">
        <v>9</v>
      </c>
      <c r="D2105" s="2" t="s">
        <v>607</v>
      </c>
      <c r="E2105" s="3">
        <v>132</v>
      </c>
      <c r="F2105" s="3">
        <v>20</v>
      </c>
      <c r="G2105" s="4">
        <v>44215</v>
      </c>
      <c r="M2105" s="1"/>
      <c r="N2105" s="1"/>
      <c r="O2105" s="1"/>
      <c r="P2105" s="1"/>
      <c r="Q2105" s="1"/>
      <c r="R2105" s="1"/>
    </row>
    <row r="2106" spans="2:18" x14ac:dyDescent="0.15">
      <c r="C2106" s="2" t="s">
        <v>8</v>
      </c>
      <c r="D2106" s="2" t="s">
        <v>607</v>
      </c>
      <c r="E2106" s="3">
        <v>42</v>
      </c>
      <c r="F2106" s="3">
        <f>30/5</f>
        <v>6</v>
      </c>
      <c r="G2106" s="4">
        <v>44153</v>
      </c>
      <c r="M2106" s="1"/>
      <c r="N2106" s="1"/>
      <c r="O2106" s="1"/>
      <c r="P2106" s="1"/>
      <c r="Q2106" s="1"/>
      <c r="R2106" s="1"/>
    </row>
    <row r="2107" spans="2:18" x14ac:dyDescent="0.15">
      <c r="G2107" s="4"/>
      <c r="M2107" s="1"/>
      <c r="N2107" s="1"/>
      <c r="O2107" s="1"/>
      <c r="P2107" s="1"/>
      <c r="Q2107" s="1"/>
      <c r="R2107" s="1"/>
    </row>
    <row r="2108" spans="2:18" s="12" customFormat="1" x14ac:dyDescent="0.15">
      <c r="B2108" s="12" t="s">
        <v>5704</v>
      </c>
      <c r="C2108" s="13" t="s">
        <v>970</v>
      </c>
      <c r="D2108" s="13" t="s">
        <v>969</v>
      </c>
      <c r="E2108" s="15"/>
      <c r="F2108" s="15">
        <f>SUM(F2109:F2111)</f>
        <v>25</v>
      </c>
      <c r="G2108" s="14">
        <f>G2109</f>
        <v>44627</v>
      </c>
      <c r="M2108" s="13"/>
      <c r="N2108" s="13"/>
      <c r="O2108" s="13"/>
      <c r="P2108" s="13"/>
      <c r="Q2108" s="13"/>
      <c r="R2108" s="13"/>
    </row>
    <row r="2109" spans="2:18" x14ac:dyDescent="0.15">
      <c r="B2109" s="99"/>
      <c r="C2109" s="100" t="s">
        <v>18</v>
      </c>
      <c r="D2109" s="100" t="s">
        <v>5700</v>
      </c>
      <c r="E2109" s="3">
        <v>75</v>
      </c>
      <c r="F2109" s="3">
        <f>25/2</f>
        <v>12.5</v>
      </c>
      <c r="G2109" s="4">
        <v>44627</v>
      </c>
    </row>
    <row r="2110" spans="2:18" x14ac:dyDescent="0.15">
      <c r="C2110" s="100" t="s">
        <v>7</v>
      </c>
      <c r="D2110" s="100" t="s">
        <v>5700</v>
      </c>
      <c r="E2110" s="3">
        <v>30</v>
      </c>
      <c r="F2110" s="3">
        <v>7.5</v>
      </c>
      <c r="G2110" s="4">
        <v>44222</v>
      </c>
    </row>
    <row r="2111" spans="2:18" x14ac:dyDescent="0.15">
      <c r="C2111" s="100" t="s">
        <v>5</v>
      </c>
      <c r="D2111" s="100" t="s">
        <v>5700</v>
      </c>
      <c r="E2111" s="3">
        <v>10</v>
      </c>
      <c r="F2111" s="3">
        <v>5</v>
      </c>
      <c r="G2111" s="4">
        <v>43559</v>
      </c>
    </row>
    <row r="2112" spans="2:18" x14ac:dyDescent="0.15">
      <c r="C2112" s="100"/>
      <c r="D2112" s="100"/>
      <c r="G2112" s="4"/>
    </row>
    <row r="2113" spans="2:18" s="12" customFormat="1" x14ac:dyDescent="0.15">
      <c r="B2113" s="12" t="s">
        <v>629</v>
      </c>
      <c r="C2113" s="13" t="s">
        <v>970</v>
      </c>
      <c r="D2113" s="13" t="s">
        <v>969</v>
      </c>
      <c r="E2113" s="15"/>
      <c r="F2113" s="15">
        <f>SUM(F2114:F2117)</f>
        <v>25</v>
      </c>
      <c r="G2113" s="14">
        <f>G2114</f>
        <v>44930</v>
      </c>
    </row>
    <row r="2114" spans="2:18" x14ac:dyDescent="0.15">
      <c r="C2114" s="2" t="s">
        <v>5</v>
      </c>
      <c r="D2114" s="2" t="s">
        <v>625</v>
      </c>
      <c r="E2114" s="3">
        <v>10</v>
      </c>
      <c r="F2114" s="3">
        <v>4</v>
      </c>
      <c r="G2114" s="4">
        <v>44930</v>
      </c>
      <c r="M2114" s="1"/>
      <c r="N2114" s="1"/>
      <c r="O2114" s="1"/>
      <c r="P2114" s="1"/>
      <c r="Q2114" s="1"/>
      <c r="R2114" s="1"/>
    </row>
    <row r="2115" spans="2:18" x14ac:dyDescent="0.15">
      <c r="C2115" s="2" t="s">
        <v>7</v>
      </c>
      <c r="D2115" s="2" t="s">
        <v>2136</v>
      </c>
      <c r="E2115" s="3">
        <v>176</v>
      </c>
      <c r="F2115" s="3">
        <v>13</v>
      </c>
      <c r="G2115" s="4">
        <v>44578</v>
      </c>
      <c r="M2115" s="1"/>
      <c r="N2115" s="1"/>
      <c r="O2115" s="1"/>
      <c r="P2115" s="1"/>
      <c r="Q2115" s="1"/>
      <c r="R2115" s="1"/>
    </row>
    <row r="2116" spans="2:18" x14ac:dyDescent="0.15">
      <c r="C2116" s="2" t="s">
        <v>5</v>
      </c>
      <c r="D2116" s="2" t="s">
        <v>2136</v>
      </c>
      <c r="E2116" s="3">
        <v>20</v>
      </c>
      <c r="F2116" s="3">
        <v>5</v>
      </c>
      <c r="G2116" s="4">
        <v>44044</v>
      </c>
      <c r="M2116" s="1"/>
      <c r="N2116" s="1"/>
      <c r="O2116" s="1"/>
      <c r="P2116" s="1"/>
      <c r="Q2116" s="1"/>
      <c r="R2116" s="1"/>
    </row>
    <row r="2117" spans="2:18" x14ac:dyDescent="0.15">
      <c r="C2117" s="2" t="s">
        <v>5</v>
      </c>
      <c r="D2117" s="2" t="s">
        <v>2136</v>
      </c>
      <c r="E2117" s="3">
        <v>20</v>
      </c>
      <c r="F2117" s="3">
        <v>3</v>
      </c>
      <c r="G2117" s="4">
        <v>43647</v>
      </c>
      <c r="M2117" s="1"/>
      <c r="N2117" s="1"/>
      <c r="O2117" s="1"/>
      <c r="P2117" s="1"/>
      <c r="Q2117" s="1"/>
      <c r="R2117" s="1"/>
    </row>
    <row r="2118" spans="2:18" x14ac:dyDescent="0.15">
      <c r="G2118" s="4"/>
      <c r="M2118" s="1"/>
      <c r="N2118" s="1"/>
      <c r="O2118" s="1"/>
      <c r="P2118" s="1"/>
      <c r="Q2118" s="1"/>
      <c r="R2118" s="1"/>
    </row>
    <row r="2119" spans="2:18" s="12" customFormat="1" x14ac:dyDescent="0.15">
      <c r="B2119" s="12" t="s">
        <v>393</v>
      </c>
      <c r="C2119" s="13" t="s">
        <v>970</v>
      </c>
      <c r="D2119" s="13" t="s">
        <v>969</v>
      </c>
      <c r="E2119" s="15"/>
      <c r="F2119" s="15">
        <f>SUM(F2120:F2122)</f>
        <v>24.5</v>
      </c>
      <c r="G2119" s="14">
        <f>G2120</f>
        <v>44286</v>
      </c>
    </row>
    <row r="2120" spans="2:18" x14ac:dyDescent="0.15">
      <c r="C2120" s="2" t="s">
        <v>8</v>
      </c>
      <c r="D2120" s="2" t="s">
        <v>386</v>
      </c>
      <c r="E2120" s="3">
        <v>140</v>
      </c>
      <c r="F2120" s="3">
        <v>10</v>
      </c>
      <c r="G2120" s="4">
        <v>44286</v>
      </c>
      <c r="M2120" s="1"/>
      <c r="N2120" s="1"/>
      <c r="O2120" s="1"/>
      <c r="P2120" s="1"/>
      <c r="Q2120" s="1"/>
      <c r="R2120" s="1"/>
    </row>
    <row r="2121" spans="2:18" x14ac:dyDescent="0.15">
      <c r="C2121" s="2" t="s">
        <v>18</v>
      </c>
      <c r="D2121" s="2" t="s">
        <v>386</v>
      </c>
      <c r="E2121" s="3">
        <v>110</v>
      </c>
      <c r="F2121" s="3">
        <v>10</v>
      </c>
      <c r="G2121" s="4">
        <v>43690</v>
      </c>
      <c r="M2121" s="1"/>
      <c r="N2121" s="1"/>
      <c r="O2121" s="1"/>
      <c r="P2121" s="1"/>
      <c r="Q2121" s="1"/>
      <c r="R2121" s="1"/>
    </row>
    <row r="2122" spans="2:18" x14ac:dyDescent="0.15">
      <c r="C2122" s="2" t="s">
        <v>5</v>
      </c>
      <c r="D2122" s="2" t="s">
        <v>386</v>
      </c>
      <c r="E2122" s="3">
        <v>5.5</v>
      </c>
      <c r="F2122" s="3">
        <v>4.5</v>
      </c>
      <c r="G2122" s="4">
        <v>42156</v>
      </c>
      <c r="M2122" s="1"/>
      <c r="N2122" s="1"/>
      <c r="O2122" s="1"/>
      <c r="P2122" s="1"/>
      <c r="Q2122" s="1"/>
      <c r="R2122" s="1"/>
    </row>
    <row r="2123" spans="2:18" x14ac:dyDescent="0.15">
      <c r="G2123" s="4"/>
      <c r="M2123" s="1"/>
      <c r="N2123" s="1"/>
      <c r="O2123" s="1"/>
      <c r="P2123" s="1"/>
      <c r="Q2123" s="1"/>
      <c r="R2123" s="1"/>
    </row>
    <row r="2124" spans="2:18" s="12" customFormat="1" x14ac:dyDescent="0.15">
      <c r="B2124" s="12" t="s">
        <v>893</v>
      </c>
      <c r="C2124" s="13" t="s">
        <v>970</v>
      </c>
      <c r="D2124" s="13" t="s">
        <v>969</v>
      </c>
      <c r="E2124" s="15"/>
      <c r="F2124" s="15">
        <f>SUM(F2125:F2126)</f>
        <v>25</v>
      </c>
      <c r="G2124" s="14">
        <f>G2125</f>
        <v>44650</v>
      </c>
      <c r="M2124" s="13"/>
      <c r="N2124" s="13"/>
      <c r="O2124" s="13"/>
      <c r="P2124" s="13"/>
      <c r="Q2124" s="13"/>
      <c r="R2124" s="13"/>
    </row>
    <row r="2125" spans="2:18" x14ac:dyDescent="0.15">
      <c r="C2125" s="2" t="s">
        <v>7</v>
      </c>
      <c r="D2125" s="2" t="s">
        <v>892</v>
      </c>
      <c r="E2125" s="3">
        <v>40</v>
      </c>
      <c r="F2125" s="3">
        <v>5</v>
      </c>
      <c r="G2125" s="4">
        <v>44650</v>
      </c>
    </row>
    <row r="2126" spans="2:18" x14ac:dyDescent="0.15">
      <c r="C2126" s="2" t="s">
        <v>8</v>
      </c>
      <c r="D2126" s="2" t="s">
        <v>2141</v>
      </c>
      <c r="E2126" s="3">
        <v>200</v>
      </c>
      <c r="F2126" s="3">
        <v>20</v>
      </c>
      <c r="G2126" s="4">
        <v>44237</v>
      </c>
    </row>
    <row r="2127" spans="2:18" x14ac:dyDescent="0.15">
      <c r="G2127" s="4"/>
    </row>
    <row r="2128" spans="2:18" s="12" customFormat="1" x14ac:dyDescent="0.15">
      <c r="B2128" s="12" t="s">
        <v>1003</v>
      </c>
      <c r="C2128" s="13" t="s">
        <v>970</v>
      </c>
      <c r="D2128" s="13" t="s">
        <v>969</v>
      </c>
      <c r="E2128" s="15"/>
      <c r="F2128" s="15">
        <f>SUM(F2129:F2132)</f>
        <v>24.885714285714286</v>
      </c>
      <c r="G2128" s="14">
        <f>G2129</f>
        <v>44650</v>
      </c>
      <c r="M2128" s="13"/>
      <c r="N2128" s="13"/>
      <c r="O2128" s="13"/>
      <c r="P2128" s="13"/>
      <c r="Q2128" s="13"/>
      <c r="R2128" s="13"/>
    </row>
    <row r="2129" spans="2:18" x14ac:dyDescent="0.15">
      <c r="C2129" s="2" t="s">
        <v>7</v>
      </c>
      <c r="D2129" s="2" t="s">
        <v>892</v>
      </c>
      <c r="E2129" s="3">
        <v>40</v>
      </c>
      <c r="F2129" s="3">
        <v>5</v>
      </c>
      <c r="G2129" s="4">
        <v>44650</v>
      </c>
    </row>
    <row r="2130" spans="2:18" x14ac:dyDescent="0.15">
      <c r="C2130" s="2" t="s">
        <v>5</v>
      </c>
      <c r="D2130" s="2" t="s">
        <v>892</v>
      </c>
      <c r="E2130" s="3">
        <v>14</v>
      </c>
      <c r="F2130" s="3">
        <f>9/5</f>
        <v>1.8</v>
      </c>
      <c r="G2130" s="4">
        <v>44131</v>
      </c>
    </row>
    <row r="2131" spans="2:18" x14ac:dyDescent="0.15">
      <c r="C2131" s="2" t="s">
        <v>5</v>
      </c>
      <c r="D2131" s="2" t="s">
        <v>872</v>
      </c>
      <c r="E2131" s="3">
        <v>21.4</v>
      </c>
      <c r="F2131" s="3">
        <f>11.4/3</f>
        <v>3.8000000000000003</v>
      </c>
      <c r="G2131" s="4">
        <v>44232</v>
      </c>
    </row>
    <row r="2132" spans="2:18" x14ac:dyDescent="0.15">
      <c r="C2132" s="59" t="s">
        <v>18</v>
      </c>
      <c r="D2132" s="59" t="s">
        <v>2124</v>
      </c>
      <c r="E2132" s="3">
        <v>300</v>
      </c>
      <c r="F2132" s="3">
        <f>200/14</f>
        <v>14.285714285714286</v>
      </c>
      <c r="G2132" s="4">
        <v>44300</v>
      </c>
    </row>
    <row r="2133" spans="2:18" x14ac:dyDescent="0.15">
      <c r="G2133" s="4"/>
    </row>
    <row r="2134" spans="2:18" s="12" customFormat="1" x14ac:dyDescent="0.15">
      <c r="B2134" s="12" t="s">
        <v>807</v>
      </c>
      <c r="C2134" s="13" t="s">
        <v>970</v>
      </c>
      <c r="D2134" s="13" t="s">
        <v>969</v>
      </c>
      <c r="E2134" s="15"/>
      <c r="F2134" s="15">
        <f>SUM(F2135:F2136)</f>
        <v>23.6</v>
      </c>
      <c r="G2134" s="14">
        <f>G2135</f>
        <v>44623</v>
      </c>
      <c r="M2134" s="13"/>
      <c r="N2134" s="13"/>
      <c r="O2134" s="13"/>
      <c r="P2134" s="13"/>
      <c r="Q2134" s="13"/>
      <c r="R2134" s="13"/>
    </row>
    <row r="2135" spans="2:18" x14ac:dyDescent="0.15">
      <c r="C2135" s="2" t="s">
        <v>4</v>
      </c>
      <c r="D2135" s="2" t="s">
        <v>702</v>
      </c>
      <c r="E2135" s="3">
        <v>12.5</v>
      </c>
      <c r="F2135" s="3">
        <f>8/5</f>
        <v>1.6</v>
      </c>
      <c r="G2135" s="4">
        <v>44623</v>
      </c>
    </row>
    <row r="2136" spans="2:18" x14ac:dyDescent="0.15">
      <c r="C2136" s="2" t="s">
        <v>8</v>
      </c>
      <c r="D2136" s="2" t="s">
        <v>39</v>
      </c>
      <c r="E2136" s="3">
        <v>170</v>
      </c>
      <c r="F2136" s="3">
        <f>110/5</f>
        <v>22</v>
      </c>
      <c r="G2136" s="4">
        <v>44255</v>
      </c>
      <c r="I2136" s="1">
        <v>830</v>
      </c>
      <c r="J2136" s="1">
        <v>2000</v>
      </c>
    </row>
    <row r="2137" spans="2:18" x14ac:dyDescent="0.15">
      <c r="G2137" s="4"/>
    </row>
    <row r="2138" spans="2:18" s="12" customFormat="1" x14ac:dyDescent="0.15">
      <c r="B2138" s="12" t="s">
        <v>663</v>
      </c>
      <c r="C2138" s="13" t="s">
        <v>970</v>
      </c>
      <c r="D2138" s="13" t="s">
        <v>969</v>
      </c>
      <c r="E2138" s="15"/>
      <c r="F2138" s="15">
        <f>SUM(F2139:F2144)</f>
        <v>24.15</v>
      </c>
      <c r="G2138" s="14">
        <f>G2139</f>
        <v>44896</v>
      </c>
    </row>
    <row r="2139" spans="2:18" x14ac:dyDescent="0.15">
      <c r="C2139" s="2" t="s">
        <v>4</v>
      </c>
      <c r="D2139" s="2" t="s">
        <v>662</v>
      </c>
      <c r="E2139" s="3">
        <v>13</v>
      </c>
      <c r="F2139" s="3">
        <f>7/2</f>
        <v>3.5</v>
      </c>
      <c r="G2139" s="4">
        <v>44896</v>
      </c>
      <c r="M2139" s="1"/>
      <c r="N2139" s="1"/>
      <c r="O2139" s="1"/>
      <c r="P2139" s="1"/>
      <c r="Q2139" s="1"/>
      <c r="R2139" s="1"/>
    </row>
    <row r="2140" spans="2:18" x14ac:dyDescent="0.15">
      <c r="C2140" s="2" t="s">
        <v>18</v>
      </c>
      <c r="D2140" s="2" t="s">
        <v>607</v>
      </c>
      <c r="E2140" s="3">
        <v>48</v>
      </c>
      <c r="F2140" s="3">
        <v>10</v>
      </c>
      <c r="G2140" s="4">
        <v>43888</v>
      </c>
      <c r="M2140" s="1"/>
      <c r="N2140" s="1"/>
      <c r="O2140" s="1"/>
      <c r="P2140" s="1"/>
      <c r="Q2140" s="1"/>
      <c r="R2140" s="1"/>
    </row>
    <row r="2141" spans="2:18" x14ac:dyDescent="0.15">
      <c r="C2141" s="2" t="s">
        <v>7</v>
      </c>
      <c r="D2141" s="2" t="s">
        <v>607</v>
      </c>
      <c r="E2141" s="3">
        <v>25</v>
      </c>
      <c r="F2141" s="3">
        <v>5</v>
      </c>
      <c r="G2141" s="4">
        <v>43440</v>
      </c>
      <c r="M2141" s="1"/>
      <c r="N2141" s="1"/>
      <c r="O2141" s="1"/>
      <c r="P2141" s="1"/>
      <c r="Q2141" s="1"/>
      <c r="R2141" s="1"/>
    </row>
    <row r="2142" spans="2:18" x14ac:dyDescent="0.15">
      <c r="C2142" s="2" t="s">
        <v>5</v>
      </c>
      <c r="D2142" s="2" t="s">
        <v>607</v>
      </c>
      <c r="E2142" s="3">
        <v>5.8</v>
      </c>
      <c r="F2142" s="3">
        <f>E2142/4</f>
        <v>1.45</v>
      </c>
      <c r="G2142" s="4">
        <v>43117</v>
      </c>
      <c r="M2142" s="1"/>
      <c r="N2142" s="1"/>
      <c r="O2142" s="1"/>
      <c r="P2142" s="1"/>
      <c r="Q2142" s="1"/>
      <c r="R2142" s="1"/>
    </row>
    <row r="2143" spans="2:18" x14ac:dyDescent="0.15">
      <c r="C2143" s="2" t="s">
        <v>4</v>
      </c>
      <c r="D2143" s="2" t="s">
        <v>607</v>
      </c>
      <c r="E2143" s="3">
        <v>3.2</v>
      </c>
      <c r="F2143" s="3">
        <v>3.2</v>
      </c>
      <c r="G2143" s="4">
        <v>42887</v>
      </c>
      <c r="M2143" s="1"/>
      <c r="N2143" s="1"/>
      <c r="O2143" s="1"/>
      <c r="P2143" s="1"/>
      <c r="Q2143" s="1"/>
      <c r="R2143" s="1"/>
    </row>
    <row r="2144" spans="2:18" x14ac:dyDescent="0.15">
      <c r="C2144" s="2" t="s">
        <v>4</v>
      </c>
      <c r="D2144" s="2" t="s">
        <v>607</v>
      </c>
      <c r="E2144" s="3">
        <v>3.3</v>
      </c>
      <c r="F2144" s="3">
        <v>1</v>
      </c>
      <c r="G2144" s="4">
        <v>42678</v>
      </c>
      <c r="M2144" s="1"/>
      <c r="N2144" s="1"/>
      <c r="O2144" s="1"/>
      <c r="P2144" s="1"/>
      <c r="Q2144" s="1"/>
      <c r="R2144" s="1"/>
    </row>
    <row r="2145" spans="2:18" x14ac:dyDescent="0.15">
      <c r="G2145" s="4"/>
      <c r="M2145" s="1"/>
      <c r="N2145" s="1"/>
      <c r="O2145" s="1"/>
      <c r="P2145" s="1"/>
      <c r="Q2145" s="1"/>
      <c r="R2145" s="1"/>
    </row>
    <row r="2146" spans="2:18" s="12" customFormat="1" x14ac:dyDescent="0.15">
      <c r="B2146" s="12" t="s">
        <v>109</v>
      </c>
      <c r="C2146" s="13" t="s">
        <v>970</v>
      </c>
      <c r="D2146" s="13" t="s">
        <v>969</v>
      </c>
      <c r="E2146" s="15"/>
      <c r="F2146" s="15">
        <f>SUM(F2147:F2148)</f>
        <v>24</v>
      </c>
      <c r="G2146" s="14">
        <f>G2147</f>
        <v>43783</v>
      </c>
      <c r="M2146" s="13"/>
      <c r="N2146" s="13"/>
      <c r="O2146" s="13"/>
      <c r="P2146" s="13"/>
      <c r="Q2146" s="13"/>
      <c r="R2146" s="13"/>
    </row>
    <row r="2147" spans="2:18" x14ac:dyDescent="0.15">
      <c r="C2147" s="2" t="s">
        <v>7</v>
      </c>
      <c r="D2147" s="2" t="s">
        <v>108</v>
      </c>
      <c r="E2147" s="3">
        <v>37</v>
      </c>
      <c r="F2147" s="3">
        <v>12</v>
      </c>
      <c r="G2147" s="4">
        <v>43783</v>
      </c>
      <c r="I2147" s="1">
        <v>113</v>
      </c>
    </row>
    <row r="2148" spans="2:18" x14ac:dyDescent="0.15">
      <c r="C2148" s="2" t="s">
        <v>5</v>
      </c>
      <c r="D2148" s="2" t="s">
        <v>57</v>
      </c>
      <c r="E2148" s="3">
        <v>29.5</v>
      </c>
      <c r="F2148" s="3">
        <v>12</v>
      </c>
      <c r="G2148" s="4">
        <v>43410</v>
      </c>
    </row>
    <row r="2149" spans="2:18" x14ac:dyDescent="0.15">
      <c r="G2149" s="4"/>
    </row>
    <row r="2150" spans="2:18" x14ac:dyDescent="0.15">
      <c r="B2150" s="12" t="s">
        <v>1037</v>
      </c>
      <c r="C2150" s="13" t="s">
        <v>970</v>
      </c>
      <c r="D2150" s="13" t="s">
        <v>969</v>
      </c>
      <c r="E2150" s="15"/>
      <c r="F2150" s="15">
        <f>SUM(F2151:F2158)</f>
        <v>24.3</v>
      </c>
      <c r="G2150" s="14">
        <f>G2154</f>
        <v>45090</v>
      </c>
    </row>
    <row r="2151" spans="2:18" x14ac:dyDescent="0.15">
      <c r="B2151" s="273" t="s">
        <v>7704</v>
      </c>
      <c r="C2151" s="2" t="s">
        <v>7</v>
      </c>
      <c r="D2151" s="2" t="s">
        <v>895</v>
      </c>
      <c r="E2151" s="3">
        <v>40</v>
      </c>
      <c r="F2151" s="3">
        <v>5</v>
      </c>
      <c r="G2151" s="4">
        <v>44728</v>
      </c>
    </row>
    <row r="2152" spans="2:18" x14ac:dyDescent="0.15">
      <c r="C2152" s="2" t="s">
        <v>5</v>
      </c>
      <c r="D2152" s="2" t="s">
        <v>895</v>
      </c>
      <c r="E2152" s="3">
        <v>18.600000000000001</v>
      </c>
      <c r="F2152" s="3">
        <f>8.6/2</f>
        <v>4.3</v>
      </c>
      <c r="G2152" s="4">
        <v>44112</v>
      </c>
    </row>
    <row r="2153" spans="2:18" x14ac:dyDescent="0.15">
      <c r="C2153" s="2" t="s">
        <v>4</v>
      </c>
      <c r="D2153" s="2" t="s">
        <v>731</v>
      </c>
      <c r="E2153" s="3">
        <v>1.5</v>
      </c>
      <c r="F2153" s="3">
        <v>0.5</v>
      </c>
      <c r="G2153" s="4">
        <v>43979</v>
      </c>
    </row>
    <row r="2154" spans="2:18" x14ac:dyDescent="0.15">
      <c r="C2154" s="2" t="s">
        <v>4</v>
      </c>
      <c r="D2154" s="2" t="s">
        <v>706</v>
      </c>
      <c r="E2154" s="3">
        <v>113</v>
      </c>
      <c r="F2154" s="3">
        <v>8</v>
      </c>
      <c r="G2154" s="4">
        <v>45090</v>
      </c>
    </row>
    <row r="2155" spans="2:18" x14ac:dyDescent="0.15">
      <c r="C2155" s="2" t="s">
        <v>5</v>
      </c>
      <c r="D2155" s="2" t="s">
        <v>585</v>
      </c>
      <c r="E2155" s="3">
        <v>20</v>
      </c>
      <c r="F2155" s="3">
        <f>15/6</f>
        <v>2.5</v>
      </c>
      <c r="G2155" s="4">
        <v>44801</v>
      </c>
    </row>
    <row r="2156" spans="2:18" x14ac:dyDescent="0.15">
      <c r="C2156" s="2" t="s">
        <v>4</v>
      </c>
      <c r="D2156" s="2" t="s">
        <v>1036</v>
      </c>
      <c r="E2156" s="3">
        <v>2</v>
      </c>
      <c r="F2156" s="3">
        <v>0.5</v>
      </c>
      <c r="G2156" s="4">
        <v>43876</v>
      </c>
    </row>
    <row r="2157" spans="2:18" x14ac:dyDescent="0.15">
      <c r="C2157" s="2" t="s">
        <v>5</v>
      </c>
      <c r="D2157" s="2" t="s">
        <v>2136</v>
      </c>
      <c r="E2157" s="3">
        <v>20</v>
      </c>
      <c r="F2157" s="3">
        <v>3</v>
      </c>
      <c r="G2157" s="4">
        <v>43647</v>
      </c>
    </row>
    <row r="2158" spans="2:18" x14ac:dyDescent="0.15">
      <c r="C2158" s="2" t="s">
        <v>4</v>
      </c>
      <c r="D2158" s="2" t="s">
        <v>2136</v>
      </c>
      <c r="E2158" s="3">
        <v>3</v>
      </c>
      <c r="F2158" s="3">
        <v>0.5</v>
      </c>
      <c r="G2158" s="4">
        <v>42979</v>
      </c>
    </row>
    <row r="2159" spans="2:18" x14ac:dyDescent="0.15">
      <c r="G2159" s="4"/>
    </row>
    <row r="2160" spans="2:18" s="12" customFormat="1" x14ac:dyDescent="0.15">
      <c r="B2160" s="12" t="s">
        <v>654</v>
      </c>
      <c r="C2160" s="13" t="s">
        <v>970</v>
      </c>
      <c r="D2160" s="13" t="s">
        <v>969</v>
      </c>
      <c r="E2160" s="15"/>
      <c r="F2160" s="15">
        <f>SUM(F2161:F2165)</f>
        <v>24.3</v>
      </c>
      <c r="G2160" s="14">
        <f>G2161</f>
        <v>44971</v>
      </c>
    </row>
    <row r="2161" spans="2:18" x14ac:dyDescent="0.15">
      <c r="B2161" s="274" t="s">
        <v>7703</v>
      </c>
      <c r="C2161" s="2" t="s">
        <v>4</v>
      </c>
      <c r="D2161" s="2" t="s">
        <v>653</v>
      </c>
      <c r="E2161" s="3">
        <v>12</v>
      </c>
      <c r="F2161" s="3">
        <v>2</v>
      </c>
      <c r="G2161" s="4">
        <v>44971</v>
      </c>
      <c r="M2161" s="1"/>
      <c r="N2161" s="1"/>
      <c r="O2161" s="1"/>
      <c r="P2161" s="1"/>
      <c r="Q2161" s="1"/>
      <c r="R2161" s="1"/>
    </row>
    <row r="2162" spans="2:18" x14ac:dyDescent="0.15">
      <c r="C2162" s="2" t="s">
        <v>4</v>
      </c>
      <c r="D2162" s="2" t="s">
        <v>653</v>
      </c>
      <c r="E2162" s="3">
        <v>5</v>
      </c>
      <c r="F2162" s="3">
        <v>2</v>
      </c>
      <c r="G2162" s="4">
        <v>44769</v>
      </c>
      <c r="M2162" s="1"/>
      <c r="N2162" s="1"/>
      <c r="O2162" s="1"/>
      <c r="P2162" s="1"/>
      <c r="Q2162" s="1"/>
      <c r="R2162" s="1"/>
    </row>
    <row r="2163" spans="2:18" x14ac:dyDescent="0.15">
      <c r="C2163" s="2" t="s">
        <v>4</v>
      </c>
      <c r="D2163" s="2" t="s">
        <v>652</v>
      </c>
      <c r="E2163" s="3">
        <v>12.3</v>
      </c>
      <c r="F2163" s="3">
        <v>6.3</v>
      </c>
      <c r="G2163" s="4">
        <v>44622</v>
      </c>
      <c r="M2163" s="1"/>
      <c r="N2163" s="1"/>
      <c r="O2163" s="1"/>
      <c r="P2163" s="1"/>
      <c r="Q2163" s="1"/>
      <c r="R2163" s="1"/>
    </row>
    <row r="2164" spans="2:18" x14ac:dyDescent="0.15">
      <c r="C2164" s="2" t="s">
        <v>7</v>
      </c>
      <c r="D2164" s="2" t="s">
        <v>286</v>
      </c>
      <c r="E2164" s="3">
        <v>35</v>
      </c>
      <c r="F2164" s="3">
        <v>10</v>
      </c>
      <c r="G2164" s="4">
        <v>44309</v>
      </c>
      <c r="M2164" s="1"/>
      <c r="N2164" s="1"/>
      <c r="O2164" s="1"/>
      <c r="P2164" s="1"/>
      <c r="Q2164" s="1"/>
      <c r="R2164" s="1"/>
    </row>
    <row r="2165" spans="2:18" x14ac:dyDescent="0.15">
      <c r="C2165" s="261" t="s">
        <v>4</v>
      </c>
      <c r="D2165" s="261" t="s">
        <v>2019</v>
      </c>
      <c r="E2165" s="3">
        <v>12</v>
      </c>
      <c r="F2165" s="3">
        <v>4</v>
      </c>
      <c r="G2165" s="4">
        <v>43872</v>
      </c>
      <c r="M2165" s="1"/>
      <c r="N2165" s="1"/>
      <c r="O2165" s="1"/>
      <c r="P2165" s="1"/>
      <c r="Q2165" s="1"/>
      <c r="R2165" s="1"/>
    </row>
    <row r="2166" spans="2:18" x14ac:dyDescent="0.15">
      <c r="G2166" s="4"/>
      <c r="M2166" s="1"/>
      <c r="N2166" s="1"/>
      <c r="O2166" s="1"/>
      <c r="P2166" s="1"/>
      <c r="Q2166" s="1"/>
      <c r="R2166" s="1"/>
    </row>
    <row r="2167" spans="2:18" x14ac:dyDescent="0.15">
      <c r="B2167" s="12" t="s">
        <v>1045</v>
      </c>
      <c r="C2167" s="13" t="s">
        <v>970</v>
      </c>
      <c r="D2167" s="13" t="s">
        <v>969</v>
      </c>
      <c r="F2167" s="15">
        <f>+F2168+F2169</f>
        <v>23.333333333333336</v>
      </c>
      <c r="G2167" s="14">
        <f>+G2168</f>
        <v>44699</v>
      </c>
      <c r="I2167" s="1" t="s">
        <v>1</v>
      </c>
      <c r="J2167" s="1" t="s">
        <v>1</v>
      </c>
      <c r="K2167" s="1" t="s">
        <v>1</v>
      </c>
    </row>
    <row r="2168" spans="2:18" x14ac:dyDescent="0.15">
      <c r="C2168" s="2" t="s">
        <v>18</v>
      </c>
      <c r="D2168" s="2" t="s">
        <v>1044</v>
      </c>
      <c r="E2168" s="3">
        <v>100</v>
      </c>
      <c r="F2168" s="3">
        <v>15</v>
      </c>
      <c r="G2168" s="4">
        <v>44699</v>
      </c>
    </row>
    <row r="2169" spans="2:18" x14ac:dyDescent="0.15">
      <c r="C2169" s="2" t="s">
        <v>7</v>
      </c>
      <c r="D2169" s="2" t="s">
        <v>1044</v>
      </c>
      <c r="E2169" s="3">
        <v>100</v>
      </c>
      <c r="F2169" s="3">
        <f>25/3</f>
        <v>8.3333333333333339</v>
      </c>
      <c r="G2169" s="4">
        <v>44286</v>
      </c>
    </row>
    <row r="2170" spans="2:18" x14ac:dyDescent="0.15">
      <c r="G2170" s="4"/>
    </row>
    <row r="2171" spans="2:18" x14ac:dyDescent="0.15">
      <c r="B2171" s="12" t="s">
        <v>1043</v>
      </c>
      <c r="C2171" s="13" t="s">
        <v>970</v>
      </c>
      <c r="D2171" s="13" t="s">
        <v>969</v>
      </c>
      <c r="F2171" s="15">
        <f>SUM(F2172:F2180)</f>
        <v>24.366666666666667</v>
      </c>
      <c r="G2171" s="14">
        <f>G2172</f>
        <v>44690</v>
      </c>
    </row>
    <row r="2172" spans="2:18" x14ac:dyDescent="0.15">
      <c r="C2172" s="2" t="s">
        <v>18</v>
      </c>
      <c r="D2172" s="2" t="s">
        <v>927</v>
      </c>
      <c r="E2172" s="3">
        <v>100</v>
      </c>
      <c r="F2172" s="3">
        <v>9</v>
      </c>
      <c r="G2172" s="4">
        <v>44690</v>
      </c>
    </row>
    <row r="2173" spans="2:18" x14ac:dyDescent="0.15">
      <c r="C2173" s="2" t="s">
        <v>7</v>
      </c>
      <c r="D2173" s="2" t="s">
        <v>927</v>
      </c>
      <c r="E2173" s="3">
        <v>40</v>
      </c>
      <c r="F2173" s="3">
        <f>20/3</f>
        <v>6.666666666666667</v>
      </c>
      <c r="G2173" s="4">
        <v>44327</v>
      </c>
    </row>
    <row r="2174" spans="2:18" x14ac:dyDescent="0.15">
      <c r="C2174" s="2" t="s">
        <v>5</v>
      </c>
      <c r="D2174" s="2" t="s">
        <v>927</v>
      </c>
      <c r="E2174" s="3">
        <v>15</v>
      </c>
      <c r="F2174" s="3">
        <v>3</v>
      </c>
      <c r="G2174" s="4">
        <v>43816</v>
      </c>
    </row>
    <row r="2175" spans="2:18" x14ac:dyDescent="0.15">
      <c r="C2175" s="2" t="s">
        <v>4</v>
      </c>
      <c r="D2175" s="2" t="s">
        <v>927</v>
      </c>
      <c r="E2175" s="3">
        <v>4</v>
      </c>
      <c r="F2175" s="3">
        <v>1</v>
      </c>
      <c r="G2175" s="4">
        <v>43243</v>
      </c>
    </row>
    <row r="2176" spans="2:18" x14ac:dyDescent="0.15">
      <c r="C2176" s="2" t="s">
        <v>551</v>
      </c>
      <c r="D2176" s="2" t="s">
        <v>927</v>
      </c>
      <c r="E2176" s="3">
        <v>1.2</v>
      </c>
      <c r="F2176" s="3">
        <v>0.2</v>
      </c>
      <c r="G2176" s="4">
        <v>42799</v>
      </c>
    </row>
    <row r="2177" spans="2:18" x14ac:dyDescent="0.15">
      <c r="C2177" s="2" t="s">
        <v>5</v>
      </c>
      <c r="D2177" s="2" t="s">
        <v>647</v>
      </c>
      <c r="E2177" s="3">
        <v>13</v>
      </c>
      <c r="F2177" s="3">
        <v>2</v>
      </c>
      <c r="G2177" s="4">
        <v>44642</v>
      </c>
    </row>
    <row r="2178" spans="2:18" x14ac:dyDescent="0.15">
      <c r="C2178" s="2" t="s">
        <v>4</v>
      </c>
      <c r="D2178" s="2" t="s">
        <v>647</v>
      </c>
      <c r="E2178" s="3">
        <v>3.5</v>
      </c>
      <c r="F2178" s="3">
        <v>1</v>
      </c>
      <c r="G2178" s="4">
        <v>44124</v>
      </c>
    </row>
    <row r="2179" spans="2:18" x14ac:dyDescent="0.15">
      <c r="C2179" s="2" t="s">
        <v>4</v>
      </c>
      <c r="D2179" s="2" t="s">
        <v>482</v>
      </c>
      <c r="E2179" s="3">
        <v>2</v>
      </c>
      <c r="F2179" s="3">
        <v>0.5</v>
      </c>
      <c r="G2179" s="4">
        <v>43876</v>
      </c>
    </row>
    <row r="2180" spans="2:18" x14ac:dyDescent="0.15">
      <c r="C2180" s="261" t="s">
        <v>4</v>
      </c>
      <c r="D2180" s="261" t="s">
        <v>2009</v>
      </c>
      <c r="E2180" s="3">
        <v>7</v>
      </c>
      <c r="F2180" s="3">
        <v>1</v>
      </c>
      <c r="G2180" s="4">
        <v>44763</v>
      </c>
    </row>
    <row r="2181" spans="2:18" x14ac:dyDescent="0.15">
      <c r="G2181" s="4"/>
    </row>
    <row r="2182" spans="2:18" x14ac:dyDescent="0.15">
      <c r="B2182" s="12" t="s">
        <v>1042</v>
      </c>
      <c r="C2182" s="13" t="s">
        <v>970</v>
      </c>
      <c r="D2182" s="13" t="s">
        <v>969</v>
      </c>
      <c r="E2182" s="15"/>
      <c r="F2182" s="15">
        <f>SUM(F2183:F2184)</f>
        <v>23</v>
      </c>
      <c r="G2182" s="14">
        <f>G2183</f>
        <v>44796</v>
      </c>
    </row>
    <row r="2183" spans="2:18" x14ac:dyDescent="0.15">
      <c r="C2183" s="2" t="s">
        <v>1041</v>
      </c>
      <c r="D2183" s="2" t="s">
        <v>833</v>
      </c>
      <c r="E2183" s="3">
        <v>99</v>
      </c>
      <c r="F2183" s="3">
        <v>20</v>
      </c>
      <c r="G2183" s="4">
        <v>44796</v>
      </c>
    </row>
    <row r="2184" spans="2:18" x14ac:dyDescent="0.15">
      <c r="C2184" s="2" t="s">
        <v>5</v>
      </c>
      <c r="D2184" s="2" t="s">
        <v>690</v>
      </c>
      <c r="E2184" s="3">
        <v>29</v>
      </c>
      <c r="F2184" s="3">
        <v>3</v>
      </c>
      <c r="G2184" s="4">
        <v>44783</v>
      </c>
    </row>
    <row r="2185" spans="2:18" x14ac:dyDescent="0.15">
      <c r="G2185" s="4"/>
    </row>
    <row r="2186" spans="2:18" s="12" customFormat="1" x14ac:dyDescent="0.15">
      <c r="B2186" s="12" t="s">
        <v>1034</v>
      </c>
      <c r="C2186" s="13" t="s">
        <v>970</v>
      </c>
      <c r="D2186" s="13" t="s">
        <v>969</v>
      </c>
      <c r="E2186" s="15"/>
      <c r="F2186" s="15">
        <f>SUM(F2187:F2190)</f>
        <v>22.933333333333334</v>
      </c>
      <c r="G2186" s="14">
        <f>G2188</f>
        <v>44851</v>
      </c>
      <c r="M2186" s="13"/>
      <c r="N2186" s="13"/>
      <c r="O2186" s="13"/>
      <c r="P2186" s="13"/>
      <c r="Q2186" s="13"/>
      <c r="R2186" s="13"/>
    </row>
    <row r="2187" spans="2:18" x14ac:dyDescent="0.15">
      <c r="C2187" s="2" t="s">
        <v>5</v>
      </c>
      <c r="D2187" s="2" t="s">
        <v>1000</v>
      </c>
      <c r="E2187" s="3">
        <v>25</v>
      </c>
      <c r="F2187" s="3">
        <v>5</v>
      </c>
      <c r="G2187" s="4">
        <v>44699</v>
      </c>
    </row>
    <row r="2188" spans="2:18" x14ac:dyDescent="0.15">
      <c r="C2188" s="2" t="s">
        <v>5</v>
      </c>
      <c r="D2188" s="2" t="s">
        <v>281</v>
      </c>
      <c r="E2188" s="3">
        <v>32</v>
      </c>
      <c r="F2188" s="3">
        <v>11</v>
      </c>
      <c r="G2188" s="4">
        <v>44851</v>
      </c>
    </row>
    <row r="2189" spans="2:18" x14ac:dyDescent="0.15">
      <c r="C2189" s="2" t="s">
        <v>5</v>
      </c>
      <c r="D2189" s="2" t="s">
        <v>281</v>
      </c>
      <c r="E2189" s="3">
        <v>26</v>
      </c>
      <c r="F2189" s="3">
        <v>4.333333333333333</v>
      </c>
      <c r="G2189" s="4">
        <v>44453</v>
      </c>
    </row>
    <row r="2190" spans="2:18" x14ac:dyDescent="0.15">
      <c r="C2190" s="2" t="s">
        <v>4</v>
      </c>
      <c r="D2190" s="2" t="s">
        <v>281</v>
      </c>
      <c r="E2190" s="3">
        <v>6.2</v>
      </c>
      <c r="F2190" s="3">
        <v>2.6</v>
      </c>
      <c r="G2190" s="4">
        <v>44201</v>
      </c>
    </row>
    <row r="2191" spans="2:18" x14ac:dyDescent="0.15">
      <c r="G2191" s="4"/>
    </row>
    <row r="2192" spans="2:18" s="12" customFormat="1" x14ac:dyDescent="0.15">
      <c r="B2192" s="12" t="s">
        <v>380</v>
      </c>
      <c r="C2192" s="13" t="s">
        <v>970</v>
      </c>
      <c r="D2192" s="13" t="s">
        <v>969</v>
      </c>
      <c r="E2192" s="15"/>
      <c r="F2192" s="15">
        <f>SUM(F2193:F2196)</f>
        <v>22.785714285714285</v>
      </c>
      <c r="G2192" s="14">
        <f>G2193</f>
        <v>44323</v>
      </c>
    </row>
    <row r="2193" spans="2:18" x14ac:dyDescent="0.15">
      <c r="C2193" s="2" t="s">
        <v>18</v>
      </c>
      <c r="D2193" s="2" t="s">
        <v>374</v>
      </c>
      <c r="E2193" s="3">
        <v>130</v>
      </c>
      <c r="F2193" s="3">
        <f>100/7</f>
        <v>14.285714285714286</v>
      </c>
      <c r="G2193" s="4">
        <v>44323</v>
      </c>
      <c r="M2193" s="1"/>
      <c r="N2193" s="1"/>
      <c r="O2193" s="1"/>
      <c r="P2193" s="1"/>
      <c r="Q2193" s="1"/>
      <c r="R2193" s="1"/>
    </row>
    <row r="2194" spans="2:18" x14ac:dyDescent="0.15">
      <c r="C2194" s="2" t="s">
        <v>7</v>
      </c>
      <c r="D2194" s="2" t="s">
        <v>374</v>
      </c>
      <c r="E2194" s="3">
        <v>44</v>
      </c>
      <c r="F2194" s="3">
        <f>30/6</f>
        <v>5</v>
      </c>
      <c r="G2194" s="4">
        <v>43909</v>
      </c>
      <c r="M2194" s="1"/>
      <c r="N2194" s="1"/>
      <c r="O2194" s="1"/>
      <c r="P2194" s="1"/>
      <c r="Q2194" s="1"/>
      <c r="R2194" s="1"/>
    </row>
    <row r="2195" spans="2:18" x14ac:dyDescent="0.15">
      <c r="C2195" s="2" t="s">
        <v>5</v>
      </c>
      <c r="D2195" s="2" t="s">
        <v>374</v>
      </c>
      <c r="E2195" s="3">
        <v>15</v>
      </c>
      <c r="F2195" s="3">
        <v>3</v>
      </c>
      <c r="G2195" s="4">
        <v>43452</v>
      </c>
      <c r="M2195" s="1"/>
      <c r="N2195" s="1"/>
      <c r="O2195" s="1"/>
      <c r="P2195" s="1"/>
      <c r="Q2195" s="1"/>
      <c r="R2195" s="1"/>
    </row>
    <row r="2196" spans="2:18" x14ac:dyDescent="0.15">
      <c r="C2196" s="2" t="s">
        <v>4</v>
      </c>
      <c r="D2196" s="2" t="s">
        <v>374</v>
      </c>
      <c r="E2196" s="3">
        <v>2.5</v>
      </c>
      <c r="F2196" s="3">
        <v>0.5</v>
      </c>
      <c r="G2196" s="4">
        <v>42936</v>
      </c>
      <c r="M2196" s="1"/>
      <c r="N2196" s="1"/>
      <c r="O2196" s="1"/>
      <c r="P2196" s="1"/>
      <c r="Q2196" s="1"/>
      <c r="R2196" s="1"/>
    </row>
    <row r="2197" spans="2:18" x14ac:dyDescent="0.15">
      <c r="G2197" s="4"/>
      <c r="M2197" s="1"/>
      <c r="N2197" s="1"/>
      <c r="O2197" s="1"/>
      <c r="P2197" s="1"/>
      <c r="Q2197" s="1"/>
      <c r="R2197" s="1"/>
    </row>
    <row r="2198" spans="2:18" s="12" customFormat="1" x14ac:dyDescent="0.15">
      <c r="B2198" s="12" t="s">
        <v>1039</v>
      </c>
      <c r="C2198" s="13" t="s">
        <v>970</v>
      </c>
      <c r="D2198" s="13" t="s">
        <v>969</v>
      </c>
      <c r="E2198" s="15"/>
      <c r="F2198" s="15">
        <f>SUM(F2199:F2203)</f>
        <v>22.633333333333333</v>
      </c>
      <c r="G2198" s="14">
        <f>G2200</f>
        <v>44882</v>
      </c>
      <c r="M2198" s="13"/>
      <c r="N2198" s="13"/>
      <c r="O2198" s="13"/>
      <c r="P2198" s="13"/>
      <c r="Q2198" s="13"/>
      <c r="R2198" s="13"/>
    </row>
    <row r="2199" spans="2:18" x14ac:dyDescent="0.15">
      <c r="C2199" s="2" t="s">
        <v>5</v>
      </c>
      <c r="D2199" s="2" t="s">
        <v>892</v>
      </c>
      <c r="E2199" s="3">
        <v>14</v>
      </c>
      <c r="F2199" s="3">
        <f>9/5</f>
        <v>1.8</v>
      </c>
      <c r="G2199" s="4">
        <v>44131</v>
      </c>
    </row>
    <row r="2200" spans="2:18" x14ac:dyDescent="0.15">
      <c r="C2200" s="2" t="s">
        <v>4</v>
      </c>
      <c r="D2200" s="2" t="s">
        <v>913</v>
      </c>
      <c r="E2200" s="3">
        <v>42</v>
      </c>
      <c r="F2200" s="3">
        <f>22/3</f>
        <v>7.333333333333333</v>
      </c>
      <c r="G2200" s="4">
        <v>44882</v>
      </c>
    </row>
    <row r="2201" spans="2:18" x14ac:dyDescent="0.15">
      <c r="C2201" s="2" t="s">
        <v>5</v>
      </c>
      <c r="D2201" s="2" t="s">
        <v>673</v>
      </c>
      <c r="E2201" s="3">
        <v>14.5</v>
      </c>
      <c r="F2201" s="3">
        <v>2.5</v>
      </c>
      <c r="G2201" s="4">
        <v>44389</v>
      </c>
    </row>
    <row r="2202" spans="2:18" x14ac:dyDescent="0.15">
      <c r="C2202" s="2" t="s">
        <v>18</v>
      </c>
      <c r="D2202" s="2" t="s">
        <v>490</v>
      </c>
      <c r="E2202" s="3">
        <v>67.2</v>
      </c>
      <c r="F2202" s="3">
        <v>10</v>
      </c>
      <c r="G2202" s="4">
        <v>42943</v>
      </c>
    </row>
    <row r="2203" spans="2:18" x14ac:dyDescent="0.15">
      <c r="C2203" s="2" t="s">
        <v>4</v>
      </c>
      <c r="D2203" s="2" t="s">
        <v>128</v>
      </c>
      <c r="E2203" s="3">
        <v>5</v>
      </c>
      <c r="F2203" s="3">
        <v>1</v>
      </c>
      <c r="G2203" s="4">
        <v>44176</v>
      </c>
    </row>
    <row r="2204" spans="2:18" x14ac:dyDescent="0.15">
      <c r="G2204" s="4"/>
    </row>
    <row r="2205" spans="2:18" s="12" customFormat="1" x14ac:dyDescent="0.15">
      <c r="B2205" s="12" t="s">
        <v>362</v>
      </c>
      <c r="C2205" s="13" t="s">
        <v>970</v>
      </c>
      <c r="D2205" s="13" t="s">
        <v>969</v>
      </c>
      <c r="E2205" s="15"/>
      <c r="F2205" s="15">
        <f>SUM(F2206:F2207)</f>
        <v>21.75</v>
      </c>
      <c r="G2205" s="14">
        <f>G2206</f>
        <v>44181</v>
      </c>
    </row>
    <row r="2206" spans="2:18" x14ac:dyDescent="0.15">
      <c r="C2206" s="2" t="s">
        <v>7</v>
      </c>
      <c r="D2206" s="2" t="s">
        <v>360</v>
      </c>
      <c r="E2206" s="3">
        <v>27.5</v>
      </c>
      <c r="F2206" s="3">
        <f>E2206/2</f>
        <v>13.75</v>
      </c>
      <c r="G2206" s="4">
        <v>44181</v>
      </c>
      <c r="M2206" s="1"/>
      <c r="N2206" s="1"/>
      <c r="O2206" s="1"/>
      <c r="P2206" s="1"/>
      <c r="Q2206" s="1"/>
      <c r="R2206" s="1"/>
    </row>
    <row r="2207" spans="2:18" x14ac:dyDescent="0.15">
      <c r="C2207" s="2" t="s">
        <v>5</v>
      </c>
      <c r="D2207" s="2" t="s">
        <v>161</v>
      </c>
      <c r="E2207" s="3">
        <v>102</v>
      </c>
      <c r="F2207" s="3">
        <v>8</v>
      </c>
      <c r="G2207" s="4">
        <v>43292</v>
      </c>
      <c r="M2207" s="1"/>
      <c r="N2207" s="1"/>
      <c r="O2207" s="1"/>
      <c r="P2207" s="1"/>
      <c r="Q2207" s="1"/>
      <c r="R2207" s="1"/>
    </row>
    <row r="2208" spans="2:18" x14ac:dyDescent="0.15">
      <c r="G2208" s="4"/>
      <c r="M2208" s="1"/>
      <c r="N2208" s="1"/>
      <c r="O2208" s="1"/>
      <c r="P2208" s="1"/>
      <c r="Q2208" s="1"/>
      <c r="R2208" s="1"/>
    </row>
    <row r="2209" spans="2:18" s="12" customFormat="1" x14ac:dyDescent="0.15">
      <c r="B2209" s="12" t="s">
        <v>948</v>
      </c>
      <c r="C2209" s="13" t="s">
        <v>970</v>
      </c>
      <c r="D2209" s="13" t="s">
        <v>969</v>
      </c>
      <c r="E2209" s="15"/>
      <c r="F2209" s="15">
        <f>SUM(F2210:F2211)</f>
        <v>21.5</v>
      </c>
      <c r="G2209" s="14">
        <f>G2210</f>
        <v>44299</v>
      </c>
      <c r="M2209" s="13"/>
      <c r="N2209" s="13"/>
      <c r="O2209" s="13"/>
      <c r="P2209" s="13"/>
      <c r="Q2209" s="13"/>
      <c r="R2209" s="13"/>
    </row>
    <row r="2210" spans="2:18" x14ac:dyDescent="0.15">
      <c r="C2210" s="2" t="s">
        <v>9</v>
      </c>
      <c r="D2210" s="2" t="s">
        <v>804</v>
      </c>
      <c r="E2210" s="3">
        <v>325</v>
      </c>
      <c r="F2210" s="3">
        <v>18.5</v>
      </c>
      <c r="G2210" s="4">
        <v>44299</v>
      </c>
    </row>
    <row r="2211" spans="2:18" x14ac:dyDescent="0.15">
      <c r="C2211" s="59" t="s">
        <v>7</v>
      </c>
      <c r="D2211" s="59" t="s">
        <v>2122</v>
      </c>
      <c r="E2211" s="3">
        <v>40</v>
      </c>
      <c r="F2211" s="3">
        <v>3</v>
      </c>
      <c r="G2211" s="4">
        <v>43720</v>
      </c>
      <c r="J2211" s="1">
        <v>3400</v>
      </c>
    </row>
    <row r="2212" spans="2:18" x14ac:dyDescent="0.15">
      <c r="G2212" s="4"/>
    </row>
    <row r="2213" spans="2:18" s="12" customFormat="1" x14ac:dyDescent="0.15">
      <c r="B2213" s="12" t="s">
        <v>378</v>
      </c>
      <c r="C2213" s="13" t="s">
        <v>970</v>
      </c>
      <c r="D2213" s="13" t="s">
        <v>969</v>
      </c>
      <c r="E2213" s="15"/>
      <c r="F2213" s="15">
        <f>SUM(F2214:F2216)</f>
        <v>22.285714285714285</v>
      </c>
      <c r="G2213" s="14">
        <f>G2214</f>
        <v>44323</v>
      </c>
    </row>
    <row r="2214" spans="2:18" x14ac:dyDescent="0.15">
      <c r="C2214" s="2" t="s">
        <v>18</v>
      </c>
      <c r="D2214" s="2" t="s">
        <v>374</v>
      </c>
      <c r="E2214" s="3">
        <v>130</v>
      </c>
      <c r="F2214" s="3">
        <f>100/7</f>
        <v>14.285714285714286</v>
      </c>
      <c r="G2214" s="4">
        <v>44323</v>
      </c>
      <c r="M2214" s="1"/>
      <c r="N2214" s="1"/>
      <c r="O2214" s="1"/>
      <c r="P2214" s="1"/>
      <c r="Q2214" s="1"/>
      <c r="R2214" s="1"/>
    </row>
    <row r="2215" spans="2:18" x14ac:dyDescent="0.15">
      <c r="C2215" s="2" t="s">
        <v>7</v>
      </c>
      <c r="D2215" s="2" t="s">
        <v>374</v>
      </c>
      <c r="E2215" s="3">
        <v>44</v>
      </c>
      <c r="F2215" s="3">
        <f>30/6</f>
        <v>5</v>
      </c>
      <c r="G2215" s="4">
        <v>43909</v>
      </c>
      <c r="M2215" s="1"/>
      <c r="N2215" s="1"/>
      <c r="O2215" s="1"/>
      <c r="P2215" s="1"/>
      <c r="Q2215" s="1"/>
      <c r="R2215" s="1"/>
    </row>
    <row r="2216" spans="2:18" x14ac:dyDescent="0.15">
      <c r="C2216" s="2" t="s">
        <v>5</v>
      </c>
      <c r="D2216" s="2" t="s">
        <v>374</v>
      </c>
      <c r="E2216" s="3">
        <v>15</v>
      </c>
      <c r="F2216" s="3">
        <v>3</v>
      </c>
      <c r="G2216" s="4">
        <v>43452</v>
      </c>
      <c r="M2216" s="1"/>
      <c r="N2216" s="1"/>
      <c r="O2216" s="1"/>
      <c r="P2216" s="1"/>
      <c r="Q2216" s="1"/>
      <c r="R2216" s="1"/>
    </row>
    <row r="2217" spans="2:18" x14ac:dyDescent="0.15">
      <c r="G2217" s="4"/>
      <c r="M2217" s="1"/>
      <c r="N2217" s="1"/>
      <c r="O2217" s="1"/>
      <c r="P2217" s="1"/>
      <c r="Q2217" s="1"/>
      <c r="R2217" s="1"/>
    </row>
    <row r="2218" spans="2:18" s="12" customFormat="1" x14ac:dyDescent="0.15">
      <c r="B2218" s="12" t="s">
        <v>133</v>
      </c>
      <c r="C2218" s="13" t="s">
        <v>970</v>
      </c>
      <c r="D2218" s="13" t="s">
        <v>969</v>
      </c>
      <c r="E2218" s="15"/>
      <c r="F2218" s="15">
        <f>SUM(F2219:F2221)</f>
        <v>21.3</v>
      </c>
      <c r="G2218" s="14">
        <f>G2220</f>
        <v>44320</v>
      </c>
      <c r="M2218" s="13"/>
      <c r="N2218" s="13"/>
      <c r="O2218" s="13"/>
      <c r="P2218" s="13"/>
      <c r="Q2218" s="13"/>
      <c r="R2218" s="13"/>
    </row>
    <row r="2219" spans="2:18" x14ac:dyDescent="0.15">
      <c r="C2219" s="2" t="s">
        <v>18</v>
      </c>
      <c r="D2219" s="2" t="s">
        <v>131</v>
      </c>
      <c r="E2219" s="3">
        <v>31.7</v>
      </c>
      <c r="F2219" s="3">
        <f>18/4</f>
        <v>4.5</v>
      </c>
      <c r="G2219" s="4">
        <v>43599</v>
      </c>
    </row>
    <row r="2220" spans="2:18" x14ac:dyDescent="0.15">
      <c r="C2220" s="59" t="s">
        <v>8</v>
      </c>
      <c r="D2220" s="59" t="s">
        <v>4926</v>
      </c>
      <c r="E2220" s="3">
        <v>83</v>
      </c>
      <c r="F2220" s="3">
        <v>6.8</v>
      </c>
      <c r="G2220" s="4">
        <v>44320</v>
      </c>
      <c r="I2220" s="1">
        <v>3600</v>
      </c>
      <c r="J2220" s="1">
        <v>3600</v>
      </c>
    </row>
    <row r="2221" spans="2:18" x14ac:dyDescent="0.15">
      <c r="C2221" s="59" t="s">
        <v>18</v>
      </c>
      <c r="D2221" s="59" t="s">
        <v>4926</v>
      </c>
      <c r="E2221" s="3">
        <v>100</v>
      </c>
      <c r="F2221" s="3">
        <v>10</v>
      </c>
      <c r="G2221" s="4">
        <v>43937</v>
      </c>
      <c r="I2221" s="1">
        <v>1100</v>
      </c>
      <c r="J2221" s="1">
        <v>3600</v>
      </c>
    </row>
    <row r="2222" spans="2:18" x14ac:dyDescent="0.15">
      <c r="G2222" s="4"/>
    </row>
    <row r="2223" spans="2:18" s="12" customFormat="1" x14ac:dyDescent="0.15">
      <c r="B2223" s="36" t="s">
        <v>403</v>
      </c>
      <c r="C2223" s="13" t="s">
        <v>970</v>
      </c>
      <c r="D2223" s="13" t="s">
        <v>969</v>
      </c>
      <c r="E2223" s="15"/>
      <c r="F2223" s="15">
        <f>SUM(F2224:F2226)</f>
        <v>20.666666666666668</v>
      </c>
      <c r="G2223" s="14">
        <f>G2224</f>
        <v>44860</v>
      </c>
      <c r="I2223" s="53"/>
    </row>
    <row r="2224" spans="2:18" x14ac:dyDescent="0.15">
      <c r="B2224" s="7"/>
      <c r="C2224" s="2" t="s">
        <v>7</v>
      </c>
      <c r="D2224" s="2" t="s">
        <v>399</v>
      </c>
      <c r="E2224" s="3">
        <v>37</v>
      </c>
      <c r="F2224" s="3">
        <v>4</v>
      </c>
      <c r="G2224" s="4">
        <v>44860</v>
      </c>
      <c r="M2224" s="1"/>
      <c r="N2224" s="1"/>
      <c r="O2224" s="1"/>
      <c r="P2224" s="1"/>
      <c r="Q2224" s="1"/>
      <c r="R2224" s="1"/>
    </row>
    <row r="2225" spans="2:18" x14ac:dyDescent="0.15">
      <c r="B2225" s="7"/>
      <c r="C2225" s="2" t="s">
        <v>7</v>
      </c>
      <c r="D2225" s="2" t="s">
        <v>399</v>
      </c>
      <c r="E2225" s="3">
        <v>80</v>
      </c>
      <c r="F2225" s="3">
        <v>10</v>
      </c>
      <c r="G2225" s="4">
        <v>44327</v>
      </c>
      <c r="M2225" s="1"/>
      <c r="N2225" s="1"/>
      <c r="O2225" s="1"/>
      <c r="P2225" s="1"/>
      <c r="Q2225" s="1"/>
      <c r="R2225" s="1"/>
    </row>
    <row r="2226" spans="2:18" x14ac:dyDescent="0.15">
      <c r="B2226" s="7"/>
      <c r="C2226" s="2" t="s">
        <v>5</v>
      </c>
      <c r="D2226" s="2" t="s">
        <v>399</v>
      </c>
      <c r="E2226" s="3">
        <v>30</v>
      </c>
      <c r="F2226" s="3">
        <v>6.666666666666667</v>
      </c>
      <c r="G2226" s="4">
        <v>43963</v>
      </c>
      <c r="M2226" s="1"/>
      <c r="N2226" s="1"/>
      <c r="O2226" s="1"/>
      <c r="P2226" s="1"/>
      <c r="Q2226" s="1"/>
      <c r="R2226" s="1"/>
    </row>
    <row r="2227" spans="2:18" x14ac:dyDescent="0.15">
      <c r="B2227" s="7"/>
      <c r="G2227" s="4"/>
      <c r="M2227" s="1"/>
      <c r="N2227" s="1"/>
      <c r="O2227" s="1"/>
      <c r="P2227" s="1"/>
      <c r="Q2227" s="1"/>
      <c r="R2227" s="1"/>
    </row>
    <row r="2228" spans="2:18" s="12" customFormat="1" x14ac:dyDescent="0.15">
      <c r="B2228" s="12" t="s">
        <v>1035</v>
      </c>
      <c r="C2228" s="13" t="s">
        <v>970</v>
      </c>
      <c r="D2228" s="13" t="s">
        <v>969</v>
      </c>
      <c r="E2228" s="15"/>
      <c r="F2228" s="15">
        <f>SUM(F2229:F2231)</f>
        <v>21.2</v>
      </c>
      <c r="G2228" s="14">
        <f>G2231</f>
        <v>44880</v>
      </c>
    </row>
    <row r="2229" spans="2:18" x14ac:dyDescent="0.15">
      <c r="C2229" s="2" t="s">
        <v>9</v>
      </c>
      <c r="D2229" s="2" t="s">
        <v>607</v>
      </c>
      <c r="E2229" s="3">
        <v>132</v>
      </c>
      <c r="F2229" s="3">
        <f>72/10</f>
        <v>7.2</v>
      </c>
      <c r="G2229" s="4">
        <v>44215</v>
      </c>
      <c r="M2229" s="1"/>
      <c r="N2229" s="1"/>
      <c r="O2229" s="1"/>
      <c r="P2229" s="1"/>
      <c r="Q2229" s="1"/>
      <c r="R2229" s="1"/>
    </row>
    <row r="2230" spans="2:18" x14ac:dyDescent="0.15">
      <c r="C2230" s="2" t="s">
        <v>8</v>
      </c>
      <c r="D2230" s="2" t="s">
        <v>607</v>
      </c>
      <c r="E2230" s="3">
        <v>42</v>
      </c>
      <c r="F2230" s="3">
        <f>30/5</f>
        <v>6</v>
      </c>
      <c r="G2230" s="4">
        <v>44153</v>
      </c>
      <c r="M2230" s="1"/>
      <c r="N2230" s="1"/>
      <c r="O2230" s="1"/>
      <c r="P2230" s="1"/>
      <c r="Q2230" s="1"/>
      <c r="R2230" s="1"/>
    </row>
    <row r="2231" spans="2:18" x14ac:dyDescent="0.15">
      <c r="C2231" s="2" t="s">
        <v>8</v>
      </c>
      <c r="D2231" s="2" t="s">
        <v>131</v>
      </c>
      <c r="E2231" s="3">
        <v>135</v>
      </c>
      <c r="F2231" s="3">
        <v>8</v>
      </c>
      <c r="G2231" s="4">
        <v>44880</v>
      </c>
      <c r="I2231" s="1">
        <v>615</v>
      </c>
      <c r="M2231" s="1"/>
      <c r="N2231" s="1"/>
      <c r="O2231" s="1"/>
      <c r="P2231" s="1"/>
      <c r="Q2231" s="1"/>
      <c r="R2231" s="1"/>
    </row>
    <row r="2232" spans="2:18" x14ac:dyDescent="0.15">
      <c r="G2232" s="4"/>
      <c r="M2232" s="1"/>
      <c r="N2232" s="1"/>
      <c r="O2232" s="1"/>
      <c r="P2232" s="1"/>
      <c r="Q2232" s="1"/>
      <c r="R2232" s="1"/>
    </row>
    <row r="2233" spans="2:18" s="12" customFormat="1" x14ac:dyDescent="0.15">
      <c r="B2233" s="12" t="s">
        <v>12</v>
      </c>
      <c r="C2233" s="13" t="s">
        <v>970</v>
      </c>
      <c r="D2233" s="13" t="s">
        <v>969</v>
      </c>
      <c r="E2233" s="15"/>
      <c r="F2233" s="15">
        <f>SUM(F2234:F2240)</f>
        <v>21.166666666666668</v>
      </c>
      <c r="G2233" s="14">
        <f>G2234</f>
        <v>44721</v>
      </c>
      <c r="M2233" s="13"/>
      <c r="N2233" s="13"/>
      <c r="O2233" s="13"/>
      <c r="P2233" s="13"/>
      <c r="Q2233" s="13"/>
      <c r="R2233" s="13"/>
    </row>
    <row r="2234" spans="2:18" x14ac:dyDescent="0.15">
      <c r="C2234" s="2" t="s">
        <v>9</v>
      </c>
      <c r="D2234" s="2" t="s">
        <v>3</v>
      </c>
      <c r="E2234" s="3">
        <v>90</v>
      </c>
      <c r="F2234" s="3">
        <v>10</v>
      </c>
      <c r="G2234" s="4">
        <v>44721</v>
      </c>
      <c r="I2234" s="1">
        <v>2200</v>
      </c>
      <c r="J2234" s="1">
        <v>2200</v>
      </c>
    </row>
    <row r="2235" spans="2:18" x14ac:dyDescent="0.15">
      <c r="C2235" s="2" t="s">
        <v>7</v>
      </c>
      <c r="D2235" s="2" t="s">
        <v>3</v>
      </c>
      <c r="E2235" s="3">
        <v>25</v>
      </c>
      <c r="F2235" s="3">
        <v>3.75</v>
      </c>
      <c r="G2235" s="4">
        <v>43697</v>
      </c>
      <c r="J2235" s="1">
        <v>2200</v>
      </c>
    </row>
    <row r="2236" spans="2:18" x14ac:dyDescent="0.15">
      <c r="C2236" s="2" t="s">
        <v>5</v>
      </c>
      <c r="D2236" s="2" t="s">
        <v>3</v>
      </c>
      <c r="E2236" s="3">
        <v>10</v>
      </c>
      <c r="F2236" s="3">
        <v>2.5</v>
      </c>
      <c r="G2236" s="4">
        <v>43456</v>
      </c>
      <c r="J2236" s="1">
        <v>2200</v>
      </c>
    </row>
    <row r="2237" spans="2:18" x14ac:dyDescent="0.15">
      <c r="C2237" s="2" t="s">
        <v>5</v>
      </c>
      <c r="D2237" s="2" t="s">
        <v>3</v>
      </c>
      <c r="E2237" s="3">
        <v>10.5</v>
      </c>
      <c r="F2237" s="3">
        <v>2</v>
      </c>
      <c r="G2237" s="4">
        <v>42828</v>
      </c>
      <c r="J2237" s="1">
        <v>2200</v>
      </c>
    </row>
    <row r="2238" spans="2:18" x14ac:dyDescent="0.15">
      <c r="C2238" s="2" t="s">
        <v>4</v>
      </c>
      <c r="D2238" s="2" t="s">
        <v>3</v>
      </c>
      <c r="E2238" s="3">
        <v>2</v>
      </c>
      <c r="F2238" s="3">
        <f>+E2238/3</f>
        <v>0.66666666666666663</v>
      </c>
      <c r="G2238" s="4">
        <v>42521</v>
      </c>
      <c r="J2238" s="1">
        <v>2200</v>
      </c>
    </row>
    <row r="2239" spans="2:18" x14ac:dyDescent="0.15">
      <c r="C2239" s="169" t="s">
        <v>5</v>
      </c>
      <c r="D2239" s="169" t="s">
        <v>2046</v>
      </c>
      <c r="E2239" s="3">
        <v>15</v>
      </c>
      <c r="F2239" s="3">
        <v>2</v>
      </c>
      <c r="G2239" s="4">
        <v>44174</v>
      </c>
    </row>
    <row r="2240" spans="2:18" x14ac:dyDescent="0.15">
      <c r="C2240" s="261" t="s">
        <v>278</v>
      </c>
      <c r="D2240" s="261" t="s">
        <v>2009</v>
      </c>
      <c r="E2240" s="3">
        <v>2</v>
      </c>
      <c r="F2240" s="3">
        <f>1/4</f>
        <v>0.25</v>
      </c>
      <c r="G2240" s="4">
        <v>44181</v>
      </c>
    </row>
    <row r="2241" spans="2:18" x14ac:dyDescent="0.15">
      <c r="G2241" s="4"/>
    </row>
    <row r="2242" spans="2:18" s="12" customFormat="1" x14ac:dyDescent="0.15">
      <c r="B2242" s="12" t="s">
        <v>656</v>
      </c>
      <c r="C2242" s="13" t="s">
        <v>970</v>
      </c>
      <c r="D2242" s="13" t="s">
        <v>969</v>
      </c>
      <c r="E2242" s="15"/>
      <c r="F2242" s="15">
        <f>SUM(F2243:F2246)</f>
        <v>21</v>
      </c>
      <c r="G2242" s="14">
        <f>G2243</f>
        <v>44601</v>
      </c>
      <c r="I2242" s="12" t="s">
        <v>6772</v>
      </c>
      <c r="M2242" s="13"/>
      <c r="N2242" s="13"/>
      <c r="O2242" s="13"/>
      <c r="P2242" s="13"/>
      <c r="Q2242" s="13"/>
      <c r="R2242" s="13"/>
    </row>
    <row r="2243" spans="2:18" x14ac:dyDescent="0.15">
      <c r="C2243" s="2" t="s">
        <v>4</v>
      </c>
      <c r="D2243" s="2" t="s">
        <v>655</v>
      </c>
      <c r="E2243" s="3">
        <v>12.8</v>
      </c>
      <c r="F2243" s="3">
        <v>2</v>
      </c>
      <c r="G2243" s="4">
        <v>44601</v>
      </c>
      <c r="M2243" s="1"/>
      <c r="N2243" s="1"/>
      <c r="O2243" s="1"/>
      <c r="P2243" s="1"/>
      <c r="Q2243" s="1"/>
      <c r="R2243" s="1"/>
    </row>
    <row r="2244" spans="2:18" x14ac:dyDescent="0.15">
      <c r="C2244" s="2" t="s">
        <v>8</v>
      </c>
      <c r="D2244" s="2" t="s">
        <v>490</v>
      </c>
      <c r="E2244" s="3">
        <v>100</v>
      </c>
      <c r="F2244" s="3">
        <v>15</v>
      </c>
      <c r="G2244" s="4">
        <v>43397</v>
      </c>
      <c r="M2244" s="1"/>
      <c r="N2244" s="1"/>
      <c r="O2244" s="1"/>
      <c r="P2244" s="1"/>
      <c r="Q2244" s="1"/>
      <c r="R2244" s="1"/>
    </row>
    <row r="2245" spans="2:18" x14ac:dyDescent="0.15">
      <c r="C2245" s="193" t="s">
        <v>5</v>
      </c>
      <c r="D2245" s="193" t="s">
        <v>2032</v>
      </c>
      <c r="E2245" s="3">
        <v>21</v>
      </c>
      <c r="F2245" s="3">
        <v>3</v>
      </c>
      <c r="G2245" s="4">
        <v>44334</v>
      </c>
      <c r="M2245" s="1"/>
      <c r="N2245" s="1"/>
      <c r="O2245" s="1"/>
      <c r="P2245" s="1"/>
      <c r="Q2245" s="1"/>
      <c r="R2245" s="1"/>
    </row>
    <row r="2246" spans="2:18" x14ac:dyDescent="0.15">
      <c r="C2246" s="193" t="s">
        <v>4</v>
      </c>
      <c r="D2246" s="193" t="s">
        <v>2032</v>
      </c>
      <c r="E2246" s="3">
        <v>5</v>
      </c>
      <c r="F2246" s="3">
        <v>1</v>
      </c>
      <c r="G2246" s="4">
        <v>44105</v>
      </c>
      <c r="M2246" s="1"/>
      <c r="N2246" s="1"/>
      <c r="O2246" s="1"/>
      <c r="P2246" s="1"/>
      <c r="Q2246" s="1"/>
      <c r="R2246" s="1"/>
    </row>
    <row r="2247" spans="2:18" x14ac:dyDescent="0.15">
      <c r="G2247" s="4"/>
      <c r="M2247" s="1"/>
      <c r="N2247" s="1"/>
      <c r="O2247" s="1"/>
      <c r="P2247" s="1"/>
      <c r="Q2247" s="1"/>
      <c r="R2247" s="1"/>
    </row>
    <row r="2248" spans="2:18" s="12" customFormat="1" x14ac:dyDescent="0.15">
      <c r="B2248" s="12" t="s">
        <v>877</v>
      </c>
      <c r="C2248" s="13" t="s">
        <v>970</v>
      </c>
      <c r="D2248" s="13" t="s">
        <v>969</v>
      </c>
      <c r="E2248" s="15"/>
      <c r="F2248" s="15">
        <f>SUM(F2249:F2251)</f>
        <v>19.666666666666668</v>
      </c>
      <c r="G2248" s="14">
        <f>G2249</f>
        <v>44825</v>
      </c>
      <c r="M2248" s="13"/>
      <c r="N2248" s="13"/>
      <c r="O2248" s="13"/>
      <c r="P2248" s="13"/>
      <c r="Q2248" s="13"/>
      <c r="R2248" s="13"/>
    </row>
    <row r="2249" spans="2:18" x14ac:dyDescent="0.15">
      <c r="C2249" s="2" t="s">
        <v>5</v>
      </c>
      <c r="D2249" s="2" t="s">
        <v>645</v>
      </c>
      <c r="E2249" s="3">
        <v>12.5</v>
      </c>
      <c r="F2249" s="3">
        <f>E2249/3</f>
        <v>4.166666666666667</v>
      </c>
      <c r="G2249" s="4">
        <v>44825</v>
      </c>
    </row>
    <row r="2250" spans="2:18" x14ac:dyDescent="0.15">
      <c r="C2250" s="100" t="s">
        <v>7</v>
      </c>
      <c r="D2250" s="100" t="s">
        <v>2106</v>
      </c>
      <c r="E2250" s="3">
        <v>56</v>
      </c>
      <c r="F2250" s="3">
        <v>8</v>
      </c>
      <c r="G2250" s="4">
        <v>44319</v>
      </c>
    </row>
    <row r="2251" spans="2:18" x14ac:dyDescent="0.15">
      <c r="C2251" s="100" t="s">
        <v>5</v>
      </c>
      <c r="D2251" s="100" t="s">
        <v>2106</v>
      </c>
      <c r="E2251" s="3">
        <v>12.5</v>
      </c>
      <c r="F2251" s="3">
        <v>7.5</v>
      </c>
      <c r="G2251" s="4">
        <v>43453</v>
      </c>
    </row>
    <row r="2252" spans="2:18" x14ac:dyDescent="0.15">
      <c r="G2252" s="4"/>
    </row>
    <row r="2253" spans="2:18" s="12" customFormat="1" x14ac:dyDescent="0.15">
      <c r="B2253" s="12" t="s">
        <v>398</v>
      </c>
      <c r="C2253" s="13" t="s">
        <v>970</v>
      </c>
      <c r="D2253" s="13" t="s">
        <v>969</v>
      </c>
      <c r="E2253" s="15"/>
      <c r="F2253" s="15">
        <f>SUM(F2254:F2255)</f>
        <v>20</v>
      </c>
      <c r="G2253" s="14">
        <f>G2254</f>
        <v>44286</v>
      </c>
    </row>
    <row r="2254" spans="2:18" x14ac:dyDescent="0.15">
      <c r="C2254" s="2" t="s">
        <v>8</v>
      </c>
      <c r="D2254" s="2" t="s">
        <v>386</v>
      </c>
      <c r="E2254" s="3">
        <v>140</v>
      </c>
      <c r="F2254" s="3">
        <v>10</v>
      </c>
      <c r="G2254" s="4">
        <v>44286</v>
      </c>
      <c r="M2254" s="1"/>
      <c r="N2254" s="1"/>
      <c r="O2254" s="1"/>
      <c r="P2254" s="1"/>
      <c r="Q2254" s="1"/>
      <c r="R2254" s="1"/>
    </row>
    <row r="2255" spans="2:18" x14ac:dyDescent="0.15">
      <c r="C2255" s="2" t="s">
        <v>18</v>
      </c>
      <c r="D2255" s="2" t="s">
        <v>386</v>
      </c>
      <c r="E2255" s="3">
        <v>110</v>
      </c>
      <c r="F2255" s="3">
        <v>10</v>
      </c>
      <c r="G2255" s="4">
        <v>43690</v>
      </c>
      <c r="M2255" s="1"/>
      <c r="N2255" s="1"/>
      <c r="O2255" s="1"/>
      <c r="P2255" s="1"/>
      <c r="Q2255" s="1"/>
      <c r="R2255" s="1"/>
    </row>
    <row r="2256" spans="2:18" x14ac:dyDescent="0.15">
      <c r="G2256" s="4"/>
      <c r="M2256" s="1"/>
      <c r="N2256" s="1"/>
      <c r="O2256" s="1"/>
      <c r="P2256" s="1"/>
      <c r="Q2256" s="1"/>
      <c r="R2256" s="1"/>
    </row>
    <row r="2257" spans="2:18" s="12" customFormat="1" x14ac:dyDescent="0.15">
      <c r="B2257" s="12" t="s">
        <v>942</v>
      </c>
      <c r="C2257" s="13" t="s">
        <v>970</v>
      </c>
      <c r="D2257" s="13" t="s">
        <v>969</v>
      </c>
      <c r="E2257" s="15"/>
      <c r="F2257" s="15">
        <f>SUM(F2258:F2259)</f>
        <v>20.166666666666668</v>
      </c>
      <c r="G2257" s="14">
        <f>G2258</f>
        <v>44056</v>
      </c>
      <c r="M2257" s="13"/>
      <c r="N2257" s="13"/>
      <c r="O2257" s="13"/>
      <c r="P2257" s="13"/>
      <c r="Q2257" s="13"/>
      <c r="R2257" s="13"/>
    </row>
    <row r="2258" spans="2:18" x14ac:dyDescent="0.15">
      <c r="C2258" s="2" t="s">
        <v>7</v>
      </c>
      <c r="D2258" s="2" t="s">
        <v>431</v>
      </c>
      <c r="E2258" s="3">
        <v>13</v>
      </c>
      <c r="F2258" s="3">
        <v>13</v>
      </c>
      <c r="G2258" s="4">
        <v>44056</v>
      </c>
    </row>
    <row r="2259" spans="2:18" x14ac:dyDescent="0.15">
      <c r="C2259" s="2" t="s">
        <v>5</v>
      </c>
      <c r="D2259" s="2" t="s">
        <v>80</v>
      </c>
      <c r="E2259" s="3">
        <v>43</v>
      </c>
      <c r="F2259" s="3">
        <f>+E2259/6</f>
        <v>7.166666666666667</v>
      </c>
      <c r="G2259" s="4">
        <v>43622</v>
      </c>
    </row>
    <row r="2260" spans="2:18" x14ac:dyDescent="0.15">
      <c r="G2260" s="4"/>
    </row>
    <row r="2261" spans="2:18" s="12" customFormat="1" x14ac:dyDescent="0.15">
      <c r="B2261" s="12" t="s">
        <v>562</v>
      </c>
      <c r="C2261" s="13" t="s">
        <v>970</v>
      </c>
      <c r="D2261" s="13" t="s">
        <v>969</v>
      </c>
      <c r="E2261" s="15"/>
      <c r="F2261" s="15">
        <f>SUM(F2262:F2263)</f>
        <v>20</v>
      </c>
      <c r="G2261" s="14">
        <f>G2263</f>
        <v>44831</v>
      </c>
    </row>
    <row r="2262" spans="2:18" x14ac:dyDescent="0.15">
      <c r="C2262" s="2" t="s">
        <v>5</v>
      </c>
      <c r="D2262" s="2" t="s">
        <v>560</v>
      </c>
      <c r="E2262" s="3">
        <v>20</v>
      </c>
      <c r="F2262" s="3">
        <v>10</v>
      </c>
      <c r="G2262" s="4">
        <v>44671</v>
      </c>
      <c r="M2262" s="1"/>
      <c r="N2262" s="1"/>
      <c r="O2262" s="1"/>
      <c r="P2262" s="1"/>
      <c r="Q2262" s="1"/>
      <c r="R2262" s="1"/>
    </row>
    <row r="2263" spans="2:18" x14ac:dyDescent="0.15">
      <c r="C2263" s="169" t="s">
        <v>7</v>
      </c>
      <c r="D2263" s="169" t="s">
        <v>2046</v>
      </c>
      <c r="E2263" s="3">
        <v>42</v>
      </c>
      <c r="F2263" s="3">
        <v>10</v>
      </c>
      <c r="G2263" s="4">
        <v>44831</v>
      </c>
      <c r="M2263" s="1"/>
      <c r="N2263" s="1"/>
      <c r="O2263" s="1"/>
      <c r="P2263" s="1"/>
      <c r="Q2263" s="1"/>
      <c r="R2263" s="1"/>
    </row>
    <row r="2264" spans="2:18" x14ac:dyDescent="0.15">
      <c r="G2264" s="4"/>
      <c r="M2264" s="1"/>
      <c r="N2264" s="1"/>
      <c r="O2264" s="1"/>
      <c r="P2264" s="1"/>
      <c r="Q2264" s="1"/>
      <c r="R2264" s="1"/>
    </row>
    <row r="2265" spans="2:18" s="12" customFormat="1" x14ac:dyDescent="0.15">
      <c r="B2265" s="12" t="s">
        <v>4427</v>
      </c>
      <c r="C2265" s="13" t="s">
        <v>970</v>
      </c>
      <c r="D2265" s="13" t="s">
        <v>969</v>
      </c>
      <c r="E2265" s="15"/>
      <c r="F2265" s="15">
        <f>SUM(F2266:F2269)</f>
        <v>20</v>
      </c>
      <c r="G2265" s="14">
        <f>G2266</f>
        <v>44578</v>
      </c>
      <c r="M2265" s="13"/>
      <c r="N2265" s="13"/>
      <c r="O2265" s="13"/>
      <c r="P2265" s="13"/>
      <c r="Q2265" s="13"/>
      <c r="R2265" s="13"/>
    </row>
    <row r="2266" spans="2:18" x14ac:dyDescent="0.15">
      <c r="C2266" s="2" t="s">
        <v>7</v>
      </c>
      <c r="D2266" s="2" t="s">
        <v>2136</v>
      </c>
      <c r="E2266" s="3">
        <f>176</f>
        <v>176</v>
      </c>
      <c r="F2266" s="3">
        <f>150/12</f>
        <v>12.5</v>
      </c>
      <c r="G2266" s="4">
        <v>44578</v>
      </c>
    </row>
    <row r="2267" spans="2:18" x14ac:dyDescent="0.15">
      <c r="C2267" s="2" t="s">
        <v>5</v>
      </c>
      <c r="D2267" s="2" t="s">
        <v>2136</v>
      </c>
      <c r="E2267" s="3">
        <v>20</v>
      </c>
      <c r="F2267" s="3">
        <f>15/6</f>
        <v>2.5</v>
      </c>
      <c r="G2267" s="4">
        <v>44044</v>
      </c>
    </row>
    <row r="2268" spans="2:18" x14ac:dyDescent="0.15">
      <c r="C2268" s="2" t="s">
        <v>5</v>
      </c>
      <c r="D2268" s="2" t="s">
        <v>2136</v>
      </c>
      <c r="E2268" s="3">
        <v>20</v>
      </c>
      <c r="F2268" s="3">
        <f>12/4</f>
        <v>3</v>
      </c>
      <c r="G2268" s="4">
        <v>43647</v>
      </c>
    </row>
    <row r="2269" spans="2:18" x14ac:dyDescent="0.15">
      <c r="C2269" s="100" t="s">
        <v>5</v>
      </c>
      <c r="D2269" s="100" t="s">
        <v>6042</v>
      </c>
      <c r="E2269" s="3">
        <v>12</v>
      </c>
      <c r="F2269" s="3">
        <v>2</v>
      </c>
      <c r="G2269" s="4">
        <v>43941</v>
      </c>
    </row>
    <row r="2270" spans="2:18" x14ac:dyDescent="0.15">
      <c r="G2270" s="4"/>
    </row>
    <row r="2271" spans="2:18" s="12" customFormat="1" x14ac:dyDescent="0.15">
      <c r="B2271" s="12" t="s">
        <v>617</v>
      </c>
      <c r="C2271" s="13" t="s">
        <v>970</v>
      </c>
      <c r="D2271" s="13" t="s">
        <v>969</v>
      </c>
      <c r="E2271" s="15"/>
      <c r="F2271" s="15">
        <f>SUM(F2272:F2275)</f>
        <v>19.2</v>
      </c>
      <c r="G2271" s="14">
        <f>G2272</f>
        <v>44215</v>
      </c>
    </row>
    <row r="2272" spans="2:18" x14ac:dyDescent="0.15">
      <c r="C2272" s="2" t="s">
        <v>9</v>
      </c>
      <c r="D2272" s="2" t="s">
        <v>607</v>
      </c>
      <c r="E2272" s="3">
        <v>132</v>
      </c>
      <c r="F2272" s="3">
        <f>72/10</f>
        <v>7.2</v>
      </c>
      <c r="G2272" s="4">
        <v>44215</v>
      </c>
      <c r="M2272" s="1"/>
      <c r="N2272" s="1"/>
      <c r="O2272" s="1"/>
      <c r="P2272" s="1"/>
      <c r="Q2272" s="1"/>
      <c r="R2272" s="1"/>
    </row>
    <row r="2273" spans="2:18" x14ac:dyDescent="0.15">
      <c r="C2273" s="2" t="s">
        <v>8</v>
      </c>
      <c r="D2273" s="2" t="s">
        <v>607</v>
      </c>
      <c r="E2273" s="3">
        <v>42</v>
      </c>
      <c r="F2273" s="3">
        <f>30/5</f>
        <v>6</v>
      </c>
      <c r="G2273" s="4">
        <v>44153</v>
      </c>
      <c r="M2273" s="1"/>
      <c r="N2273" s="1"/>
      <c r="O2273" s="1"/>
      <c r="P2273" s="1"/>
      <c r="Q2273" s="1"/>
      <c r="R2273" s="1"/>
    </row>
    <row r="2274" spans="2:18" x14ac:dyDescent="0.15">
      <c r="C2274" s="2" t="s">
        <v>18</v>
      </c>
      <c r="D2274" s="2" t="s">
        <v>607</v>
      </c>
      <c r="E2274" s="3">
        <v>48</v>
      </c>
      <c r="F2274" s="3">
        <f>28/7</f>
        <v>4</v>
      </c>
      <c r="G2274" s="4">
        <v>43888</v>
      </c>
      <c r="M2274" s="1"/>
      <c r="N2274" s="1"/>
      <c r="O2274" s="1"/>
      <c r="P2274" s="1"/>
      <c r="Q2274" s="1"/>
      <c r="R2274" s="1"/>
    </row>
    <row r="2275" spans="2:18" x14ac:dyDescent="0.15">
      <c r="C2275" s="2" t="s">
        <v>7</v>
      </c>
      <c r="D2275" s="2" t="s">
        <v>607</v>
      </c>
      <c r="E2275" s="3">
        <v>25</v>
      </c>
      <c r="F2275" s="3">
        <f>10/5</f>
        <v>2</v>
      </c>
      <c r="G2275" s="4">
        <v>43440</v>
      </c>
      <c r="M2275" s="1"/>
      <c r="N2275" s="1"/>
      <c r="O2275" s="1"/>
      <c r="P2275" s="1"/>
      <c r="Q2275" s="1"/>
      <c r="R2275" s="1"/>
    </row>
    <row r="2276" spans="2:18" x14ac:dyDescent="0.15">
      <c r="G2276" s="4"/>
      <c r="M2276" s="1"/>
      <c r="N2276" s="1"/>
      <c r="O2276" s="1"/>
      <c r="P2276" s="1"/>
      <c r="Q2276" s="1"/>
      <c r="R2276" s="1"/>
    </row>
    <row r="2277" spans="2:18" s="12" customFormat="1" x14ac:dyDescent="0.15">
      <c r="B2277" s="12" t="s">
        <v>1032</v>
      </c>
      <c r="C2277" s="13" t="s">
        <v>970</v>
      </c>
      <c r="D2277" s="13" t="s">
        <v>969</v>
      </c>
      <c r="E2277" s="15"/>
      <c r="F2277" s="15">
        <f>SUM(F2278:F2280)</f>
        <v>18.866666666666667</v>
      </c>
      <c r="G2277" s="14">
        <f>G2278</f>
        <v>45035</v>
      </c>
      <c r="M2277" s="13"/>
      <c r="N2277" s="13"/>
      <c r="O2277" s="13"/>
      <c r="P2277" s="13"/>
      <c r="Q2277" s="13"/>
      <c r="R2277" s="13"/>
    </row>
    <row r="2278" spans="2:18" x14ac:dyDescent="0.15">
      <c r="C2278" s="2" t="s">
        <v>5</v>
      </c>
      <c r="D2278" s="2" t="s">
        <v>902</v>
      </c>
      <c r="E2278" s="3">
        <v>70</v>
      </c>
      <c r="F2278" s="3">
        <f>40/6</f>
        <v>6.666666666666667</v>
      </c>
      <c r="G2278" s="4">
        <v>45035</v>
      </c>
    </row>
    <row r="2279" spans="2:18" x14ac:dyDescent="0.15">
      <c r="C2279" s="2" t="s">
        <v>4</v>
      </c>
      <c r="D2279" s="2" t="s">
        <v>302</v>
      </c>
      <c r="E2279" s="3">
        <v>1.8</v>
      </c>
      <c r="F2279" s="3">
        <v>0.2</v>
      </c>
      <c r="G2279" s="4">
        <v>42690</v>
      </c>
    </row>
    <row r="2280" spans="2:18" x14ac:dyDescent="0.15">
      <c r="C2280" s="2" t="s">
        <v>8</v>
      </c>
      <c r="D2280" s="2" t="s">
        <v>176</v>
      </c>
      <c r="E2280" s="3">
        <v>130</v>
      </c>
      <c r="F2280" s="3">
        <v>12</v>
      </c>
      <c r="G2280" s="4">
        <v>42080</v>
      </c>
      <c r="I2280" s="1">
        <v>570</v>
      </c>
    </row>
    <row r="2281" spans="2:18" x14ac:dyDescent="0.15">
      <c r="G2281" s="4"/>
    </row>
    <row r="2282" spans="2:18" x14ac:dyDescent="0.15">
      <c r="B2282" s="12" t="s">
        <v>1031</v>
      </c>
      <c r="C2282" s="13" t="s">
        <v>970</v>
      </c>
      <c r="D2282" s="13" t="s">
        <v>969</v>
      </c>
      <c r="F2282" s="15">
        <f>SUM(F2283:F2287)</f>
        <v>19</v>
      </c>
      <c r="G2282" s="14">
        <f>+G2285</f>
        <v>44698</v>
      </c>
    </row>
    <row r="2283" spans="2:18" x14ac:dyDescent="0.15">
      <c r="C2283" s="2" t="s">
        <v>7</v>
      </c>
      <c r="D2283" s="2" t="s">
        <v>799</v>
      </c>
      <c r="E2283" s="3">
        <v>22</v>
      </c>
      <c r="F2283" s="3">
        <v>5</v>
      </c>
      <c r="G2283" s="4">
        <v>44153</v>
      </c>
    </row>
    <row r="2284" spans="2:18" x14ac:dyDescent="0.15">
      <c r="C2284" s="2" t="s">
        <v>5</v>
      </c>
      <c r="D2284" s="2" t="s">
        <v>799</v>
      </c>
      <c r="E2284" s="3">
        <v>13</v>
      </c>
      <c r="F2284" s="3">
        <v>3</v>
      </c>
      <c r="G2284" s="4">
        <v>44026</v>
      </c>
    </row>
    <row r="2285" spans="2:18" x14ac:dyDescent="0.15">
      <c r="C2285" s="2" t="s">
        <v>5</v>
      </c>
      <c r="D2285" s="2" t="s">
        <v>774</v>
      </c>
      <c r="E2285" s="3">
        <v>12.8</v>
      </c>
      <c r="F2285" s="3">
        <v>3</v>
      </c>
      <c r="G2285" s="4">
        <v>44698</v>
      </c>
    </row>
    <row r="2286" spans="2:18" x14ac:dyDescent="0.15">
      <c r="C2286" s="2" t="s">
        <v>4</v>
      </c>
      <c r="D2286" s="2" t="s">
        <v>774</v>
      </c>
      <c r="E2286" s="3">
        <v>5.5</v>
      </c>
      <c r="F2286" s="3">
        <v>3</v>
      </c>
      <c r="G2286" s="4">
        <v>44488</v>
      </c>
    </row>
    <row r="2287" spans="2:18" x14ac:dyDescent="0.15">
      <c r="C2287" s="2" t="s">
        <v>5</v>
      </c>
      <c r="D2287" s="2" t="s">
        <v>298</v>
      </c>
      <c r="E2287" s="3">
        <v>15</v>
      </c>
      <c r="F2287" s="3">
        <v>5</v>
      </c>
      <c r="G2287" s="4">
        <v>44314</v>
      </c>
    </row>
    <row r="2288" spans="2:18" x14ac:dyDescent="0.15">
      <c r="G2288" s="4"/>
    </row>
    <row r="2289" spans="2:18" s="12" customFormat="1" x14ac:dyDescent="0.15">
      <c r="B2289" s="12" t="s">
        <v>7698</v>
      </c>
      <c r="C2289" s="13" t="s">
        <v>970</v>
      </c>
      <c r="D2289" s="13" t="s">
        <v>969</v>
      </c>
      <c r="E2289" s="15"/>
      <c r="F2289" s="15">
        <f>SUM(F2290:F2292)</f>
        <v>19.25</v>
      </c>
      <c r="G2289" s="14">
        <f>G2291</f>
        <v>44811</v>
      </c>
    </row>
    <row r="2290" spans="2:18" x14ac:dyDescent="0.15">
      <c r="C2290" s="2" t="s">
        <v>5</v>
      </c>
      <c r="D2290" s="2" t="s">
        <v>549</v>
      </c>
      <c r="E2290" s="3">
        <v>10.5</v>
      </c>
      <c r="F2290" s="3">
        <f>5/5</f>
        <v>1</v>
      </c>
      <c r="G2290" s="4">
        <v>44341</v>
      </c>
      <c r="M2290" s="1"/>
      <c r="N2290" s="1"/>
      <c r="O2290" s="1"/>
      <c r="P2290" s="1"/>
      <c r="Q2290" s="1"/>
      <c r="R2290" s="1"/>
    </row>
    <row r="2291" spans="2:18" x14ac:dyDescent="0.15">
      <c r="C2291" s="2" t="s">
        <v>7</v>
      </c>
      <c r="D2291" s="2" t="s">
        <v>543</v>
      </c>
      <c r="E2291" s="3">
        <v>40</v>
      </c>
      <c r="F2291" s="3">
        <f>25/4</f>
        <v>6.25</v>
      </c>
      <c r="G2291" s="4">
        <v>44811</v>
      </c>
      <c r="M2291" s="1"/>
      <c r="N2291" s="1"/>
      <c r="O2291" s="1"/>
      <c r="P2291" s="1"/>
      <c r="Q2291" s="1"/>
      <c r="R2291" s="1"/>
    </row>
    <row r="2292" spans="2:18" x14ac:dyDescent="0.15">
      <c r="C2292" s="2" t="s">
        <v>18</v>
      </c>
      <c r="D2292" s="2" t="s">
        <v>2134</v>
      </c>
      <c r="E2292" s="3">
        <v>200</v>
      </c>
      <c r="F2292" s="3">
        <v>12</v>
      </c>
      <c r="G2292" s="4">
        <v>44557</v>
      </c>
      <c r="I2292" s="1">
        <v>1300</v>
      </c>
      <c r="J2292" s="1">
        <v>1300</v>
      </c>
      <c r="M2292" s="1"/>
      <c r="N2292" s="1"/>
      <c r="O2292" s="1"/>
      <c r="P2292" s="1"/>
      <c r="Q2292" s="1"/>
      <c r="R2292" s="1"/>
    </row>
    <row r="2293" spans="2:18" x14ac:dyDescent="0.15">
      <c r="G2293" s="4"/>
      <c r="M2293" s="1"/>
      <c r="N2293" s="1"/>
      <c r="O2293" s="1"/>
      <c r="P2293" s="1"/>
      <c r="Q2293" s="1"/>
      <c r="R2293" s="1"/>
    </row>
    <row r="2294" spans="2:18" s="12" customFormat="1" x14ac:dyDescent="0.15">
      <c r="B2294" s="12" t="s">
        <v>489</v>
      </c>
      <c r="C2294" s="13" t="s">
        <v>970</v>
      </c>
      <c r="D2294" s="13" t="s">
        <v>969</v>
      </c>
      <c r="E2294" s="15"/>
      <c r="F2294" s="15">
        <f>SUM(F2295:F2299)</f>
        <v>18.8</v>
      </c>
      <c r="G2294" s="14">
        <f>G2296</f>
        <v>44518</v>
      </c>
    </row>
    <row r="2295" spans="2:18" x14ac:dyDescent="0.15">
      <c r="B2295" s="258" t="s">
        <v>7697</v>
      </c>
      <c r="C2295" s="2" t="s">
        <v>5</v>
      </c>
      <c r="D2295" s="2" t="s">
        <v>484</v>
      </c>
      <c r="E2295" s="3">
        <v>13</v>
      </c>
      <c r="F2295" s="3">
        <v>4</v>
      </c>
      <c r="G2295" s="4">
        <v>44516</v>
      </c>
      <c r="M2295" s="1"/>
      <c r="N2295" s="1"/>
      <c r="O2295" s="1"/>
      <c r="P2295" s="1"/>
      <c r="Q2295" s="1"/>
      <c r="R2295" s="1"/>
    </row>
    <row r="2296" spans="2:18" x14ac:dyDescent="0.15">
      <c r="C2296" s="149" t="s">
        <v>7</v>
      </c>
      <c r="D2296" s="149" t="s">
        <v>2062</v>
      </c>
      <c r="E2296" s="3">
        <v>50</v>
      </c>
      <c r="F2296" s="3">
        <v>10</v>
      </c>
      <c r="G2296" s="4">
        <v>44518</v>
      </c>
      <c r="M2296" s="1"/>
      <c r="N2296" s="1"/>
      <c r="O2296" s="1"/>
      <c r="P2296" s="1"/>
      <c r="Q2296" s="1"/>
      <c r="R2296" s="1"/>
    </row>
    <row r="2297" spans="2:18" x14ac:dyDescent="0.15">
      <c r="C2297" s="149" t="s">
        <v>5</v>
      </c>
      <c r="D2297" s="149" t="s">
        <v>2062</v>
      </c>
      <c r="E2297" s="3">
        <v>13</v>
      </c>
      <c r="F2297" s="3">
        <v>3</v>
      </c>
      <c r="G2297" s="4">
        <v>44294</v>
      </c>
      <c r="M2297" s="1"/>
      <c r="N2297" s="1"/>
      <c r="O2297" s="1"/>
      <c r="P2297" s="1"/>
      <c r="Q2297" s="1"/>
      <c r="R2297" s="1"/>
    </row>
    <row r="2298" spans="2:18" x14ac:dyDescent="0.15">
      <c r="C2298" s="149" t="s">
        <v>4</v>
      </c>
      <c r="D2298" s="149" t="s">
        <v>2062</v>
      </c>
      <c r="E2298" s="3">
        <v>4.5</v>
      </c>
      <c r="F2298" s="3">
        <v>1.5</v>
      </c>
      <c r="G2298" s="4">
        <v>43943</v>
      </c>
      <c r="M2298" s="1"/>
      <c r="N2298" s="1"/>
      <c r="O2298" s="1"/>
      <c r="P2298" s="1"/>
      <c r="Q2298" s="1"/>
      <c r="R2298" s="1"/>
    </row>
    <row r="2299" spans="2:18" x14ac:dyDescent="0.15">
      <c r="C2299" s="149" t="s">
        <v>4</v>
      </c>
      <c r="D2299" s="149" t="s">
        <v>2062</v>
      </c>
      <c r="E2299" s="3">
        <v>2.2999999999999998</v>
      </c>
      <c r="F2299" s="3">
        <v>0.3</v>
      </c>
      <c r="G2299" s="4">
        <v>43195</v>
      </c>
      <c r="M2299" s="1"/>
      <c r="N2299" s="1"/>
      <c r="O2299" s="1"/>
      <c r="P2299" s="1"/>
      <c r="Q2299" s="1"/>
      <c r="R2299" s="1"/>
    </row>
    <row r="2300" spans="2:18" x14ac:dyDescent="0.15">
      <c r="G2300" s="4"/>
      <c r="M2300" s="1"/>
      <c r="N2300" s="1"/>
      <c r="O2300" s="1"/>
      <c r="P2300" s="1"/>
      <c r="Q2300" s="1"/>
      <c r="R2300" s="1"/>
    </row>
    <row r="2301" spans="2:18" s="12" customFormat="1" x14ac:dyDescent="0.15">
      <c r="B2301" s="12" t="s">
        <v>5043</v>
      </c>
      <c r="C2301" s="13" t="s">
        <v>970</v>
      </c>
      <c r="D2301" s="13" t="s">
        <v>969</v>
      </c>
      <c r="E2301" s="15"/>
      <c r="F2301" s="15">
        <f>SUM(F2302:F2304)</f>
        <v>18.071428571428569</v>
      </c>
      <c r="G2301" s="14">
        <f>G2303</f>
        <v>44880</v>
      </c>
      <c r="M2301" s="13"/>
      <c r="N2301" s="13"/>
      <c r="O2301" s="13"/>
      <c r="P2301" s="13"/>
      <c r="Q2301" s="13"/>
      <c r="R2301" s="13"/>
    </row>
    <row r="2302" spans="2:18" x14ac:dyDescent="0.15">
      <c r="C2302" s="2" t="s">
        <v>5</v>
      </c>
      <c r="D2302" s="2" t="s">
        <v>702</v>
      </c>
      <c r="E2302" s="3">
        <v>50</v>
      </c>
      <c r="F2302" s="3">
        <f>30/12</f>
        <v>2.5</v>
      </c>
      <c r="G2302" s="4">
        <v>44796</v>
      </c>
    </row>
    <row r="2303" spans="2:18" x14ac:dyDescent="0.15">
      <c r="C2303" s="2" t="s">
        <v>8</v>
      </c>
      <c r="D2303" s="2" t="s">
        <v>131</v>
      </c>
      <c r="E2303" s="3">
        <v>135</v>
      </c>
      <c r="F2303" s="3">
        <v>8</v>
      </c>
      <c r="G2303" s="4">
        <v>44880</v>
      </c>
    </row>
    <row r="2304" spans="2:18" x14ac:dyDescent="0.15">
      <c r="C2304" s="2" t="s">
        <v>18</v>
      </c>
      <c r="D2304" s="2" t="s">
        <v>131</v>
      </c>
      <c r="E2304" s="3">
        <v>73</v>
      </c>
      <c r="F2304" s="3">
        <f>53/7</f>
        <v>7.5714285714285712</v>
      </c>
      <c r="G2304" s="4">
        <v>44565</v>
      </c>
    </row>
    <row r="2305" spans="2:18" x14ac:dyDescent="0.15">
      <c r="G2305" s="4"/>
    </row>
    <row r="2306" spans="2:18" s="12" customFormat="1" x14ac:dyDescent="0.15">
      <c r="B2306" s="12" t="s">
        <v>481</v>
      </c>
      <c r="C2306" s="13" t="s">
        <v>970</v>
      </c>
      <c r="D2306" s="13" t="s">
        <v>969</v>
      </c>
      <c r="E2306" s="15"/>
      <c r="F2306" s="15">
        <f>SUM(F2307:F2308)</f>
        <v>18.3</v>
      </c>
      <c r="G2306" s="14">
        <f>G2307</f>
        <v>44398</v>
      </c>
    </row>
    <row r="2307" spans="2:18" x14ac:dyDescent="0.15">
      <c r="C2307" s="2" t="s">
        <v>7</v>
      </c>
      <c r="D2307" s="2" t="s">
        <v>476</v>
      </c>
      <c r="E2307" s="3">
        <v>90</v>
      </c>
      <c r="F2307" s="3">
        <v>15</v>
      </c>
      <c r="G2307" s="4">
        <v>44398</v>
      </c>
      <c r="M2307" s="1"/>
      <c r="N2307" s="1"/>
      <c r="O2307" s="1"/>
      <c r="P2307" s="1"/>
      <c r="Q2307" s="1"/>
      <c r="R2307" s="1"/>
    </row>
    <row r="2308" spans="2:18" x14ac:dyDescent="0.15">
      <c r="C2308" s="2" t="s">
        <v>5</v>
      </c>
      <c r="D2308" s="2" t="s">
        <v>476</v>
      </c>
      <c r="E2308" s="3">
        <v>22.8</v>
      </c>
      <c r="F2308" s="3">
        <v>3.3</v>
      </c>
      <c r="G2308" s="4">
        <v>43160</v>
      </c>
      <c r="M2308" s="1"/>
      <c r="N2308" s="1"/>
      <c r="O2308" s="1"/>
      <c r="P2308" s="1"/>
      <c r="Q2308" s="1"/>
      <c r="R2308" s="1"/>
    </row>
    <row r="2309" spans="2:18" x14ac:dyDescent="0.15">
      <c r="G2309" s="4"/>
      <c r="M2309" s="1"/>
      <c r="N2309" s="1"/>
      <c r="O2309" s="1"/>
      <c r="P2309" s="1"/>
      <c r="Q2309" s="1"/>
      <c r="R2309" s="1"/>
    </row>
    <row r="2310" spans="2:18" s="12" customFormat="1" x14ac:dyDescent="0.15">
      <c r="B2310" s="12" t="s">
        <v>1030</v>
      </c>
      <c r="C2310" s="13" t="s">
        <v>970</v>
      </c>
      <c r="D2310" s="13" t="s">
        <v>969</v>
      </c>
      <c r="E2310" s="15"/>
      <c r="F2310" s="15">
        <f>SUM(F2311:F2317)</f>
        <v>17.533333333333335</v>
      </c>
      <c r="G2310" s="14">
        <f>G2311</f>
        <v>44643</v>
      </c>
      <c r="M2310" s="13"/>
      <c r="N2310" s="13"/>
      <c r="O2310" s="13"/>
      <c r="P2310" s="13"/>
      <c r="Q2310" s="13"/>
      <c r="R2310" s="13"/>
    </row>
    <row r="2311" spans="2:18" x14ac:dyDescent="0.15">
      <c r="C2311" s="2" t="s">
        <v>7</v>
      </c>
      <c r="D2311" s="2" t="s">
        <v>694</v>
      </c>
      <c r="E2311" s="3">
        <v>50</v>
      </c>
      <c r="F2311" s="3">
        <f>25/3</f>
        <v>8.3333333333333339</v>
      </c>
      <c r="G2311" s="4">
        <v>44643</v>
      </c>
    </row>
    <row r="2312" spans="2:18" x14ac:dyDescent="0.15">
      <c r="C2312" s="2" t="s">
        <v>5</v>
      </c>
      <c r="D2312" s="2" t="s">
        <v>694</v>
      </c>
      <c r="E2312" s="3">
        <v>18.5</v>
      </c>
      <c r="F2312" s="3">
        <f>10/4</f>
        <v>2.5</v>
      </c>
      <c r="G2312" s="4">
        <v>44242</v>
      </c>
    </row>
    <row r="2313" spans="2:18" x14ac:dyDescent="0.15">
      <c r="C2313" s="2" t="s">
        <v>4</v>
      </c>
      <c r="D2313" s="2" t="s">
        <v>694</v>
      </c>
      <c r="E2313" s="3">
        <v>3.5</v>
      </c>
      <c r="F2313" s="3">
        <v>1.5</v>
      </c>
      <c r="G2313" s="4">
        <v>43631</v>
      </c>
    </row>
    <row r="2314" spans="2:18" x14ac:dyDescent="0.15">
      <c r="C2314" s="2" t="s">
        <v>5</v>
      </c>
      <c r="D2314" s="2" t="s">
        <v>657</v>
      </c>
      <c r="E2314" s="3">
        <v>12.6</v>
      </c>
      <c r="F2314" s="3">
        <v>2.2000000000000002</v>
      </c>
      <c r="G2314" s="4">
        <v>44579</v>
      </c>
    </row>
    <row r="2315" spans="2:18" x14ac:dyDescent="0.15">
      <c r="C2315" s="2" t="s">
        <v>4</v>
      </c>
      <c r="D2315" s="2" t="s">
        <v>657</v>
      </c>
      <c r="E2315" s="3">
        <v>3</v>
      </c>
      <c r="F2315" s="3">
        <v>1</v>
      </c>
      <c r="G2315" s="4">
        <v>43999</v>
      </c>
    </row>
    <row r="2316" spans="2:18" x14ac:dyDescent="0.15">
      <c r="C2316" s="2" t="s">
        <v>5</v>
      </c>
      <c r="D2316" s="2" t="s">
        <v>549</v>
      </c>
      <c r="E2316" s="3">
        <v>10.5</v>
      </c>
      <c r="F2316" s="3">
        <v>1</v>
      </c>
      <c r="G2316" s="4">
        <v>44341</v>
      </c>
    </row>
    <row r="2317" spans="2:18" x14ac:dyDescent="0.15">
      <c r="C2317" s="2" t="s">
        <v>4</v>
      </c>
      <c r="D2317" s="2" t="s">
        <v>549</v>
      </c>
      <c r="E2317" s="3">
        <v>4</v>
      </c>
      <c r="F2317" s="3">
        <v>1</v>
      </c>
      <c r="G2317" s="4">
        <v>43671</v>
      </c>
    </row>
    <row r="2318" spans="2:18" x14ac:dyDescent="0.15">
      <c r="G2318" s="4"/>
    </row>
    <row r="2319" spans="2:18" x14ac:dyDescent="0.15">
      <c r="B2319" s="12" t="s">
        <v>1029</v>
      </c>
      <c r="C2319" s="13" t="s">
        <v>970</v>
      </c>
      <c r="D2319" s="13" t="s">
        <v>969</v>
      </c>
      <c r="E2319" s="15"/>
      <c r="F2319" s="15">
        <f>SUM(F2320:F2323)</f>
        <v>18</v>
      </c>
      <c r="G2319" s="14">
        <f>G2322</f>
        <v>44467</v>
      </c>
    </row>
    <row r="2320" spans="2:18" x14ac:dyDescent="0.15">
      <c r="C2320" s="2" t="s">
        <v>7</v>
      </c>
      <c r="D2320" s="2" t="s">
        <v>963</v>
      </c>
      <c r="E2320" s="3">
        <v>45</v>
      </c>
      <c r="F2320" s="3">
        <v>10</v>
      </c>
      <c r="G2320" s="4">
        <v>44228</v>
      </c>
    </row>
    <row r="2321" spans="2:18" x14ac:dyDescent="0.15">
      <c r="C2321" s="2" t="s">
        <v>5</v>
      </c>
      <c r="D2321" s="2" t="s">
        <v>963</v>
      </c>
      <c r="E2321" s="3">
        <v>5</v>
      </c>
      <c r="F2321" s="3">
        <v>2</v>
      </c>
      <c r="G2321" s="4">
        <v>43251</v>
      </c>
    </row>
    <row r="2322" spans="2:18" x14ac:dyDescent="0.15">
      <c r="C2322" s="2" t="s">
        <v>5</v>
      </c>
      <c r="D2322" s="2" t="s">
        <v>985</v>
      </c>
      <c r="E2322" s="3">
        <v>19</v>
      </c>
      <c r="F2322" s="3">
        <v>4</v>
      </c>
      <c r="G2322" s="4">
        <v>44467</v>
      </c>
    </row>
    <row r="2323" spans="2:18" x14ac:dyDescent="0.15">
      <c r="C2323" s="2" t="s">
        <v>4</v>
      </c>
      <c r="D2323" s="2" t="s">
        <v>985</v>
      </c>
      <c r="E2323" s="3">
        <v>4</v>
      </c>
      <c r="F2323" s="3">
        <v>2</v>
      </c>
      <c r="G2323" s="4">
        <v>43873</v>
      </c>
    </row>
    <row r="2324" spans="2:18" x14ac:dyDescent="0.15">
      <c r="G2324" s="4"/>
    </row>
    <row r="2325" spans="2:18" s="12" customFormat="1" x14ac:dyDescent="0.15">
      <c r="B2325" s="12" t="s">
        <v>473</v>
      </c>
      <c r="C2325" s="13" t="s">
        <v>970</v>
      </c>
      <c r="D2325" s="13" t="s">
        <v>969</v>
      </c>
      <c r="E2325" s="15"/>
      <c r="F2325" s="15">
        <f>SUM(F2326:F2330)</f>
        <v>17.5</v>
      </c>
      <c r="G2325" s="14">
        <f>G2326</f>
        <v>45104</v>
      </c>
    </row>
    <row r="2326" spans="2:18" x14ac:dyDescent="0.15">
      <c r="C2326" s="2" t="s">
        <v>4</v>
      </c>
      <c r="D2326" s="2" t="s">
        <v>470</v>
      </c>
      <c r="E2326" s="3">
        <v>6</v>
      </c>
      <c r="F2326" s="3">
        <v>1</v>
      </c>
      <c r="G2326" s="4">
        <v>45104</v>
      </c>
      <c r="M2326" s="1"/>
      <c r="N2326" s="1"/>
      <c r="O2326" s="1"/>
      <c r="P2326" s="1"/>
      <c r="Q2326" s="1"/>
      <c r="R2326" s="1"/>
    </row>
    <row r="2327" spans="2:18" x14ac:dyDescent="0.15">
      <c r="C2327" s="2" t="s">
        <v>7</v>
      </c>
      <c r="D2327" s="2" t="s">
        <v>404</v>
      </c>
      <c r="E2327" s="3">
        <v>50</v>
      </c>
      <c r="F2327" s="3">
        <v>5</v>
      </c>
      <c r="G2327" s="4">
        <v>44538</v>
      </c>
      <c r="M2327" s="1"/>
      <c r="N2327" s="1"/>
      <c r="O2327" s="1"/>
      <c r="P2327" s="1"/>
      <c r="Q2327" s="1"/>
      <c r="R2327" s="1"/>
    </row>
    <row r="2328" spans="2:18" x14ac:dyDescent="0.15">
      <c r="C2328" s="2" t="s">
        <v>4</v>
      </c>
      <c r="D2328" s="2" t="s">
        <v>404</v>
      </c>
      <c r="E2328" s="3">
        <v>3.1</v>
      </c>
      <c r="F2328" s="3">
        <v>0.5</v>
      </c>
      <c r="G2328" s="4">
        <v>43580</v>
      </c>
      <c r="M2328" s="1"/>
      <c r="N2328" s="1"/>
      <c r="O2328" s="1"/>
      <c r="P2328" s="1"/>
      <c r="Q2328" s="1"/>
      <c r="R2328" s="1"/>
    </row>
    <row r="2329" spans="2:18" x14ac:dyDescent="0.15">
      <c r="C2329" s="2" t="s">
        <v>5</v>
      </c>
      <c r="D2329" s="2" t="s">
        <v>381</v>
      </c>
      <c r="E2329" s="3">
        <v>86</v>
      </c>
      <c r="F2329" s="3">
        <v>10</v>
      </c>
      <c r="G2329" s="4">
        <v>44488</v>
      </c>
      <c r="M2329" s="1"/>
      <c r="N2329" s="1"/>
      <c r="O2329" s="1"/>
      <c r="P2329" s="1"/>
      <c r="Q2329" s="1"/>
      <c r="R2329" s="1"/>
    </row>
    <row r="2330" spans="2:18" x14ac:dyDescent="0.15">
      <c r="C2330" s="2" t="s">
        <v>4</v>
      </c>
      <c r="D2330" s="2" t="s">
        <v>381</v>
      </c>
      <c r="E2330" s="3">
        <v>8.5</v>
      </c>
      <c r="F2330" s="3">
        <v>1</v>
      </c>
      <c r="G2330" s="4">
        <v>43796</v>
      </c>
      <c r="M2330" s="1"/>
      <c r="N2330" s="1"/>
      <c r="O2330" s="1"/>
      <c r="P2330" s="1"/>
      <c r="Q2330" s="1"/>
      <c r="R2330" s="1"/>
    </row>
    <row r="2331" spans="2:18" x14ac:dyDescent="0.15">
      <c r="G2331" s="4"/>
      <c r="M2331" s="1"/>
      <c r="N2331" s="1"/>
      <c r="O2331" s="1"/>
      <c r="P2331" s="1"/>
      <c r="Q2331" s="1"/>
      <c r="R2331" s="1"/>
    </row>
    <row r="2332" spans="2:18" x14ac:dyDescent="0.15">
      <c r="B2332" s="12" t="s">
        <v>1027</v>
      </c>
      <c r="C2332" s="13" t="s">
        <v>970</v>
      </c>
      <c r="D2332" s="13" t="s">
        <v>969</v>
      </c>
      <c r="F2332" s="15">
        <f>SUM(F2333:F2337)</f>
        <v>18.166666666666668</v>
      </c>
      <c r="G2332" s="14">
        <f>+G2333</f>
        <v>44812</v>
      </c>
    </row>
    <row r="2333" spans="2:18" x14ac:dyDescent="0.15">
      <c r="C2333" s="2" t="s">
        <v>7</v>
      </c>
      <c r="D2333" s="2" t="s">
        <v>985</v>
      </c>
      <c r="E2333" s="3">
        <v>38</v>
      </c>
      <c r="F2333" s="3">
        <f>20/3</f>
        <v>6.666666666666667</v>
      </c>
      <c r="G2333" s="4">
        <v>44812</v>
      </c>
    </row>
    <row r="2334" spans="2:18" x14ac:dyDescent="0.15">
      <c r="C2334" s="2" t="s">
        <v>5</v>
      </c>
      <c r="D2334" s="2" t="s">
        <v>985</v>
      </c>
      <c r="E2334" s="3">
        <v>19</v>
      </c>
      <c r="F2334" s="3">
        <v>4</v>
      </c>
      <c r="G2334" s="4">
        <v>44467</v>
      </c>
    </row>
    <row r="2335" spans="2:18" x14ac:dyDescent="0.15">
      <c r="C2335" s="2" t="s">
        <v>5</v>
      </c>
      <c r="D2335" s="2" t="s">
        <v>1000</v>
      </c>
      <c r="E2335" s="3">
        <v>25</v>
      </c>
      <c r="F2335" s="3">
        <v>5</v>
      </c>
      <c r="G2335" s="4">
        <v>44699</v>
      </c>
    </row>
    <row r="2336" spans="2:18" x14ac:dyDescent="0.15">
      <c r="C2336" s="2" t="s">
        <v>5</v>
      </c>
      <c r="D2336" s="2" t="s">
        <v>826</v>
      </c>
      <c r="E2336" s="3">
        <v>20</v>
      </c>
      <c r="F2336" s="3">
        <v>2</v>
      </c>
      <c r="G2336" s="4">
        <v>44602</v>
      </c>
    </row>
    <row r="2337" spans="2:18" x14ac:dyDescent="0.15">
      <c r="C2337" s="2" t="s">
        <v>4</v>
      </c>
      <c r="D2337" s="2" t="s">
        <v>664</v>
      </c>
      <c r="E2337" s="3">
        <v>4.5</v>
      </c>
      <c r="F2337" s="3">
        <v>0.5</v>
      </c>
      <c r="G2337" s="4">
        <v>44293</v>
      </c>
    </row>
    <row r="2338" spans="2:18" x14ac:dyDescent="0.15">
      <c r="G2338" s="4"/>
    </row>
    <row r="2339" spans="2:18" x14ac:dyDescent="0.15">
      <c r="B2339" s="12" t="s">
        <v>1026</v>
      </c>
      <c r="C2339" s="13" t="s">
        <v>970</v>
      </c>
      <c r="D2339" s="13" t="s">
        <v>969</v>
      </c>
      <c r="F2339" s="15">
        <f>SUM(F2340:F2343)</f>
        <v>18</v>
      </c>
      <c r="G2339" s="14">
        <f>G2340</f>
        <v>45036</v>
      </c>
    </row>
    <row r="2340" spans="2:18" x14ac:dyDescent="0.15">
      <c r="C2340" s="2" t="s">
        <v>7</v>
      </c>
      <c r="D2340" s="2" t="s">
        <v>797</v>
      </c>
      <c r="E2340" s="3">
        <v>50</v>
      </c>
      <c r="F2340" s="3">
        <v>6</v>
      </c>
      <c r="G2340" s="4">
        <v>45036</v>
      </c>
    </row>
    <row r="2341" spans="2:18" x14ac:dyDescent="0.15">
      <c r="C2341" s="2" t="s">
        <v>5</v>
      </c>
      <c r="D2341" s="2" t="s">
        <v>797</v>
      </c>
      <c r="E2341" s="3">
        <v>16.5</v>
      </c>
      <c r="F2341" s="3">
        <v>6</v>
      </c>
      <c r="G2341" s="4">
        <v>44614</v>
      </c>
    </row>
    <row r="2342" spans="2:18" x14ac:dyDescent="0.15">
      <c r="C2342" s="2" t="s">
        <v>4</v>
      </c>
      <c r="D2342" s="2" t="s">
        <v>1025</v>
      </c>
      <c r="E2342" s="3">
        <v>2.8</v>
      </c>
      <c r="F2342" s="3">
        <v>1</v>
      </c>
      <c r="G2342" s="4">
        <v>44994</v>
      </c>
    </row>
    <row r="2343" spans="2:18" x14ac:dyDescent="0.15">
      <c r="C2343" s="2" t="s">
        <v>4</v>
      </c>
      <c r="D2343" s="2" t="s">
        <v>687</v>
      </c>
      <c r="E2343" s="3">
        <v>30</v>
      </c>
      <c r="F2343" s="3">
        <v>5</v>
      </c>
      <c r="G2343" s="4">
        <v>44601</v>
      </c>
    </row>
    <row r="2344" spans="2:18" x14ac:dyDescent="0.15">
      <c r="G2344" s="4"/>
    </row>
    <row r="2345" spans="2:18" s="12" customFormat="1" x14ac:dyDescent="0.15">
      <c r="B2345" s="12" t="s">
        <v>379</v>
      </c>
      <c r="C2345" s="13" t="s">
        <v>970</v>
      </c>
      <c r="D2345" s="13" t="s">
        <v>969</v>
      </c>
      <c r="E2345" s="15"/>
      <c r="F2345" s="15">
        <f>SUM(F2346:F2347)</f>
        <v>17.285714285714285</v>
      </c>
      <c r="G2345" s="14">
        <f>G2346</f>
        <v>44323</v>
      </c>
    </row>
    <row r="2346" spans="2:18" x14ac:dyDescent="0.15">
      <c r="C2346" s="2" t="s">
        <v>18</v>
      </c>
      <c r="D2346" s="2" t="s">
        <v>374</v>
      </c>
      <c r="E2346" s="3">
        <v>130</v>
      </c>
      <c r="F2346" s="3">
        <f>100/7</f>
        <v>14.285714285714286</v>
      </c>
      <c r="G2346" s="4">
        <v>44323</v>
      </c>
      <c r="M2346" s="1"/>
      <c r="N2346" s="1"/>
      <c r="O2346" s="1"/>
      <c r="P2346" s="1"/>
      <c r="Q2346" s="1"/>
      <c r="R2346" s="1"/>
    </row>
    <row r="2347" spans="2:18" x14ac:dyDescent="0.15">
      <c r="C2347" s="2" t="s">
        <v>5</v>
      </c>
      <c r="D2347" s="2" t="s">
        <v>374</v>
      </c>
      <c r="E2347" s="3">
        <v>15</v>
      </c>
      <c r="F2347" s="3">
        <v>3</v>
      </c>
      <c r="G2347" s="4">
        <v>43452</v>
      </c>
      <c r="M2347" s="1"/>
      <c r="N2347" s="1"/>
      <c r="O2347" s="1"/>
      <c r="P2347" s="1"/>
      <c r="Q2347" s="1"/>
      <c r="R2347" s="1"/>
    </row>
    <row r="2348" spans="2:18" x14ac:dyDescent="0.15">
      <c r="G2348" s="4"/>
      <c r="M2348" s="1"/>
      <c r="N2348" s="1"/>
      <c r="O2348" s="1"/>
      <c r="P2348" s="1"/>
      <c r="Q2348" s="1"/>
      <c r="R2348" s="1"/>
    </row>
    <row r="2349" spans="2:18" s="12" customFormat="1" x14ac:dyDescent="0.15">
      <c r="B2349" s="12" t="s">
        <v>1024</v>
      </c>
      <c r="C2349" s="13" t="s">
        <v>970</v>
      </c>
      <c r="D2349" s="13" t="s">
        <v>969</v>
      </c>
      <c r="E2349" s="15"/>
      <c r="F2349" s="15">
        <f>SUM(F2350:F2353)</f>
        <v>17.166666666666664</v>
      </c>
      <c r="G2349" s="14">
        <f>G2351</f>
        <v>44903</v>
      </c>
      <c r="M2349" s="13"/>
      <c r="N2349" s="13"/>
      <c r="O2349" s="13"/>
      <c r="P2349" s="13"/>
      <c r="Q2349" s="13"/>
      <c r="R2349" s="13"/>
    </row>
    <row r="2350" spans="2:18" x14ac:dyDescent="0.15">
      <c r="C2350" s="2" t="s">
        <v>5</v>
      </c>
      <c r="D2350" s="2" t="s">
        <v>933</v>
      </c>
      <c r="E2350" s="3">
        <v>30</v>
      </c>
      <c r="F2350" s="3">
        <v>10</v>
      </c>
      <c r="G2350" s="4">
        <v>44656</v>
      </c>
    </row>
    <row r="2351" spans="2:18" x14ac:dyDescent="0.15">
      <c r="C2351" s="2" t="s">
        <v>5</v>
      </c>
      <c r="D2351" s="2" t="s">
        <v>723</v>
      </c>
      <c r="E2351" s="3">
        <v>20</v>
      </c>
      <c r="F2351" s="3">
        <f>13/6</f>
        <v>2.1666666666666665</v>
      </c>
      <c r="G2351" s="4">
        <v>44903</v>
      </c>
    </row>
    <row r="2352" spans="2:18" x14ac:dyDescent="0.15">
      <c r="C2352" s="2" t="s">
        <v>5</v>
      </c>
      <c r="D2352" s="2" t="s">
        <v>723</v>
      </c>
      <c r="E2352" s="3">
        <v>11</v>
      </c>
      <c r="F2352" s="3">
        <v>3</v>
      </c>
      <c r="G2352" s="4">
        <v>44313</v>
      </c>
    </row>
    <row r="2353" spans="2:18" x14ac:dyDescent="0.15">
      <c r="C2353" s="2" t="s">
        <v>4</v>
      </c>
      <c r="D2353" s="2" t="s">
        <v>723</v>
      </c>
      <c r="E2353" s="3">
        <v>3</v>
      </c>
      <c r="F2353" s="3">
        <v>2</v>
      </c>
      <c r="G2353" s="4">
        <v>44011</v>
      </c>
    </row>
    <row r="2354" spans="2:18" x14ac:dyDescent="0.15">
      <c r="G2354" s="4"/>
    </row>
    <row r="2355" spans="2:18" s="12" customFormat="1" x14ac:dyDescent="0.15">
      <c r="B2355" s="12" t="s">
        <v>605</v>
      </c>
      <c r="C2355" s="13" t="s">
        <v>970</v>
      </c>
      <c r="D2355" s="13" t="s">
        <v>969</v>
      </c>
      <c r="E2355" s="15"/>
      <c r="F2355" s="15">
        <f>SUM(F2356:F2357)</f>
        <v>17.375</v>
      </c>
      <c r="G2355" s="14">
        <f>G2356</f>
        <v>44663</v>
      </c>
    </row>
    <row r="2356" spans="2:18" x14ac:dyDescent="0.15">
      <c r="C2356" s="2" t="s">
        <v>18</v>
      </c>
      <c r="D2356" s="2" t="s">
        <v>600</v>
      </c>
      <c r="E2356" s="3">
        <v>125</v>
      </c>
      <c r="F2356" s="3">
        <f>75/8</f>
        <v>9.375</v>
      </c>
      <c r="G2356" s="4">
        <v>44663</v>
      </c>
      <c r="M2356" s="1"/>
      <c r="N2356" s="1"/>
      <c r="O2356" s="1"/>
      <c r="P2356" s="1"/>
      <c r="Q2356" s="1"/>
      <c r="R2356" s="1"/>
    </row>
    <row r="2357" spans="2:18" x14ac:dyDescent="0.15">
      <c r="C2357" s="2" t="s">
        <v>7</v>
      </c>
      <c r="D2357" s="2" t="s">
        <v>600</v>
      </c>
      <c r="E2357" s="3">
        <v>54</v>
      </c>
      <c r="F2357" s="3">
        <f>40/5</f>
        <v>8</v>
      </c>
      <c r="G2357" s="4">
        <v>44089</v>
      </c>
      <c r="M2357" s="1"/>
      <c r="N2357" s="1"/>
      <c r="O2357" s="1"/>
      <c r="P2357" s="1"/>
      <c r="Q2357" s="1"/>
      <c r="R2357" s="1"/>
    </row>
    <row r="2358" spans="2:18" x14ac:dyDescent="0.15">
      <c r="G2358" s="4"/>
      <c r="M2358" s="1"/>
      <c r="N2358" s="1"/>
      <c r="O2358" s="1"/>
      <c r="P2358" s="1"/>
      <c r="Q2358" s="1"/>
      <c r="R2358" s="1"/>
    </row>
    <row r="2359" spans="2:18" s="12" customFormat="1" x14ac:dyDescent="0.15">
      <c r="B2359" s="12" t="s">
        <v>4928</v>
      </c>
      <c r="C2359" s="13" t="s">
        <v>970</v>
      </c>
      <c r="D2359" s="13" t="s">
        <v>969</v>
      </c>
      <c r="E2359" s="15"/>
      <c r="F2359" s="15">
        <f>SUM(F2360:F2361)</f>
        <v>16.8</v>
      </c>
      <c r="G2359" s="14">
        <f>G2360</f>
        <v>44320</v>
      </c>
      <c r="M2359" s="13"/>
      <c r="N2359" s="13"/>
      <c r="O2359" s="13"/>
      <c r="P2359" s="13"/>
      <c r="Q2359" s="13"/>
      <c r="R2359" s="13"/>
    </row>
    <row r="2360" spans="2:18" x14ac:dyDescent="0.15">
      <c r="B2360" s="58"/>
      <c r="C2360" s="59" t="s">
        <v>8</v>
      </c>
      <c r="D2360" s="59" t="s">
        <v>4926</v>
      </c>
      <c r="E2360" s="3">
        <v>83</v>
      </c>
      <c r="F2360" s="3">
        <f>68/10</f>
        <v>6.8</v>
      </c>
      <c r="G2360" s="4">
        <v>44320</v>
      </c>
      <c r="I2360" s="1">
        <v>3600</v>
      </c>
      <c r="J2360" s="1">
        <v>3600</v>
      </c>
    </row>
    <row r="2361" spans="2:18" x14ac:dyDescent="0.15">
      <c r="B2361" s="58"/>
      <c r="C2361" s="59" t="s">
        <v>18</v>
      </c>
      <c r="D2361" s="59" t="s">
        <v>4926</v>
      </c>
      <c r="E2361" s="3">
        <v>100</v>
      </c>
      <c r="F2361" s="3">
        <f>80/8</f>
        <v>10</v>
      </c>
      <c r="G2361" s="4">
        <v>43937</v>
      </c>
      <c r="I2361" s="1">
        <v>1100</v>
      </c>
      <c r="J2361" s="1">
        <v>3600</v>
      </c>
    </row>
    <row r="2362" spans="2:18" x14ac:dyDescent="0.15">
      <c r="B2362" s="58"/>
      <c r="C2362" s="59"/>
      <c r="D2362" s="59"/>
      <c r="G2362" s="4"/>
    </row>
    <row r="2363" spans="2:18" x14ac:dyDescent="0.15">
      <c r="B2363" s="12" t="s">
        <v>1023</v>
      </c>
      <c r="C2363" s="13" t="s">
        <v>970</v>
      </c>
      <c r="D2363" s="13" t="s">
        <v>969</v>
      </c>
      <c r="F2363" s="15">
        <f>SUM(F2364:F2368)</f>
        <v>16.940000000000001</v>
      </c>
      <c r="G2363" s="14">
        <f>G2366</f>
        <v>44636</v>
      </c>
    </row>
    <row r="2364" spans="2:18" x14ac:dyDescent="0.15">
      <c r="C2364" s="2" t="s">
        <v>7</v>
      </c>
      <c r="D2364" s="2" t="s">
        <v>1009</v>
      </c>
      <c r="E2364" s="3">
        <v>30</v>
      </c>
      <c r="F2364" s="3">
        <v>6</v>
      </c>
      <c r="G2364" s="4">
        <v>44539</v>
      </c>
    </row>
    <row r="2365" spans="2:18" x14ac:dyDescent="0.15">
      <c r="C2365" s="2" t="s">
        <v>5</v>
      </c>
      <c r="D2365" s="2" t="s">
        <v>1009</v>
      </c>
      <c r="E2365" s="3">
        <v>11</v>
      </c>
      <c r="F2365" s="3">
        <v>3</v>
      </c>
      <c r="G2365" s="4">
        <v>43862</v>
      </c>
    </row>
    <row r="2366" spans="2:18" x14ac:dyDescent="0.15">
      <c r="C2366" s="2" t="s">
        <v>7</v>
      </c>
      <c r="D2366" s="2" t="s">
        <v>861</v>
      </c>
      <c r="E2366" s="3">
        <v>25</v>
      </c>
      <c r="F2366" s="3">
        <v>3</v>
      </c>
      <c r="G2366" s="4">
        <v>44636</v>
      </c>
    </row>
    <row r="2367" spans="2:18" x14ac:dyDescent="0.15">
      <c r="C2367" s="2" t="s">
        <v>5</v>
      </c>
      <c r="D2367" s="2" t="s">
        <v>861</v>
      </c>
      <c r="E2367" s="3">
        <v>12.2</v>
      </c>
      <c r="F2367" s="3">
        <f>8.2/5</f>
        <v>1.64</v>
      </c>
      <c r="G2367" s="4">
        <v>44179</v>
      </c>
    </row>
    <row r="2368" spans="2:18" x14ac:dyDescent="0.15">
      <c r="C2368" s="2" t="s">
        <v>5</v>
      </c>
      <c r="D2368" s="2" t="s">
        <v>677</v>
      </c>
      <c r="E2368" s="3">
        <v>15</v>
      </c>
      <c r="F2368" s="3">
        <v>3.3</v>
      </c>
      <c r="G2368" s="4">
        <v>44482</v>
      </c>
    </row>
    <row r="2369" spans="2:18" x14ac:dyDescent="0.15">
      <c r="G2369" s="4"/>
    </row>
    <row r="2370" spans="2:18" s="12" customFormat="1" x14ac:dyDescent="0.15">
      <c r="B2370" s="12" t="s">
        <v>4929</v>
      </c>
      <c r="C2370" s="13" t="s">
        <v>970</v>
      </c>
      <c r="D2370" s="13" t="s">
        <v>969</v>
      </c>
      <c r="E2370" s="15"/>
      <c r="F2370" s="15">
        <f>SUM(F2371:F2372)</f>
        <v>16.8</v>
      </c>
      <c r="G2370" s="14">
        <f>G2371</f>
        <v>44320</v>
      </c>
      <c r="M2370" s="13"/>
      <c r="N2370" s="13"/>
      <c r="O2370" s="13"/>
      <c r="P2370" s="13"/>
      <c r="Q2370" s="13"/>
      <c r="R2370" s="13"/>
    </row>
    <row r="2371" spans="2:18" x14ac:dyDescent="0.15">
      <c r="B2371" s="58"/>
      <c r="C2371" s="59" t="s">
        <v>8</v>
      </c>
      <c r="D2371" s="59" t="s">
        <v>4926</v>
      </c>
      <c r="E2371" s="3">
        <v>83</v>
      </c>
      <c r="F2371" s="3">
        <f>68/10</f>
        <v>6.8</v>
      </c>
      <c r="G2371" s="4">
        <v>44320</v>
      </c>
      <c r="I2371" s="1">
        <v>3600</v>
      </c>
      <c r="J2371" s="1">
        <v>3600</v>
      </c>
    </row>
    <row r="2372" spans="2:18" x14ac:dyDescent="0.15">
      <c r="B2372" s="58"/>
      <c r="C2372" s="59" t="s">
        <v>18</v>
      </c>
      <c r="D2372" s="59" t="s">
        <v>4926</v>
      </c>
      <c r="E2372" s="3">
        <v>100</v>
      </c>
      <c r="F2372" s="3">
        <f>80/8</f>
        <v>10</v>
      </c>
      <c r="G2372" s="4">
        <v>43937</v>
      </c>
      <c r="I2372" s="1">
        <v>1100</v>
      </c>
      <c r="J2372" s="1">
        <v>3600</v>
      </c>
    </row>
    <row r="2373" spans="2:18" x14ac:dyDescent="0.15">
      <c r="B2373" s="58"/>
      <c r="C2373" s="59"/>
      <c r="D2373" s="59"/>
      <c r="G2373" s="4"/>
    </row>
    <row r="2374" spans="2:18" s="12" customFormat="1" x14ac:dyDescent="0.15">
      <c r="B2374" s="12" t="s">
        <v>644</v>
      </c>
      <c r="C2374" s="13" t="s">
        <v>970</v>
      </c>
      <c r="D2374" s="13" t="s">
        <v>969</v>
      </c>
      <c r="E2374" s="15"/>
      <c r="F2374" s="15">
        <f>SUM(F2375:F2378)</f>
        <v>19.399999999999999</v>
      </c>
      <c r="G2374" s="14">
        <f>G2375</f>
        <v>44860</v>
      </c>
    </row>
    <row r="2375" spans="2:18" x14ac:dyDescent="0.15">
      <c r="C2375" s="2" t="s">
        <v>5</v>
      </c>
      <c r="D2375" s="2" t="s">
        <v>643</v>
      </c>
      <c r="E2375" s="3">
        <v>12</v>
      </c>
      <c r="F2375" s="3">
        <f>6/3</f>
        <v>2</v>
      </c>
      <c r="G2375" s="4">
        <v>44860</v>
      </c>
      <c r="M2375" s="1"/>
      <c r="N2375" s="1"/>
      <c r="O2375" s="1"/>
      <c r="P2375" s="1"/>
      <c r="Q2375" s="1"/>
      <c r="R2375" s="1"/>
    </row>
    <row r="2376" spans="2:18" x14ac:dyDescent="0.15">
      <c r="C2376" s="2" t="s">
        <v>4</v>
      </c>
      <c r="D2376" s="2" t="s">
        <v>643</v>
      </c>
      <c r="E2376" s="3">
        <v>2.8</v>
      </c>
      <c r="F2376" s="3">
        <v>1.4</v>
      </c>
      <c r="G2376" s="4">
        <v>44215</v>
      </c>
      <c r="M2376" s="1"/>
      <c r="N2376" s="1"/>
      <c r="O2376" s="1"/>
      <c r="P2376" s="1"/>
      <c r="Q2376" s="1"/>
      <c r="R2376" s="1"/>
    </row>
    <row r="2377" spans="2:18" x14ac:dyDescent="0.15">
      <c r="C2377" s="100" t="s">
        <v>7</v>
      </c>
      <c r="D2377" s="100" t="s">
        <v>2081</v>
      </c>
      <c r="E2377" s="3">
        <v>100</v>
      </c>
      <c r="F2377" s="3">
        <f>70/5</f>
        <v>14</v>
      </c>
      <c r="G2377" s="4">
        <v>44937</v>
      </c>
      <c r="I2377" s="1">
        <v>900</v>
      </c>
      <c r="J2377" s="1">
        <v>900</v>
      </c>
      <c r="M2377" s="1"/>
      <c r="N2377" s="1"/>
      <c r="O2377" s="1"/>
      <c r="P2377" s="1"/>
      <c r="Q2377" s="1"/>
      <c r="R2377" s="1"/>
    </row>
    <row r="2378" spans="2:18" x14ac:dyDescent="0.15">
      <c r="C2378" s="100" t="s">
        <v>5</v>
      </c>
      <c r="D2378" s="100" t="s">
        <v>7366</v>
      </c>
      <c r="E2378" s="3">
        <v>3</v>
      </c>
      <c r="F2378" s="3">
        <v>2</v>
      </c>
      <c r="G2378" s="4">
        <v>43858</v>
      </c>
      <c r="M2378" s="1"/>
      <c r="N2378" s="1"/>
      <c r="O2378" s="1"/>
      <c r="P2378" s="1"/>
      <c r="Q2378" s="1"/>
      <c r="R2378" s="1"/>
    </row>
    <row r="2379" spans="2:18" x14ac:dyDescent="0.15">
      <c r="G2379" s="4"/>
      <c r="M2379" s="1"/>
      <c r="N2379" s="1"/>
      <c r="O2379" s="1"/>
      <c r="P2379" s="1"/>
      <c r="Q2379" s="1"/>
      <c r="R2379" s="1"/>
    </row>
    <row r="2380" spans="2:18" s="12" customFormat="1" x14ac:dyDescent="0.15">
      <c r="B2380" s="12" t="s">
        <v>167</v>
      </c>
      <c r="C2380" s="13" t="s">
        <v>970</v>
      </c>
      <c r="D2380" s="13" t="s">
        <v>969</v>
      </c>
      <c r="E2380" s="15"/>
      <c r="F2380" s="15">
        <f>SUM(F2381:F2382)</f>
        <v>17</v>
      </c>
      <c r="G2380" s="14">
        <f>G2381</f>
        <v>43292</v>
      </c>
      <c r="M2380" s="13"/>
      <c r="N2380" s="13"/>
      <c r="O2380" s="13"/>
      <c r="P2380" s="13"/>
      <c r="Q2380" s="13"/>
      <c r="R2380" s="13"/>
    </row>
    <row r="2381" spans="2:18" x14ac:dyDescent="0.15">
      <c r="C2381" s="2" t="s">
        <v>5</v>
      </c>
      <c r="D2381" s="2" t="s">
        <v>161</v>
      </c>
      <c r="E2381" s="3">
        <v>102</v>
      </c>
      <c r="F2381" s="3">
        <v>8</v>
      </c>
      <c r="G2381" s="4">
        <v>43292</v>
      </c>
    </row>
    <row r="2382" spans="2:18" x14ac:dyDescent="0.15">
      <c r="C2382" s="2" t="s">
        <v>5</v>
      </c>
      <c r="D2382" s="2" t="s">
        <v>161</v>
      </c>
      <c r="E2382" s="3">
        <v>112</v>
      </c>
      <c r="F2382" s="3">
        <f>72/8</f>
        <v>9</v>
      </c>
      <c r="G2382" s="4">
        <v>43115</v>
      </c>
    </row>
    <row r="2383" spans="2:18" x14ac:dyDescent="0.15">
      <c r="G2383" s="4"/>
    </row>
    <row r="2384" spans="2:18" s="12" customFormat="1" x14ac:dyDescent="0.15">
      <c r="B2384" s="12" t="s">
        <v>1022</v>
      </c>
      <c r="C2384" s="13" t="s">
        <v>970</v>
      </c>
      <c r="D2384" s="13" t="s">
        <v>969</v>
      </c>
      <c r="E2384" s="15"/>
      <c r="F2384" s="15">
        <f>SUM(F2385:F2386)</f>
        <v>16.833333333333336</v>
      </c>
      <c r="G2384" s="14">
        <f>G2385</f>
        <v>44643</v>
      </c>
      <c r="M2384" s="13"/>
      <c r="N2384" s="13"/>
      <c r="O2384" s="13"/>
      <c r="P2384" s="13"/>
      <c r="Q2384" s="13"/>
      <c r="R2384" s="13"/>
    </row>
    <row r="2385" spans="2:18" x14ac:dyDescent="0.15">
      <c r="C2385" s="2" t="s">
        <v>7</v>
      </c>
      <c r="D2385" s="2" t="s">
        <v>694</v>
      </c>
      <c r="E2385" s="3">
        <v>50</v>
      </c>
      <c r="F2385" s="3">
        <f>25/3</f>
        <v>8.3333333333333339</v>
      </c>
      <c r="G2385" s="4">
        <v>44643</v>
      </c>
    </row>
    <row r="2386" spans="2:18" x14ac:dyDescent="0.15">
      <c r="C2386" s="2" t="s">
        <v>5</v>
      </c>
      <c r="D2386" s="2" t="s">
        <v>694</v>
      </c>
      <c r="E2386" s="3">
        <v>18.5</v>
      </c>
      <c r="F2386" s="3">
        <v>8.5</v>
      </c>
      <c r="G2386" s="4">
        <v>44242</v>
      </c>
    </row>
    <row r="2387" spans="2:18" x14ac:dyDescent="0.15">
      <c r="G2387" s="4"/>
    </row>
    <row r="2388" spans="2:18" s="12" customFormat="1" x14ac:dyDescent="0.15">
      <c r="B2388" s="12" t="s">
        <v>352</v>
      </c>
      <c r="C2388" s="13" t="s">
        <v>970</v>
      </c>
      <c r="D2388" s="13" t="s">
        <v>969</v>
      </c>
      <c r="E2388" s="15"/>
      <c r="F2388" s="15">
        <f>SUM(F2389:F2391)</f>
        <v>17</v>
      </c>
      <c r="G2388" s="14">
        <f>G2389</f>
        <v>44861</v>
      </c>
    </row>
    <row r="2389" spans="2:18" x14ac:dyDescent="0.15">
      <c r="C2389" s="2" t="s">
        <v>7</v>
      </c>
      <c r="D2389" s="2" t="s">
        <v>351</v>
      </c>
      <c r="E2389" s="3">
        <v>22</v>
      </c>
      <c r="F2389" s="3">
        <v>5</v>
      </c>
      <c r="G2389" s="4">
        <v>44861</v>
      </c>
      <c r="M2389" s="1"/>
      <c r="N2389" s="1"/>
      <c r="O2389" s="1"/>
      <c r="P2389" s="1"/>
      <c r="Q2389" s="1"/>
      <c r="R2389" s="1"/>
    </row>
    <row r="2390" spans="2:18" x14ac:dyDescent="0.15">
      <c r="C2390" s="2" t="s">
        <v>5</v>
      </c>
      <c r="D2390" s="2" t="s">
        <v>351</v>
      </c>
      <c r="E2390" s="3">
        <v>15</v>
      </c>
      <c r="F2390" s="3">
        <v>5</v>
      </c>
      <c r="G2390" s="4">
        <v>44487</v>
      </c>
      <c r="M2390" s="1"/>
      <c r="N2390" s="1"/>
      <c r="O2390" s="1"/>
      <c r="P2390" s="1"/>
      <c r="Q2390" s="1"/>
      <c r="R2390" s="1"/>
    </row>
    <row r="2391" spans="2:18" x14ac:dyDescent="0.15">
      <c r="C2391" s="2" t="s">
        <v>4</v>
      </c>
      <c r="D2391" s="2" t="s">
        <v>351</v>
      </c>
      <c r="E2391" s="3">
        <v>7</v>
      </c>
      <c r="F2391" s="3">
        <v>7</v>
      </c>
      <c r="G2391" s="4">
        <v>44117</v>
      </c>
      <c r="M2391" s="1"/>
      <c r="N2391" s="1"/>
      <c r="O2391" s="1"/>
      <c r="P2391" s="1"/>
      <c r="Q2391" s="1"/>
      <c r="R2391" s="1"/>
    </row>
    <row r="2392" spans="2:18" x14ac:dyDescent="0.15">
      <c r="G2392" s="4"/>
      <c r="M2392" s="1"/>
      <c r="N2392" s="1"/>
      <c r="O2392" s="1"/>
      <c r="P2392" s="1"/>
      <c r="Q2392" s="1"/>
      <c r="R2392" s="1"/>
    </row>
    <row r="2393" spans="2:18" x14ac:dyDescent="0.15">
      <c r="B2393" s="12" t="s">
        <v>1020</v>
      </c>
      <c r="C2393" s="13" t="s">
        <v>970</v>
      </c>
      <c r="D2393" s="13" t="s">
        <v>969</v>
      </c>
      <c r="E2393" s="15"/>
      <c r="F2393" s="15">
        <f>SUM(F2394:F2396)</f>
        <v>16.600000000000001</v>
      </c>
      <c r="G2393" s="14">
        <f>+G2396</f>
        <v>45020</v>
      </c>
    </row>
    <row r="2394" spans="2:18" x14ac:dyDescent="0.15">
      <c r="C2394" s="2" t="s">
        <v>18</v>
      </c>
      <c r="D2394" s="2" t="s">
        <v>927</v>
      </c>
      <c r="E2394" s="3">
        <v>100</v>
      </c>
      <c r="F2394" s="3">
        <v>9</v>
      </c>
      <c r="G2394" s="4">
        <v>44690</v>
      </c>
    </row>
    <row r="2395" spans="2:18" x14ac:dyDescent="0.15">
      <c r="C2395" s="2" t="s">
        <v>4</v>
      </c>
      <c r="D2395" s="2" t="s">
        <v>772</v>
      </c>
      <c r="E2395" s="3">
        <v>4.5999999999999996</v>
      </c>
      <c r="F2395" s="3">
        <v>0.6</v>
      </c>
      <c r="G2395" s="4">
        <v>44530</v>
      </c>
    </row>
    <row r="2396" spans="2:18" x14ac:dyDescent="0.15">
      <c r="C2396" s="2" t="s">
        <v>18</v>
      </c>
      <c r="D2396" s="2" t="s">
        <v>425</v>
      </c>
      <c r="E2396" s="3">
        <v>75</v>
      </c>
      <c r="F2396" s="3">
        <v>7</v>
      </c>
      <c r="G2396" s="4">
        <v>45020</v>
      </c>
    </row>
    <row r="2397" spans="2:18" x14ac:dyDescent="0.15">
      <c r="G2397" s="4"/>
    </row>
    <row r="2398" spans="2:18" s="12" customFormat="1" x14ac:dyDescent="0.15">
      <c r="B2398" s="12" t="s">
        <v>273</v>
      </c>
      <c r="C2398" s="13" t="s">
        <v>970</v>
      </c>
      <c r="D2398" s="13" t="s">
        <v>969</v>
      </c>
      <c r="E2398" s="15"/>
      <c r="F2398" s="15">
        <f>SUM(F2399:F2402)</f>
        <v>16.220238095238095</v>
      </c>
      <c r="G2398" s="14">
        <f>G2399</f>
        <v>44622</v>
      </c>
      <c r="M2398" s="13"/>
      <c r="N2398" s="13"/>
      <c r="O2398" s="13"/>
      <c r="P2398" s="13"/>
      <c r="Q2398" s="13"/>
      <c r="R2398" s="13"/>
    </row>
    <row r="2399" spans="2:18" x14ac:dyDescent="0.15">
      <c r="C2399" s="2" t="s">
        <v>8</v>
      </c>
      <c r="D2399" s="2" t="s">
        <v>258</v>
      </c>
      <c r="E2399" s="3">
        <v>111</v>
      </c>
      <c r="F2399" s="3">
        <f>97/14</f>
        <v>6.9285714285714288</v>
      </c>
      <c r="G2399" s="4">
        <v>44622</v>
      </c>
    </row>
    <row r="2400" spans="2:18" x14ac:dyDescent="0.15">
      <c r="C2400" s="2" t="s">
        <v>18</v>
      </c>
      <c r="D2400" s="2" t="s">
        <v>258</v>
      </c>
      <c r="E2400" s="3">
        <v>55</v>
      </c>
      <c r="F2400" s="3">
        <v>5.625</v>
      </c>
      <c r="G2400" s="4">
        <v>44314</v>
      </c>
    </row>
    <row r="2401" spans="2:18" x14ac:dyDescent="0.15">
      <c r="C2401" s="2" t="s">
        <v>7</v>
      </c>
      <c r="D2401" s="2" t="s">
        <v>258</v>
      </c>
      <c r="E2401" s="3">
        <v>16</v>
      </c>
      <c r="F2401" s="3">
        <v>2</v>
      </c>
      <c r="G2401" s="4">
        <v>44009</v>
      </c>
    </row>
    <row r="2402" spans="2:18" x14ac:dyDescent="0.15">
      <c r="C2402" s="2" t="s">
        <v>5</v>
      </c>
      <c r="D2402" s="2" t="s">
        <v>258</v>
      </c>
      <c r="E2402" s="3">
        <v>14</v>
      </c>
      <c r="F2402" s="3">
        <v>1.6666666666666667</v>
      </c>
      <c r="G2402" s="4">
        <v>43690</v>
      </c>
    </row>
    <row r="2403" spans="2:18" x14ac:dyDescent="0.15">
      <c r="G2403" s="4"/>
    </row>
    <row r="2404" spans="2:18" s="12" customFormat="1" x14ac:dyDescent="0.15">
      <c r="B2404" s="12" t="s">
        <v>6333</v>
      </c>
      <c r="C2404" s="13" t="s">
        <v>970</v>
      </c>
      <c r="D2404" s="13" t="s">
        <v>969</v>
      </c>
      <c r="E2404" s="15"/>
      <c r="F2404" s="15">
        <f>SUM(F2405:F2407)</f>
        <v>16.233333333333334</v>
      </c>
      <c r="G2404" s="14">
        <f>G2405</f>
        <v>44476</v>
      </c>
      <c r="M2404" s="13"/>
      <c r="N2404" s="13"/>
      <c r="O2404" s="13"/>
      <c r="P2404" s="13"/>
      <c r="Q2404" s="13"/>
      <c r="R2404" s="13"/>
    </row>
    <row r="2405" spans="2:18" x14ac:dyDescent="0.15">
      <c r="B2405" s="143"/>
      <c r="C2405" s="149" t="s">
        <v>7</v>
      </c>
      <c r="D2405" s="149" t="s">
        <v>6332</v>
      </c>
      <c r="E2405" s="3">
        <v>52.2</v>
      </c>
      <c r="F2405" s="3">
        <f>32.2/3</f>
        <v>10.733333333333334</v>
      </c>
      <c r="G2405" s="4">
        <v>44476</v>
      </c>
    </row>
    <row r="2406" spans="2:18" x14ac:dyDescent="0.15">
      <c r="C2406" s="149" t="s">
        <v>5</v>
      </c>
      <c r="D2406" s="149" t="s">
        <v>6332</v>
      </c>
      <c r="E2406" s="3">
        <v>12</v>
      </c>
      <c r="F2406" s="3">
        <v>4</v>
      </c>
      <c r="G2406" s="4">
        <v>44125</v>
      </c>
    </row>
    <row r="2407" spans="2:18" x14ac:dyDescent="0.15">
      <c r="C2407" s="149" t="s">
        <v>4</v>
      </c>
      <c r="D2407" s="149" t="s">
        <v>6332</v>
      </c>
      <c r="E2407" s="3">
        <v>3.5</v>
      </c>
      <c r="F2407" s="3">
        <v>1.5</v>
      </c>
      <c r="G2407" s="4">
        <v>43831</v>
      </c>
    </row>
    <row r="2408" spans="2:18" x14ac:dyDescent="0.15">
      <c r="C2408" s="149"/>
      <c r="D2408" s="149"/>
      <c r="G2408" s="4"/>
    </row>
    <row r="2409" spans="2:18" s="12" customFormat="1" x14ac:dyDescent="0.15">
      <c r="B2409" s="12" t="s">
        <v>5028</v>
      </c>
      <c r="C2409" s="13" t="s">
        <v>970</v>
      </c>
      <c r="D2409" s="13" t="s">
        <v>969</v>
      </c>
      <c r="E2409" s="15"/>
      <c r="F2409" s="15">
        <f>SUM(F2410:F2411)</f>
        <v>15.714285714285714</v>
      </c>
      <c r="G2409" s="14">
        <f>G2410</f>
        <v>44507</v>
      </c>
      <c r="M2409" s="13"/>
      <c r="N2409" s="13"/>
      <c r="O2409" s="13"/>
      <c r="P2409" s="13"/>
      <c r="Q2409" s="13"/>
      <c r="R2409" s="13"/>
    </row>
    <row r="2410" spans="2:18" x14ac:dyDescent="0.15">
      <c r="B2410" s="61"/>
      <c r="C2410" s="62" t="s">
        <v>9</v>
      </c>
      <c r="D2410" s="62" t="s">
        <v>2117</v>
      </c>
      <c r="E2410" s="3">
        <v>100</v>
      </c>
      <c r="F2410" s="3">
        <v>10.714285714285714</v>
      </c>
      <c r="G2410" s="4">
        <v>44507</v>
      </c>
      <c r="I2410" s="1">
        <v>1600</v>
      </c>
      <c r="J2410" s="1">
        <v>1600</v>
      </c>
    </row>
    <row r="2411" spans="2:18" x14ac:dyDescent="0.15">
      <c r="B2411" s="61"/>
      <c r="C2411" s="62" t="s">
        <v>18</v>
      </c>
      <c r="D2411" s="62" t="s">
        <v>2117</v>
      </c>
      <c r="E2411" s="3">
        <v>40</v>
      </c>
      <c r="F2411" s="3">
        <f>30/6</f>
        <v>5</v>
      </c>
      <c r="G2411" s="4">
        <v>43069</v>
      </c>
      <c r="J2411" s="1">
        <v>1600</v>
      </c>
    </row>
    <row r="2412" spans="2:18" x14ac:dyDescent="0.15">
      <c r="B2412" s="61"/>
      <c r="C2412" s="62"/>
      <c r="D2412" s="62"/>
      <c r="G2412" s="4"/>
    </row>
    <row r="2413" spans="2:18" s="12" customFormat="1" x14ac:dyDescent="0.15">
      <c r="B2413" s="12" t="s">
        <v>104</v>
      </c>
      <c r="C2413" s="13" t="s">
        <v>970</v>
      </c>
      <c r="D2413" s="13" t="s">
        <v>969</v>
      </c>
      <c r="E2413" s="15"/>
      <c r="F2413" s="15">
        <f>SUM(F2414:F2415)</f>
        <v>15.857142857142858</v>
      </c>
      <c r="G2413" s="14">
        <f>G2414</f>
        <v>43178</v>
      </c>
      <c r="M2413" s="13"/>
      <c r="N2413" s="13"/>
      <c r="O2413" s="13"/>
      <c r="P2413" s="13"/>
      <c r="Q2413" s="13"/>
      <c r="R2413" s="13"/>
    </row>
    <row r="2414" spans="2:18" x14ac:dyDescent="0.15">
      <c r="C2414" s="2" t="s">
        <v>8</v>
      </c>
      <c r="D2414" s="2" t="s">
        <v>102</v>
      </c>
      <c r="E2414" s="3">
        <v>30</v>
      </c>
      <c r="F2414" s="3">
        <f>20/7</f>
        <v>2.8571428571428572</v>
      </c>
      <c r="G2414" s="4">
        <v>43178</v>
      </c>
    </row>
    <row r="2415" spans="2:18" x14ac:dyDescent="0.15">
      <c r="C2415" s="2" t="s">
        <v>8</v>
      </c>
      <c r="D2415" s="2" t="s">
        <v>102</v>
      </c>
      <c r="E2415" s="3">
        <v>40</v>
      </c>
      <c r="F2415" s="3">
        <v>13</v>
      </c>
      <c r="G2415" s="4">
        <v>42493</v>
      </c>
    </row>
    <row r="2416" spans="2:18" x14ac:dyDescent="0.15">
      <c r="G2416" s="4"/>
    </row>
    <row r="2417" spans="2:18" s="12" customFormat="1" x14ac:dyDescent="0.15">
      <c r="B2417" s="12" t="s">
        <v>6744</v>
      </c>
      <c r="C2417" s="13" t="s">
        <v>970</v>
      </c>
      <c r="D2417" s="13" t="s">
        <v>969</v>
      </c>
      <c r="E2417" s="15"/>
      <c r="F2417" s="15">
        <f>SUM(F2418:F2419)</f>
        <v>15.857142857142858</v>
      </c>
      <c r="G2417" s="14">
        <f>G2418</f>
        <v>43178</v>
      </c>
      <c r="M2417" s="13"/>
      <c r="N2417" s="13"/>
      <c r="O2417" s="13"/>
      <c r="P2417" s="13"/>
      <c r="Q2417" s="13"/>
      <c r="R2417" s="13"/>
    </row>
    <row r="2418" spans="2:18" x14ac:dyDescent="0.15">
      <c r="C2418" s="2" t="s">
        <v>8</v>
      </c>
      <c r="D2418" s="2" t="s">
        <v>102</v>
      </c>
      <c r="E2418" s="3">
        <v>30</v>
      </c>
      <c r="F2418" s="3">
        <f>20/7</f>
        <v>2.8571428571428572</v>
      </c>
      <c r="G2418" s="4">
        <v>43178</v>
      </c>
    </row>
    <row r="2419" spans="2:18" x14ac:dyDescent="0.15">
      <c r="C2419" s="2" t="s">
        <v>8</v>
      </c>
      <c r="D2419" s="2" t="s">
        <v>102</v>
      </c>
      <c r="E2419" s="3">
        <v>40</v>
      </c>
      <c r="F2419" s="3">
        <v>13</v>
      </c>
      <c r="G2419" s="4">
        <v>42493</v>
      </c>
    </row>
    <row r="2420" spans="2:18" x14ac:dyDescent="0.15">
      <c r="G2420" s="4"/>
    </row>
    <row r="2421" spans="2:18" s="12" customFormat="1" x14ac:dyDescent="0.15">
      <c r="B2421" s="12" t="s">
        <v>435</v>
      </c>
      <c r="C2421" s="13" t="s">
        <v>970</v>
      </c>
      <c r="D2421" s="13" t="s">
        <v>969</v>
      </c>
      <c r="E2421" s="15"/>
      <c r="F2421" s="15">
        <f>SUM(F2422:F2423)</f>
        <v>16</v>
      </c>
      <c r="G2421" s="14">
        <f>G2422</f>
        <v>43018</v>
      </c>
    </row>
    <row r="2422" spans="2:18" x14ac:dyDescent="0.15">
      <c r="C2422" s="2" t="s">
        <v>7</v>
      </c>
      <c r="D2422" s="2" t="s">
        <v>432</v>
      </c>
      <c r="E2422" s="3">
        <v>93</v>
      </c>
      <c r="F2422" s="3">
        <v>10</v>
      </c>
      <c r="G2422" s="4">
        <v>43018</v>
      </c>
      <c r="M2422" s="1"/>
      <c r="N2422" s="1"/>
      <c r="O2422" s="1"/>
      <c r="P2422" s="1"/>
      <c r="Q2422" s="1"/>
      <c r="R2422" s="1"/>
    </row>
    <row r="2423" spans="2:18" x14ac:dyDescent="0.15">
      <c r="C2423" s="2" t="s">
        <v>5</v>
      </c>
      <c r="D2423" s="2" t="s">
        <v>432</v>
      </c>
      <c r="E2423" s="3">
        <v>15</v>
      </c>
      <c r="F2423" s="3">
        <v>6</v>
      </c>
      <c r="G2423" s="4">
        <v>42690</v>
      </c>
      <c r="M2423" s="1"/>
      <c r="N2423" s="1"/>
      <c r="O2423" s="1"/>
      <c r="P2423" s="1"/>
      <c r="Q2423" s="1"/>
      <c r="R2423" s="1"/>
    </row>
    <row r="2424" spans="2:18" x14ac:dyDescent="0.15">
      <c r="G2424" s="4"/>
      <c r="M2424" s="1"/>
      <c r="N2424" s="1"/>
      <c r="O2424" s="1"/>
      <c r="P2424" s="1"/>
      <c r="Q2424" s="1"/>
      <c r="R2424" s="1"/>
    </row>
    <row r="2425" spans="2:18" s="12" customFormat="1" x14ac:dyDescent="0.15">
      <c r="B2425" s="12" t="s">
        <v>327</v>
      </c>
      <c r="C2425" s="13" t="s">
        <v>970</v>
      </c>
      <c r="D2425" s="13" t="s">
        <v>969</v>
      </c>
      <c r="E2425" s="15"/>
      <c r="F2425" s="15">
        <f>SUM(F2426:F2428)</f>
        <v>15.75</v>
      </c>
      <c r="G2425" s="14">
        <f>G2428</f>
        <v>44867</v>
      </c>
    </row>
    <row r="2426" spans="2:18" x14ac:dyDescent="0.15">
      <c r="C2426" s="2" t="s">
        <v>5</v>
      </c>
      <c r="D2426" s="2" t="s">
        <v>318</v>
      </c>
      <c r="E2426" s="3">
        <v>16</v>
      </c>
      <c r="F2426" s="3">
        <v>2</v>
      </c>
      <c r="G2426" s="4">
        <v>43783</v>
      </c>
      <c r="L2426" s="1">
        <f>+F2426*5</f>
        <v>10</v>
      </c>
      <c r="M2426" s="1"/>
      <c r="N2426" s="1"/>
      <c r="O2426" s="1"/>
      <c r="P2426" s="1"/>
      <c r="Q2426" s="1"/>
      <c r="R2426" s="1"/>
    </row>
    <row r="2427" spans="2:18" x14ac:dyDescent="0.15">
      <c r="C2427" s="2" t="s">
        <v>7</v>
      </c>
      <c r="D2427" s="2" t="s">
        <v>318</v>
      </c>
      <c r="E2427" s="3">
        <v>55</v>
      </c>
      <c r="F2427" s="3">
        <v>5</v>
      </c>
      <c r="G2427" s="4">
        <v>44200</v>
      </c>
      <c r="M2427" s="1"/>
      <c r="N2427" s="1"/>
      <c r="O2427" s="1"/>
      <c r="P2427" s="1"/>
      <c r="Q2427" s="1"/>
      <c r="R2427" s="1"/>
    </row>
    <row r="2428" spans="2:18" x14ac:dyDescent="0.15">
      <c r="C2428" s="2" t="s">
        <v>18</v>
      </c>
      <c r="D2428" s="2" t="s">
        <v>318</v>
      </c>
      <c r="E2428" s="3">
        <v>91</v>
      </c>
      <c r="F2428" s="3">
        <f>70/8</f>
        <v>8.75</v>
      </c>
      <c r="G2428" s="4">
        <v>44867</v>
      </c>
      <c r="M2428" s="1"/>
      <c r="N2428" s="1"/>
      <c r="O2428" s="1"/>
      <c r="P2428" s="1"/>
      <c r="Q2428" s="1"/>
      <c r="R2428" s="1"/>
    </row>
    <row r="2429" spans="2:18" x14ac:dyDescent="0.15">
      <c r="G2429" s="4"/>
      <c r="M2429" s="1"/>
      <c r="N2429" s="1"/>
      <c r="O2429" s="1"/>
      <c r="P2429" s="1"/>
      <c r="Q2429" s="1"/>
      <c r="R2429" s="1"/>
    </row>
    <row r="2430" spans="2:18" s="12" customFormat="1" x14ac:dyDescent="0.15">
      <c r="B2430" s="12" t="s">
        <v>999</v>
      </c>
      <c r="C2430" s="13" t="s">
        <v>970</v>
      </c>
      <c r="D2430" s="13" t="s">
        <v>969</v>
      </c>
      <c r="E2430" s="15"/>
      <c r="F2430" s="15">
        <f>SUM(F2431:F2433)</f>
        <v>15.5</v>
      </c>
      <c r="G2430" s="14">
        <f>G2432</f>
        <v>44602</v>
      </c>
      <c r="M2430" s="13"/>
      <c r="N2430" s="13"/>
      <c r="O2430" s="13"/>
      <c r="P2430" s="13"/>
      <c r="Q2430" s="13"/>
      <c r="R2430" s="13"/>
    </row>
    <row r="2431" spans="2:18" x14ac:dyDescent="0.15">
      <c r="C2431" s="2" t="s">
        <v>5</v>
      </c>
      <c r="D2431" s="2" t="s">
        <v>694</v>
      </c>
      <c r="E2431" s="3">
        <v>18.5</v>
      </c>
      <c r="F2431" s="3">
        <v>8.5</v>
      </c>
      <c r="G2431" s="4">
        <v>44242</v>
      </c>
    </row>
    <row r="2432" spans="2:18" x14ac:dyDescent="0.15">
      <c r="C2432" s="2" t="s">
        <v>5</v>
      </c>
      <c r="D2432" s="2" t="s">
        <v>826</v>
      </c>
      <c r="E2432" s="3">
        <v>25</v>
      </c>
      <c r="F2432" s="3">
        <v>2</v>
      </c>
      <c r="G2432" s="4">
        <v>44602</v>
      </c>
    </row>
    <row r="2433" spans="2:18" x14ac:dyDescent="0.15">
      <c r="C2433" s="169" t="s">
        <v>7</v>
      </c>
      <c r="D2433" s="169" t="s">
        <v>2040</v>
      </c>
      <c r="E2433" s="3">
        <v>21</v>
      </c>
      <c r="F2433" s="3">
        <v>5</v>
      </c>
      <c r="G2433" s="4">
        <v>44518</v>
      </c>
    </row>
    <row r="2434" spans="2:18" x14ac:dyDescent="0.15">
      <c r="G2434" s="4"/>
    </row>
    <row r="2435" spans="2:18" s="12" customFormat="1" x14ac:dyDescent="0.15">
      <c r="B2435" s="12" t="s">
        <v>480</v>
      </c>
      <c r="C2435" s="13" t="s">
        <v>970</v>
      </c>
      <c r="D2435" s="13" t="s">
        <v>969</v>
      </c>
      <c r="E2435" s="15"/>
      <c r="F2435" s="15">
        <f>SUM(F2436:F2439)</f>
        <v>16.375</v>
      </c>
      <c r="G2435" s="14">
        <f>G2437</f>
        <v>45008</v>
      </c>
    </row>
    <row r="2436" spans="2:18" x14ac:dyDescent="0.15">
      <c r="C2436" s="2" t="s">
        <v>7</v>
      </c>
      <c r="D2436" s="2" t="s">
        <v>476</v>
      </c>
      <c r="E2436" s="3">
        <v>90</v>
      </c>
      <c r="F2436" s="3">
        <v>6</v>
      </c>
      <c r="G2436" s="4">
        <v>44398</v>
      </c>
      <c r="M2436" s="1"/>
      <c r="N2436" s="1"/>
      <c r="O2436" s="1"/>
      <c r="P2436" s="1"/>
      <c r="Q2436" s="1"/>
      <c r="R2436" s="1"/>
    </row>
    <row r="2437" spans="2:18" x14ac:dyDescent="0.15">
      <c r="C2437" s="2" t="s">
        <v>7</v>
      </c>
      <c r="D2437" s="2" t="s">
        <v>128</v>
      </c>
      <c r="E2437" s="3">
        <v>23.5</v>
      </c>
      <c r="F2437" s="3">
        <f>13.5/4</f>
        <v>3.375</v>
      </c>
      <c r="G2437" s="4">
        <v>45008</v>
      </c>
      <c r="M2437" s="1"/>
      <c r="N2437" s="1"/>
      <c r="O2437" s="1"/>
      <c r="P2437" s="1"/>
      <c r="Q2437" s="1"/>
      <c r="R2437" s="1"/>
    </row>
    <row r="2438" spans="2:18" x14ac:dyDescent="0.15">
      <c r="C2438" s="2" t="s">
        <v>5</v>
      </c>
      <c r="D2438" s="2" t="s">
        <v>128</v>
      </c>
      <c r="E2438" s="3">
        <v>16</v>
      </c>
      <c r="F2438" s="3">
        <v>5</v>
      </c>
      <c r="G2438" s="4">
        <v>44434</v>
      </c>
      <c r="M2438" s="1"/>
      <c r="N2438" s="1"/>
      <c r="O2438" s="1"/>
      <c r="P2438" s="1"/>
      <c r="Q2438" s="1"/>
      <c r="R2438" s="1"/>
    </row>
    <row r="2439" spans="2:18" x14ac:dyDescent="0.15">
      <c r="C2439" s="2" t="s">
        <v>4</v>
      </c>
      <c r="D2439" s="2" t="s">
        <v>128</v>
      </c>
      <c r="E2439" s="3">
        <v>5</v>
      </c>
      <c r="F2439" s="3">
        <v>2</v>
      </c>
      <c r="G2439" s="4">
        <v>44176</v>
      </c>
      <c r="M2439" s="1"/>
      <c r="N2439" s="1"/>
      <c r="O2439" s="1"/>
      <c r="P2439" s="1"/>
      <c r="Q2439" s="1"/>
      <c r="R2439" s="1"/>
    </row>
    <row r="2440" spans="2:18" x14ac:dyDescent="0.15">
      <c r="G2440" s="4"/>
      <c r="M2440" s="1"/>
      <c r="N2440" s="1"/>
      <c r="O2440" s="1"/>
      <c r="P2440" s="1"/>
      <c r="Q2440" s="1"/>
      <c r="R2440" s="1"/>
    </row>
    <row r="2441" spans="2:18" s="12" customFormat="1" x14ac:dyDescent="0.15">
      <c r="B2441" s="12" t="s">
        <v>272</v>
      </c>
      <c r="C2441" s="13" t="s">
        <v>970</v>
      </c>
      <c r="D2441" s="13" t="s">
        <v>969</v>
      </c>
      <c r="E2441" s="15"/>
      <c r="F2441" s="15">
        <f>SUM(F2442:F2445)</f>
        <v>16.220238095238095</v>
      </c>
      <c r="G2441" s="14">
        <f>G2442</f>
        <v>44622</v>
      </c>
      <c r="M2441" s="13"/>
      <c r="N2441" s="13"/>
      <c r="O2441" s="13"/>
      <c r="P2441" s="13"/>
      <c r="Q2441" s="13"/>
      <c r="R2441" s="13"/>
    </row>
    <row r="2442" spans="2:18" x14ac:dyDescent="0.15">
      <c r="C2442" s="2" t="s">
        <v>8</v>
      </c>
      <c r="D2442" s="2" t="s">
        <v>258</v>
      </c>
      <c r="E2442" s="3">
        <v>111</v>
      </c>
      <c r="F2442" s="3">
        <f>97/14</f>
        <v>6.9285714285714288</v>
      </c>
      <c r="G2442" s="4">
        <v>44622</v>
      </c>
    </row>
    <row r="2443" spans="2:18" x14ac:dyDescent="0.15">
      <c r="C2443" s="2" t="s">
        <v>18</v>
      </c>
      <c r="D2443" s="2" t="s">
        <v>258</v>
      </c>
      <c r="E2443" s="3">
        <v>55</v>
      </c>
      <c r="F2443" s="3">
        <v>5.625</v>
      </c>
      <c r="G2443" s="4">
        <v>44314</v>
      </c>
    </row>
    <row r="2444" spans="2:18" x14ac:dyDescent="0.15">
      <c r="C2444" s="2" t="s">
        <v>7</v>
      </c>
      <c r="D2444" s="2" t="s">
        <v>258</v>
      </c>
      <c r="E2444" s="3">
        <v>16</v>
      </c>
      <c r="F2444" s="3">
        <v>2</v>
      </c>
      <c r="G2444" s="4">
        <v>44009</v>
      </c>
    </row>
    <row r="2445" spans="2:18" x14ac:dyDescent="0.15">
      <c r="C2445" s="2" t="s">
        <v>5</v>
      </c>
      <c r="D2445" s="2" t="s">
        <v>258</v>
      </c>
      <c r="E2445" s="3">
        <v>14</v>
      </c>
      <c r="F2445" s="3">
        <v>1.6666666666666667</v>
      </c>
      <c r="G2445" s="4">
        <v>43690</v>
      </c>
    </row>
    <row r="2446" spans="2:18" x14ac:dyDescent="0.15">
      <c r="G2446" s="4"/>
    </row>
    <row r="2447" spans="2:18" s="12" customFormat="1" x14ac:dyDescent="0.15">
      <c r="B2447" s="12" t="s">
        <v>397</v>
      </c>
      <c r="C2447" s="13" t="s">
        <v>970</v>
      </c>
      <c r="D2447" s="13" t="s">
        <v>969</v>
      </c>
      <c r="E2447" s="15"/>
      <c r="F2447" s="15">
        <f>SUM(F2448:F2450)</f>
        <v>15.5</v>
      </c>
      <c r="G2447" s="14">
        <f>G2448</f>
        <v>44286</v>
      </c>
    </row>
    <row r="2448" spans="2:18" x14ac:dyDescent="0.15">
      <c r="C2448" s="2" t="s">
        <v>8</v>
      </c>
      <c r="D2448" s="2" t="s">
        <v>386</v>
      </c>
      <c r="E2448" s="3">
        <v>140</v>
      </c>
      <c r="F2448" s="3">
        <v>10</v>
      </c>
      <c r="G2448" s="4">
        <v>44286</v>
      </c>
      <c r="M2448" s="1"/>
      <c r="N2448" s="1"/>
      <c r="O2448" s="1"/>
      <c r="P2448" s="1"/>
      <c r="Q2448" s="1"/>
      <c r="R2448" s="1"/>
    </row>
    <row r="2449" spans="2:18" x14ac:dyDescent="0.15">
      <c r="C2449" s="2" t="s">
        <v>5</v>
      </c>
      <c r="D2449" s="2" t="s">
        <v>154</v>
      </c>
      <c r="E2449" s="3">
        <v>14</v>
      </c>
      <c r="F2449" s="3">
        <v>4</v>
      </c>
      <c r="G2449" s="4">
        <v>42668</v>
      </c>
      <c r="M2449" s="1"/>
      <c r="N2449" s="1"/>
      <c r="O2449" s="1"/>
      <c r="P2449" s="1"/>
      <c r="Q2449" s="1"/>
      <c r="R2449" s="1"/>
    </row>
    <row r="2450" spans="2:18" x14ac:dyDescent="0.15">
      <c r="C2450" s="2" t="s">
        <v>4</v>
      </c>
      <c r="D2450" s="2" t="s">
        <v>154</v>
      </c>
      <c r="E2450" s="3">
        <v>4</v>
      </c>
      <c r="F2450" s="3">
        <v>1.5</v>
      </c>
      <c r="G2450" s="4">
        <v>42023</v>
      </c>
      <c r="M2450" s="1"/>
      <c r="N2450" s="1"/>
      <c r="O2450" s="1"/>
      <c r="P2450" s="1"/>
      <c r="Q2450" s="1"/>
      <c r="R2450" s="1"/>
    </row>
    <row r="2451" spans="2:18" x14ac:dyDescent="0.15">
      <c r="G2451" s="4"/>
      <c r="M2451" s="1"/>
      <c r="N2451" s="1"/>
      <c r="O2451" s="1"/>
      <c r="P2451" s="1"/>
      <c r="Q2451" s="1"/>
      <c r="R2451" s="1"/>
    </row>
    <row r="2452" spans="2:18" s="12" customFormat="1" x14ac:dyDescent="0.15">
      <c r="B2452" s="12" t="s">
        <v>707</v>
      </c>
      <c r="C2452" s="13" t="s">
        <v>970</v>
      </c>
      <c r="D2452" s="13" t="s">
        <v>969</v>
      </c>
      <c r="E2452" s="15"/>
      <c r="F2452" s="15">
        <f>SUM(F2453:F2455)</f>
        <v>15.625</v>
      </c>
      <c r="G2452" s="14">
        <f>G2453</f>
        <v>45090</v>
      </c>
      <c r="M2452" s="13"/>
      <c r="N2452" s="13"/>
      <c r="O2452" s="13"/>
      <c r="P2452" s="13"/>
      <c r="Q2452" s="13"/>
      <c r="R2452" s="13"/>
    </row>
    <row r="2453" spans="2:18" x14ac:dyDescent="0.15">
      <c r="C2453" s="2" t="s">
        <v>4</v>
      </c>
      <c r="D2453" s="2" t="s">
        <v>706</v>
      </c>
      <c r="E2453" s="3">
        <v>113</v>
      </c>
      <c r="F2453" s="3">
        <v>8</v>
      </c>
      <c r="G2453" s="4">
        <v>45090</v>
      </c>
    </row>
    <row r="2454" spans="2:18" x14ac:dyDescent="0.15">
      <c r="C2454" s="2" t="s">
        <v>5</v>
      </c>
      <c r="D2454" s="2" t="s">
        <v>466</v>
      </c>
      <c r="E2454" s="3">
        <v>15.5</v>
      </c>
      <c r="F2454" s="3">
        <v>1.625</v>
      </c>
      <c r="G2454" s="4">
        <v>44727</v>
      </c>
    </row>
    <row r="2455" spans="2:18" x14ac:dyDescent="0.15">
      <c r="C2455" s="2" t="s">
        <v>5</v>
      </c>
      <c r="D2455" s="2" t="s">
        <v>466</v>
      </c>
      <c r="E2455" s="3">
        <v>12</v>
      </c>
      <c r="F2455" s="3">
        <v>6</v>
      </c>
      <c r="G2455" s="4">
        <v>43948</v>
      </c>
    </row>
    <row r="2456" spans="2:18" x14ac:dyDescent="0.15">
      <c r="G2456" s="4"/>
    </row>
    <row r="2457" spans="2:18" s="12" customFormat="1" x14ac:dyDescent="0.15">
      <c r="B2457" s="12" t="s">
        <v>5472</v>
      </c>
      <c r="C2457" s="13" t="s">
        <v>970</v>
      </c>
      <c r="D2457" s="13" t="s">
        <v>969</v>
      </c>
      <c r="E2457" s="15"/>
      <c r="F2457" s="15">
        <f>SUM(F2458:F2459)</f>
        <v>15.75</v>
      </c>
      <c r="G2457" s="14">
        <f>G2458</f>
        <v>44637</v>
      </c>
      <c r="M2457" s="13"/>
      <c r="N2457" s="13"/>
      <c r="O2457" s="13"/>
      <c r="P2457" s="13"/>
      <c r="Q2457" s="13"/>
      <c r="R2457" s="13"/>
    </row>
    <row r="2458" spans="2:18" x14ac:dyDescent="0.15">
      <c r="B2458" s="99"/>
      <c r="C2458" s="100" t="s">
        <v>18</v>
      </c>
      <c r="D2458" s="100" t="s">
        <v>2095</v>
      </c>
      <c r="E2458" s="3">
        <v>80</v>
      </c>
      <c r="F2458" s="3">
        <f>7</f>
        <v>7</v>
      </c>
      <c r="G2458" s="4">
        <v>44637</v>
      </c>
      <c r="I2458" s="1">
        <v>1500</v>
      </c>
      <c r="J2458" s="1">
        <v>1500</v>
      </c>
    </row>
    <row r="2459" spans="2:18" x14ac:dyDescent="0.15">
      <c r="B2459" s="99"/>
      <c r="C2459" s="100" t="s">
        <v>7</v>
      </c>
      <c r="D2459" s="100" t="s">
        <v>2095</v>
      </c>
      <c r="E2459" s="3">
        <v>50</v>
      </c>
      <c r="F2459" s="3">
        <f>35/4</f>
        <v>8.75</v>
      </c>
      <c r="G2459" s="4">
        <v>44286</v>
      </c>
      <c r="J2459" s="1">
        <v>1500</v>
      </c>
    </row>
    <row r="2460" spans="2:18" x14ac:dyDescent="0.15">
      <c r="B2460" s="99"/>
      <c r="C2460" s="100"/>
      <c r="D2460" s="100"/>
      <c r="G2460" s="4"/>
    </row>
    <row r="2461" spans="2:18" s="12" customFormat="1" x14ac:dyDescent="0.15">
      <c r="B2461" s="12" t="s">
        <v>609</v>
      </c>
      <c r="C2461" s="13" t="s">
        <v>970</v>
      </c>
      <c r="D2461" s="13" t="s">
        <v>969</v>
      </c>
      <c r="E2461" s="15"/>
      <c r="F2461" s="15">
        <f>SUM(F2462:F2463)</f>
        <v>16</v>
      </c>
      <c r="G2461" s="14">
        <f>G2462</f>
        <v>43888</v>
      </c>
    </row>
    <row r="2462" spans="2:18" x14ac:dyDescent="0.15">
      <c r="C2462" s="2" t="s">
        <v>18</v>
      </c>
      <c r="D2462" s="2" t="s">
        <v>607</v>
      </c>
      <c r="E2462" s="3">
        <v>48</v>
      </c>
      <c r="F2462" s="3">
        <v>4</v>
      </c>
      <c r="G2462" s="4">
        <v>43888</v>
      </c>
      <c r="M2462" s="1"/>
      <c r="N2462" s="1"/>
      <c r="O2462" s="1"/>
      <c r="P2462" s="1"/>
      <c r="Q2462" s="1"/>
      <c r="R2462" s="1"/>
    </row>
    <row r="2463" spans="2:18" x14ac:dyDescent="0.15">
      <c r="C2463" s="2" t="s">
        <v>18</v>
      </c>
      <c r="D2463" s="2" t="s">
        <v>607</v>
      </c>
      <c r="E2463" s="3">
        <v>12</v>
      </c>
      <c r="F2463" s="3">
        <v>12</v>
      </c>
      <c r="G2463" s="4">
        <v>43648</v>
      </c>
      <c r="M2463" s="1"/>
      <c r="N2463" s="1"/>
      <c r="O2463" s="1"/>
      <c r="P2463" s="1"/>
      <c r="Q2463" s="1"/>
      <c r="R2463" s="1"/>
    </row>
    <row r="2464" spans="2:18" x14ac:dyDescent="0.15">
      <c r="G2464" s="4"/>
      <c r="M2464" s="1"/>
      <c r="N2464" s="1"/>
      <c r="O2464" s="1"/>
      <c r="P2464" s="1"/>
      <c r="Q2464" s="1"/>
      <c r="R2464" s="1"/>
    </row>
    <row r="2465" spans="2:18" s="12" customFormat="1" x14ac:dyDescent="0.15">
      <c r="B2465" s="12" t="s">
        <v>1019</v>
      </c>
      <c r="C2465" s="13" t="s">
        <v>970</v>
      </c>
      <c r="D2465" s="13" t="s">
        <v>969</v>
      </c>
      <c r="E2465" s="15"/>
      <c r="F2465" s="15">
        <f>SUM(F2466:F2467)</f>
        <v>15.5</v>
      </c>
      <c r="G2465" s="14">
        <f>G2467</f>
        <v>44510</v>
      </c>
      <c r="M2465" s="13"/>
      <c r="N2465" s="13"/>
      <c r="O2465" s="13"/>
      <c r="P2465" s="13"/>
      <c r="Q2465" s="13"/>
      <c r="R2465" s="13"/>
    </row>
    <row r="2466" spans="2:18" x14ac:dyDescent="0.15">
      <c r="C2466" s="2" t="s">
        <v>5</v>
      </c>
      <c r="D2466" s="2" t="s">
        <v>694</v>
      </c>
      <c r="E2466" s="3">
        <v>18.5</v>
      </c>
      <c r="F2466" s="3">
        <v>8.5</v>
      </c>
      <c r="G2466" s="4">
        <v>44242</v>
      </c>
    </row>
    <row r="2467" spans="2:18" x14ac:dyDescent="0.15">
      <c r="C2467" s="2" t="s">
        <v>7</v>
      </c>
      <c r="D2467" s="2" t="s">
        <v>872</v>
      </c>
      <c r="E2467" s="3">
        <v>30</v>
      </c>
      <c r="F2467" s="3">
        <v>7</v>
      </c>
      <c r="G2467" s="4">
        <v>44510</v>
      </c>
    </row>
    <row r="2468" spans="2:18" x14ac:dyDescent="0.15">
      <c r="G2468" s="4"/>
    </row>
    <row r="2469" spans="2:18" s="12" customFormat="1" x14ac:dyDescent="0.15">
      <c r="B2469" s="12" t="s">
        <v>1016</v>
      </c>
      <c r="C2469" s="13" t="s">
        <v>970</v>
      </c>
      <c r="D2469" s="13" t="s">
        <v>969</v>
      </c>
      <c r="E2469" s="15"/>
      <c r="F2469" s="15">
        <f>SUM(F2470:F2472)</f>
        <v>15.85</v>
      </c>
      <c r="G2469" s="14">
        <f>G2472</f>
        <v>44650</v>
      </c>
    </row>
    <row r="2470" spans="2:18" x14ac:dyDescent="0.15">
      <c r="C2470" s="2" t="s">
        <v>4</v>
      </c>
      <c r="D2470" s="2" t="s">
        <v>677</v>
      </c>
      <c r="E2470" s="3">
        <v>4.5</v>
      </c>
      <c r="F2470" s="3">
        <v>0.5</v>
      </c>
      <c r="G2470" s="4">
        <v>44362</v>
      </c>
      <c r="M2470" s="1"/>
      <c r="N2470" s="1"/>
      <c r="O2470" s="1"/>
      <c r="P2470" s="1"/>
      <c r="Q2470" s="1"/>
      <c r="R2470" s="1"/>
    </row>
    <row r="2471" spans="2:18" x14ac:dyDescent="0.15">
      <c r="C2471" s="2" t="s">
        <v>4</v>
      </c>
      <c r="D2471" s="2" t="s">
        <v>347</v>
      </c>
      <c r="E2471" s="3">
        <v>3.5</v>
      </c>
      <c r="F2471" s="3">
        <f>E2471/10</f>
        <v>0.35</v>
      </c>
      <c r="G2471" s="4">
        <v>43046</v>
      </c>
      <c r="L2471" s="1">
        <v>0</v>
      </c>
      <c r="M2471" s="1"/>
      <c r="N2471" s="1"/>
      <c r="O2471" s="1"/>
      <c r="P2471" s="1"/>
      <c r="Q2471" s="1"/>
      <c r="R2471" s="1"/>
    </row>
    <row r="2472" spans="2:18" x14ac:dyDescent="0.15">
      <c r="C2472" s="2" t="s">
        <v>18</v>
      </c>
      <c r="D2472" s="2" t="s">
        <v>57</v>
      </c>
      <c r="E2472" s="3">
        <v>100</v>
      </c>
      <c r="F2472" s="3">
        <v>15</v>
      </c>
      <c r="G2472" s="4">
        <v>44650</v>
      </c>
      <c r="M2472" s="1"/>
      <c r="N2472" s="1"/>
      <c r="O2472" s="1"/>
      <c r="P2472" s="1"/>
      <c r="Q2472" s="1"/>
      <c r="R2472" s="1"/>
    </row>
    <row r="2473" spans="2:18" x14ac:dyDescent="0.15">
      <c r="G2473" s="4"/>
      <c r="M2473" s="1"/>
      <c r="N2473" s="1"/>
      <c r="O2473" s="1"/>
      <c r="P2473" s="1"/>
      <c r="Q2473" s="1"/>
      <c r="R2473" s="1"/>
    </row>
    <row r="2474" spans="2:18" s="12" customFormat="1" x14ac:dyDescent="0.15">
      <c r="B2474" s="12" t="s">
        <v>618</v>
      </c>
      <c r="C2474" s="13" t="s">
        <v>970</v>
      </c>
      <c r="D2474" s="13" t="s">
        <v>969</v>
      </c>
      <c r="E2474" s="15"/>
      <c r="F2474" s="15">
        <f>SUM(F2475:F2479)</f>
        <v>15.149999999999999</v>
      </c>
      <c r="G2474" s="14">
        <f>G2475</f>
        <v>44215</v>
      </c>
    </row>
    <row r="2475" spans="2:18" x14ac:dyDescent="0.15">
      <c r="C2475" s="2" t="s">
        <v>9</v>
      </c>
      <c r="D2475" s="2" t="s">
        <v>607</v>
      </c>
      <c r="E2475" s="3">
        <v>132</v>
      </c>
      <c r="F2475" s="3">
        <f>72/10</f>
        <v>7.2</v>
      </c>
      <c r="G2475" s="4">
        <v>44215</v>
      </c>
      <c r="M2475" s="1"/>
      <c r="N2475" s="1"/>
      <c r="O2475" s="1"/>
      <c r="P2475" s="1"/>
      <c r="Q2475" s="1"/>
      <c r="R2475" s="1"/>
    </row>
    <row r="2476" spans="2:18" x14ac:dyDescent="0.15">
      <c r="C2476" s="2" t="s">
        <v>18</v>
      </c>
      <c r="D2476" s="2" t="s">
        <v>607</v>
      </c>
      <c r="E2476" s="3">
        <v>48</v>
      </c>
      <c r="F2476" s="3">
        <f>28/7</f>
        <v>4</v>
      </c>
      <c r="G2476" s="4">
        <v>43888</v>
      </c>
      <c r="M2476" s="1"/>
      <c r="N2476" s="1"/>
      <c r="O2476" s="1"/>
      <c r="P2476" s="1"/>
      <c r="Q2476" s="1"/>
      <c r="R2476" s="1"/>
    </row>
    <row r="2477" spans="2:18" x14ac:dyDescent="0.15">
      <c r="C2477" s="2" t="s">
        <v>7</v>
      </c>
      <c r="D2477" s="2" t="s">
        <v>607</v>
      </c>
      <c r="E2477" s="3">
        <v>25</v>
      </c>
      <c r="F2477" s="3">
        <f>10/5</f>
        <v>2</v>
      </c>
      <c r="G2477" s="4">
        <v>43440</v>
      </c>
      <c r="M2477" s="1"/>
      <c r="N2477" s="1"/>
      <c r="O2477" s="1"/>
      <c r="P2477" s="1"/>
      <c r="Q2477" s="1"/>
      <c r="R2477" s="1"/>
    </row>
    <row r="2478" spans="2:18" x14ac:dyDescent="0.15">
      <c r="C2478" s="2" t="s">
        <v>5</v>
      </c>
      <c r="D2478" s="2" t="s">
        <v>607</v>
      </c>
      <c r="E2478" s="3">
        <v>5.8</v>
      </c>
      <c r="F2478" s="3">
        <f>E2478/4</f>
        <v>1.45</v>
      </c>
      <c r="G2478" s="4">
        <v>43117</v>
      </c>
      <c r="M2478" s="1"/>
      <c r="N2478" s="1"/>
      <c r="O2478" s="1"/>
      <c r="P2478" s="1"/>
      <c r="Q2478" s="1"/>
      <c r="R2478" s="1"/>
    </row>
    <row r="2479" spans="2:18" x14ac:dyDescent="0.15">
      <c r="C2479" s="2" t="s">
        <v>4</v>
      </c>
      <c r="D2479" s="2" t="s">
        <v>607</v>
      </c>
      <c r="E2479" s="3">
        <v>3.3</v>
      </c>
      <c r="F2479" s="3">
        <v>0.5</v>
      </c>
      <c r="G2479" s="4">
        <v>42678</v>
      </c>
      <c r="M2479" s="1"/>
      <c r="N2479" s="1"/>
      <c r="O2479" s="1"/>
      <c r="P2479" s="1"/>
      <c r="Q2479" s="1"/>
      <c r="R2479" s="1"/>
    </row>
    <row r="2480" spans="2:18" x14ac:dyDescent="0.15">
      <c r="G2480" s="4"/>
      <c r="M2480" s="1"/>
      <c r="N2480" s="1"/>
      <c r="O2480" s="1"/>
      <c r="P2480" s="1"/>
      <c r="Q2480" s="1"/>
      <c r="R2480" s="1"/>
    </row>
    <row r="2481" spans="2:18" s="12" customFormat="1" x14ac:dyDescent="0.15">
      <c r="B2481" s="12" t="s">
        <v>6264</v>
      </c>
      <c r="C2481" s="13" t="s">
        <v>970</v>
      </c>
      <c r="D2481" s="13" t="s">
        <v>969</v>
      </c>
      <c r="E2481" s="15"/>
      <c r="F2481" s="15">
        <f>SUM(F2482:F2485)</f>
        <v>15.3</v>
      </c>
      <c r="G2481" s="14">
        <f>G2482</f>
        <v>44518</v>
      </c>
      <c r="M2481" s="13"/>
      <c r="N2481" s="13"/>
      <c r="O2481" s="13"/>
      <c r="P2481" s="13"/>
      <c r="Q2481" s="13"/>
      <c r="R2481" s="13"/>
    </row>
    <row r="2482" spans="2:18" x14ac:dyDescent="0.15">
      <c r="B2482" s="143"/>
      <c r="C2482" s="149" t="s">
        <v>7</v>
      </c>
      <c r="D2482" s="149" t="s">
        <v>2062</v>
      </c>
      <c r="E2482" s="3">
        <v>50</v>
      </c>
      <c r="F2482" s="3">
        <v>10</v>
      </c>
      <c r="G2482" s="4">
        <v>44518</v>
      </c>
    </row>
    <row r="2483" spans="2:18" x14ac:dyDescent="0.15">
      <c r="C2483" s="149" t="s">
        <v>5</v>
      </c>
      <c r="D2483" s="149" t="s">
        <v>2062</v>
      </c>
      <c r="E2483" s="3">
        <v>13</v>
      </c>
      <c r="F2483" s="3">
        <v>3</v>
      </c>
      <c r="G2483" s="4">
        <v>44294</v>
      </c>
    </row>
    <row r="2484" spans="2:18" x14ac:dyDescent="0.15">
      <c r="C2484" s="149" t="s">
        <v>4</v>
      </c>
      <c r="D2484" s="149" t="s">
        <v>2062</v>
      </c>
      <c r="E2484" s="3">
        <v>4.5</v>
      </c>
      <c r="F2484" s="3">
        <v>1.5</v>
      </c>
      <c r="G2484" s="4">
        <v>43943</v>
      </c>
    </row>
    <row r="2485" spans="2:18" x14ac:dyDescent="0.15">
      <c r="C2485" s="149" t="s">
        <v>4</v>
      </c>
      <c r="D2485" s="149" t="s">
        <v>2062</v>
      </c>
      <c r="E2485" s="3">
        <v>2.2999999999999998</v>
      </c>
      <c r="F2485" s="3">
        <v>0.8</v>
      </c>
      <c r="G2485" s="4">
        <v>43195</v>
      </c>
    </row>
    <row r="2486" spans="2:18" x14ac:dyDescent="0.15">
      <c r="C2486" s="149"/>
      <c r="D2486" s="149"/>
      <c r="G2486" s="4"/>
    </row>
    <row r="2487" spans="2:18" s="12" customFormat="1" x14ac:dyDescent="0.15">
      <c r="B2487" s="12" t="s">
        <v>486</v>
      </c>
      <c r="C2487" s="13" t="s">
        <v>970</v>
      </c>
      <c r="D2487" s="13" t="s">
        <v>969</v>
      </c>
      <c r="E2487" s="15"/>
      <c r="F2487" s="15">
        <f>SUM(F2488:F2492)</f>
        <v>15.25</v>
      </c>
      <c r="G2487" s="14">
        <f>G2488</f>
        <v>44516</v>
      </c>
    </row>
    <row r="2488" spans="2:18" x14ac:dyDescent="0.15">
      <c r="C2488" s="2" t="s">
        <v>5</v>
      </c>
      <c r="D2488" s="2" t="s">
        <v>484</v>
      </c>
      <c r="E2488" s="3">
        <v>13</v>
      </c>
      <c r="F2488" s="3">
        <v>1.4</v>
      </c>
      <c r="G2488" s="4">
        <v>44516</v>
      </c>
      <c r="M2488" s="1"/>
      <c r="N2488" s="1"/>
      <c r="O2488" s="1"/>
      <c r="P2488" s="1"/>
      <c r="Q2488" s="1"/>
      <c r="R2488" s="1"/>
    </row>
    <row r="2489" spans="2:18" x14ac:dyDescent="0.15">
      <c r="C2489" s="2" t="s">
        <v>4</v>
      </c>
      <c r="D2489" s="2" t="s">
        <v>347</v>
      </c>
      <c r="E2489" s="3">
        <v>3.5</v>
      </c>
      <c r="F2489" s="3">
        <f>E2489/10</f>
        <v>0.35</v>
      </c>
      <c r="G2489" s="4">
        <v>43046</v>
      </c>
      <c r="M2489" s="1"/>
      <c r="N2489" s="1"/>
      <c r="O2489" s="1"/>
      <c r="P2489" s="1"/>
      <c r="Q2489" s="1"/>
      <c r="R2489" s="1"/>
    </row>
    <row r="2490" spans="2:18" x14ac:dyDescent="0.15">
      <c r="C2490" s="100" t="s">
        <v>7</v>
      </c>
      <c r="D2490" s="100" t="s">
        <v>2106</v>
      </c>
      <c r="E2490" s="3">
        <v>56</v>
      </c>
      <c r="F2490" s="3">
        <v>8</v>
      </c>
      <c r="G2490" s="4">
        <v>44319</v>
      </c>
      <c r="M2490" s="1"/>
      <c r="N2490" s="1"/>
      <c r="O2490" s="1"/>
      <c r="P2490" s="1"/>
      <c r="Q2490" s="1"/>
      <c r="R2490" s="1"/>
    </row>
    <row r="2491" spans="2:18" x14ac:dyDescent="0.15">
      <c r="C2491" s="100" t="s">
        <v>5</v>
      </c>
      <c r="D2491" s="100" t="s">
        <v>2106</v>
      </c>
      <c r="E2491" s="3">
        <v>12.5</v>
      </c>
      <c r="F2491" s="3">
        <v>5</v>
      </c>
      <c r="G2491" s="4">
        <v>43453</v>
      </c>
      <c r="M2491" s="1"/>
      <c r="N2491" s="1"/>
      <c r="O2491" s="1"/>
      <c r="P2491" s="1"/>
      <c r="Q2491" s="1"/>
      <c r="R2491" s="1"/>
    </row>
    <row r="2492" spans="2:18" x14ac:dyDescent="0.15">
      <c r="C2492" s="100" t="s">
        <v>4</v>
      </c>
      <c r="D2492" s="100" t="s">
        <v>2106</v>
      </c>
      <c r="E2492" s="3">
        <v>2.5</v>
      </c>
      <c r="F2492" s="3">
        <v>0.5</v>
      </c>
      <c r="G2492" s="4">
        <v>43401</v>
      </c>
      <c r="M2492" s="1"/>
      <c r="N2492" s="1"/>
      <c r="O2492" s="1"/>
      <c r="P2492" s="1"/>
      <c r="Q2492" s="1"/>
      <c r="R2492" s="1"/>
    </row>
    <row r="2493" spans="2:18" x14ac:dyDescent="0.15">
      <c r="G2493" s="4"/>
      <c r="M2493" s="1"/>
      <c r="N2493" s="1"/>
      <c r="O2493" s="1"/>
      <c r="P2493" s="1"/>
      <c r="Q2493" s="1"/>
      <c r="R2493" s="1"/>
    </row>
    <row r="2494" spans="2:18" s="12" customFormat="1" x14ac:dyDescent="0.15">
      <c r="B2494" s="12" t="s">
        <v>6745</v>
      </c>
      <c r="C2494" s="13" t="s">
        <v>970</v>
      </c>
      <c r="D2494" s="13" t="s">
        <v>969</v>
      </c>
      <c r="E2494" s="15"/>
      <c r="F2494" s="15">
        <f>SUM(F2495:F2497)</f>
        <v>14.857142857142858</v>
      </c>
      <c r="G2494" s="14">
        <f>G2495</f>
        <v>43178</v>
      </c>
      <c r="M2494" s="13"/>
      <c r="N2494" s="13"/>
      <c r="O2494" s="13"/>
      <c r="P2494" s="13"/>
      <c r="Q2494" s="13"/>
      <c r="R2494" s="13"/>
    </row>
    <row r="2495" spans="2:18" x14ac:dyDescent="0.15">
      <c r="B2495" s="192"/>
      <c r="C2495" s="2" t="s">
        <v>8</v>
      </c>
      <c r="D2495" s="2" t="s">
        <v>102</v>
      </c>
      <c r="E2495" s="3">
        <v>30</v>
      </c>
      <c r="F2495" s="3">
        <f>20/7</f>
        <v>2.8571428571428572</v>
      </c>
      <c r="G2495" s="4">
        <v>43178</v>
      </c>
    </row>
    <row r="2496" spans="2:18" x14ac:dyDescent="0.15">
      <c r="C2496" s="2" t="s">
        <v>8</v>
      </c>
      <c r="D2496" s="2" t="s">
        <v>102</v>
      </c>
      <c r="E2496" s="3">
        <v>40</v>
      </c>
      <c r="F2496" s="3">
        <v>7</v>
      </c>
      <c r="G2496" s="4">
        <v>42493</v>
      </c>
    </row>
    <row r="2497" spans="2:18" x14ac:dyDescent="0.15">
      <c r="C2497" s="2" t="s">
        <v>8</v>
      </c>
      <c r="D2497" s="2" t="s">
        <v>102</v>
      </c>
      <c r="E2497" s="3">
        <v>5</v>
      </c>
      <c r="F2497" s="3">
        <v>5</v>
      </c>
      <c r="G2497" s="4">
        <v>42356</v>
      </c>
    </row>
    <row r="2498" spans="2:18" x14ac:dyDescent="0.15">
      <c r="G2498" s="4"/>
    </row>
    <row r="2499" spans="2:18" s="12" customFormat="1" x14ac:dyDescent="0.15">
      <c r="B2499" s="12" t="s">
        <v>725</v>
      </c>
      <c r="C2499" s="13" t="s">
        <v>970</v>
      </c>
      <c r="D2499" s="13" t="s">
        <v>969</v>
      </c>
      <c r="E2499" s="15"/>
      <c r="F2499" s="15">
        <f>SUM(F2500:F2502)</f>
        <v>15.166666666666666</v>
      </c>
      <c r="G2499" s="14">
        <f>G2500</f>
        <v>44903</v>
      </c>
    </row>
    <row r="2500" spans="2:18" x14ac:dyDescent="0.15">
      <c r="C2500" s="2" t="s">
        <v>5</v>
      </c>
      <c r="D2500" s="2" t="s">
        <v>723</v>
      </c>
      <c r="E2500" s="3">
        <v>20</v>
      </c>
      <c r="F2500" s="3">
        <f>13/6</f>
        <v>2.1666666666666665</v>
      </c>
      <c r="G2500" s="4">
        <v>44903</v>
      </c>
    </row>
    <row r="2501" spans="2:18" x14ac:dyDescent="0.15">
      <c r="C2501" s="2" t="s">
        <v>5</v>
      </c>
      <c r="D2501" s="2" t="s">
        <v>723</v>
      </c>
      <c r="E2501" s="3">
        <v>11</v>
      </c>
      <c r="F2501" s="3">
        <v>3</v>
      </c>
      <c r="G2501" s="4">
        <v>44313</v>
      </c>
    </row>
    <row r="2502" spans="2:18" x14ac:dyDescent="0.15">
      <c r="C2502" s="2" t="s">
        <v>5</v>
      </c>
      <c r="D2502" s="2" t="s">
        <v>660</v>
      </c>
      <c r="E2502" s="3">
        <v>10</v>
      </c>
      <c r="F2502" s="3">
        <v>10</v>
      </c>
      <c r="G2502" s="4">
        <v>44854</v>
      </c>
    </row>
    <row r="2503" spans="2:18" x14ac:dyDescent="0.15">
      <c r="G2503" s="4"/>
    </row>
    <row r="2504" spans="2:18" s="12" customFormat="1" x14ac:dyDescent="0.15">
      <c r="B2504" s="12" t="s">
        <v>83</v>
      </c>
      <c r="C2504" s="13" t="s">
        <v>970</v>
      </c>
      <c r="D2504" s="13" t="s">
        <v>969</v>
      </c>
      <c r="E2504" s="15"/>
      <c r="F2504" s="15">
        <f>SUM(F2505:F2506)</f>
        <v>14.666666666666668</v>
      </c>
      <c r="G2504" s="14">
        <f>G2505</f>
        <v>43622</v>
      </c>
      <c r="M2504" s="13"/>
      <c r="N2504" s="13"/>
      <c r="O2504" s="13"/>
      <c r="P2504" s="13"/>
      <c r="Q2504" s="13"/>
      <c r="R2504" s="13"/>
    </row>
    <row r="2505" spans="2:18" x14ac:dyDescent="0.15">
      <c r="C2505" s="2" t="s">
        <v>5</v>
      </c>
      <c r="D2505" s="2" t="s">
        <v>80</v>
      </c>
      <c r="E2505" s="3">
        <v>43</v>
      </c>
      <c r="F2505" s="3">
        <f>+E2505/6</f>
        <v>7.166666666666667</v>
      </c>
      <c r="G2505" s="4">
        <v>43622</v>
      </c>
    </row>
    <row r="2506" spans="2:18" x14ac:dyDescent="0.15">
      <c r="C2506" s="2" t="s">
        <v>4</v>
      </c>
      <c r="D2506" s="2" t="s">
        <v>80</v>
      </c>
      <c r="E2506" s="3">
        <v>49</v>
      </c>
      <c r="F2506" s="3">
        <v>7.5</v>
      </c>
      <c r="G2506" s="4">
        <v>43319</v>
      </c>
    </row>
    <row r="2507" spans="2:18" x14ac:dyDescent="0.15">
      <c r="G2507" s="4"/>
    </row>
    <row r="2508" spans="2:18" x14ac:dyDescent="0.15">
      <c r="B2508" s="12" t="s">
        <v>5053</v>
      </c>
      <c r="C2508" s="13" t="s">
        <v>970</v>
      </c>
      <c r="D2508" s="13" t="s">
        <v>969</v>
      </c>
      <c r="F2508" s="15">
        <f>SUM(F2509:F2514)</f>
        <v>14.583333333333334</v>
      </c>
      <c r="G2508" s="14">
        <f>G2509</f>
        <v>44293</v>
      </c>
    </row>
    <row r="2509" spans="2:18" x14ac:dyDescent="0.15">
      <c r="C2509" s="2" t="s">
        <v>7</v>
      </c>
      <c r="D2509" s="2" t="s">
        <v>878</v>
      </c>
      <c r="E2509" s="3">
        <v>35</v>
      </c>
      <c r="F2509" s="3">
        <f>25/6</f>
        <v>4.166666666666667</v>
      </c>
      <c r="G2509" s="4">
        <v>44293</v>
      </c>
    </row>
    <row r="2510" spans="2:18" x14ac:dyDescent="0.15">
      <c r="C2510" s="2" t="s">
        <v>5</v>
      </c>
      <c r="D2510" s="2" t="s">
        <v>878</v>
      </c>
      <c r="E2510" s="3">
        <v>12</v>
      </c>
      <c r="F2510" s="3">
        <v>3</v>
      </c>
      <c r="G2510" s="4">
        <v>44026</v>
      </c>
    </row>
    <row r="2511" spans="2:18" x14ac:dyDescent="0.15">
      <c r="C2511" s="2" t="s">
        <v>4</v>
      </c>
      <c r="D2511" s="2" t="s">
        <v>878</v>
      </c>
      <c r="E2511" s="3">
        <v>3.3</v>
      </c>
      <c r="F2511" s="3">
        <v>0.5</v>
      </c>
      <c r="G2511" s="4">
        <v>44026</v>
      </c>
    </row>
    <row r="2512" spans="2:18" x14ac:dyDescent="0.15">
      <c r="C2512" s="2" t="s">
        <v>7</v>
      </c>
      <c r="D2512" s="2" t="s">
        <v>310</v>
      </c>
      <c r="E2512" s="3">
        <v>40</v>
      </c>
      <c r="F2512" s="3">
        <v>4</v>
      </c>
      <c r="G2512" s="4">
        <v>43419</v>
      </c>
    </row>
    <row r="2513" spans="2:18" x14ac:dyDescent="0.15">
      <c r="C2513" s="2" t="s">
        <v>5</v>
      </c>
      <c r="D2513" s="2" t="s">
        <v>310</v>
      </c>
      <c r="E2513" s="3">
        <v>14.7</v>
      </c>
      <c r="F2513" s="3">
        <v>2.25</v>
      </c>
      <c r="G2513" s="4">
        <v>43032</v>
      </c>
    </row>
    <row r="2514" spans="2:18" x14ac:dyDescent="0.15">
      <c r="C2514" s="2" t="s">
        <v>5</v>
      </c>
      <c r="D2514" s="62" t="s">
        <v>5044</v>
      </c>
      <c r="E2514" s="3">
        <v>3</v>
      </c>
      <c r="F2514" s="3">
        <f>2/3</f>
        <v>0.66666666666666663</v>
      </c>
      <c r="G2514" s="4">
        <v>42220</v>
      </c>
    </row>
    <row r="2515" spans="2:18" x14ac:dyDescent="0.15">
      <c r="G2515" s="4"/>
    </row>
    <row r="2516" spans="2:18" s="12" customFormat="1" x14ac:dyDescent="0.15">
      <c r="B2516" s="12" t="s">
        <v>741</v>
      </c>
      <c r="C2516" s="13" t="s">
        <v>970</v>
      </c>
      <c r="D2516" s="13" t="s">
        <v>969</v>
      </c>
      <c r="E2516" s="15"/>
      <c r="F2516" s="15">
        <f>SUM(F2517:F2518)</f>
        <v>14.5</v>
      </c>
      <c r="G2516" s="14">
        <f>G2517</f>
        <v>44469</v>
      </c>
    </row>
    <row r="2517" spans="2:18" x14ac:dyDescent="0.15">
      <c r="C2517" s="2" t="s">
        <v>4</v>
      </c>
      <c r="D2517" s="2" t="s">
        <v>700</v>
      </c>
      <c r="E2517" s="3">
        <v>2.5</v>
      </c>
      <c r="F2517" s="3">
        <f>2/6</f>
        <v>0.33333333333333331</v>
      </c>
      <c r="G2517" s="4">
        <v>44469</v>
      </c>
      <c r="M2517" s="1"/>
      <c r="N2517" s="1"/>
      <c r="O2517" s="1"/>
      <c r="P2517" s="1"/>
      <c r="Q2517" s="1"/>
      <c r="R2517" s="1"/>
    </row>
    <row r="2518" spans="2:18" x14ac:dyDescent="0.15">
      <c r="C2518" s="2" t="s">
        <v>8</v>
      </c>
      <c r="D2518" s="2" t="s">
        <v>47</v>
      </c>
      <c r="E2518" s="3">
        <v>145</v>
      </c>
      <c r="F2518" s="3">
        <f>85/6</f>
        <v>14.166666666666666</v>
      </c>
      <c r="G2518" s="4">
        <v>43228</v>
      </c>
      <c r="M2518" s="1"/>
      <c r="N2518" s="1"/>
      <c r="O2518" s="1"/>
      <c r="P2518" s="1"/>
      <c r="Q2518" s="1"/>
      <c r="R2518" s="1"/>
    </row>
    <row r="2519" spans="2:18" x14ac:dyDescent="0.15">
      <c r="G2519" s="4"/>
      <c r="M2519" s="1"/>
      <c r="N2519" s="1"/>
      <c r="O2519" s="1"/>
      <c r="P2519" s="1"/>
      <c r="Q2519" s="1"/>
      <c r="R2519" s="1"/>
    </row>
    <row r="2520" spans="2:18" s="12" customFormat="1" x14ac:dyDescent="0.15">
      <c r="B2520" s="12" t="s">
        <v>13</v>
      </c>
      <c r="C2520" s="13" t="s">
        <v>970</v>
      </c>
      <c r="D2520" s="13" t="s">
        <v>969</v>
      </c>
      <c r="E2520" s="15"/>
      <c r="F2520" s="15">
        <f>SUM(F2521:F2522)</f>
        <v>13.75</v>
      </c>
      <c r="G2520" s="14">
        <f>G2521</f>
        <v>44721</v>
      </c>
      <c r="M2520" s="13"/>
      <c r="N2520" s="13"/>
      <c r="O2520" s="13"/>
      <c r="P2520" s="13"/>
      <c r="Q2520" s="13"/>
      <c r="R2520" s="13"/>
    </row>
    <row r="2521" spans="2:18" x14ac:dyDescent="0.15">
      <c r="C2521" s="2" t="s">
        <v>9</v>
      </c>
      <c r="D2521" s="2" t="s">
        <v>3</v>
      </c>
      <c r="E2521" s="3">
        <v>90</v>
      </c>
      <c r="F2521" s="3">
        <v>10</v>
      </c>
      <c r="G2521" s="4">
        <v>44721</v>
      </c>
      <c r="I2521" s="1">
        <v>2200</v>
      </c>
      <c r="J2521" s="1">
        <v>2200</v>
      </c>
    </row>
    <row r="2522" spans="2:18" x14ac:dyDescent="0.15">
      <c r="C2522" s="2" t="s">
        <v>7</v>
      </c>
      <c r="D2522" s="2" t="s">
        <v>3</v>
      </c>
      <c r="E2522" s="3">
        <v>25</v>
      </c>
      <c r="F2522" s="3">
        <v>3.75</v>
      </c>
      <c r="G2522" s="4">
        <v>43697</v>
      </c>
      <c r="J2522" s="1">
        <v>2200</v>
      </c>
    </row>
    <row r="2523" spans="2:18" x14ac:dyDescent="0.15">
      <c r="G2523" s="4"/>
    </row>
    <row r="2524" spans="2:18" s="12" customFormat="1" x14ac:dyDescent="0.15">
      <c r="B2524" s="12" t="s">
        <v>6606</v>
      </c>
      <c r="C2524" s="13" t="s">
        <v>970</v>
      </c>
      <c r="D2524" s="13" t="s">
        <v>969</v>
      </c>
      <c r="E2524" s="15"/>
      <c r="F2524" s="15">
        <f>SUM(F2525:F2526)</f>
        <v>14</v>
      </c>
      <c r="G2524" s="14">
        <f>G2525</f>
        <v>44518</v>
      </c>
      <c r="M2524" s="13"/>
      <c r="N2524" s="13"/>
      <c r="O2524" s="13"/>
      <c r="P2524" s="13"/>
      <c r="Q2524" s="13"/>
      <c r="R2524" s="13"/>
    </row>
    <row r="2525" spans="2:18" x14ac:dyDescent="0.15">
      <c r="B2525" s="168"/>
      <c r="C2525" s="169" t="s">
        <v>7</v>
      </c>
      <c r="D2525" s="169" t="s">
        <v>2040</v>
      </c>
      <c r="E2525" s="3">
        <v>21</v>
      </c>
      <c r="F2525" s="3">
        <v>11</v>
      </c>
      <c r="G2525" s="4">
        <v>44518</v>
      </c>
    </row>
    <row r="2526" spans="2:18" x14ac:dyDescent="0.15">
      <c r="B2526" s="168"/>
      <c r="C2526" s="169" t="s">
        <v>5</v>
      </c>
      <c r="D2526" s="169" t="s">
        <v>2040</v>
      </c>
      <c r="E2526" s="3">
        <v>9.1</v>
      </c>
      <c r="F2526" s="3">
        <v>3</v>
      </c>
      <c r="G2526" s="4">
        <v>42087</v>
      </c>
    </row>
    <row r="2527" spans="2:18" x14ac:dyDescent="0.15">
      <c r="C2527" s="169"/>
      <c r="D2527" s="169"/>
      <c r="G2527" s="4"/>
    </row>
    <row r="2528" spans="2:18" s="12" customFormat="1" x14ac:dyDescent="0.15">
      <c r="B2528" s="12" t="s">
        <v>678</v>
      </c>
      <c r="C2528" s="13" t="s">
        <v>970</v>
      </c>
      <c r="D2528" s="13" t="s">
        <v>969</v>
      </c>
      <c r="E2528" s="15"/>
      <c r="F2528" s="15">
        <f>SUM(F2529:F2531)</f>
        <v>14.214285714285714</v>
      </c>
      <c r="G2528" s="14">
        <f>G2529</f>
        <v>44482</v>
      </c>
      <c r="M2528" s="13"/>
      <c r="N2528" s="13"/>
      <c r="O2528" s="13"/>
      <c r="P2528" s="13"/>
      <c r="Q2528" s="13"/>
      <c r="R2528" s="13"/>
    </row>
    <row r="2529" spans="2:18" x14ac:dyDescent="0.15">
      <c r="C2529" s="2" t="s">
        <v>5</v>
      </c>
      <c r="D2529" s="2" t="s">
        <v>677</v>
      </c>
      <c r="E2529" s="3">
        <v>15</v>
      </c>
      <c r="F2529" s="3">
        <v>3</v>
      </c>
      <c r="G2529" s="4">
        <v>44482</v>
      </c>
    </row>
    <row r="2530" spans="2:18" x14ac:dyDescent="0.15">
      <c r="C2530" s="2" t="s">
        <v>4</v>
      </c>
      <c r="D2530" s="2" t="s">
        <v>677</v>
      </c>
      <c r="E2530" s="3">
        <v>4.5</v>
      </c>
      <c r="F2530" s="3">
        <v>0.5</v>
      </c>
      <c r="G2530" s="4">
        <v>44362</v>
      </c>
      <c r="M2530" s="1"/>
      <c r="N2530" s="1"/>
      <c r="O2530" s="1"/>
      <c r="P2530" s="1"/>
      <c r="Q2530" s="1"/>
      <c r="R2530" s="1"/>
    </row>
    <row r="2531" spans="2:18" x14ac:dyDescent="0.15">
      <c r="C2531" s="62" t="s">
        <v>9</v>
      </c>
      <c r="D2531" s="62" t="s">
        <v>2117</v>
      </c>
      <c r="E2531" s="3">
        <v>100</v>
      </c>
      <c r="F2531" s="3">
        <f>75/7</f>
        <v>10.714285714285714</v>
      </c>
      <c r="G2531" s="4">
        <v>44507</v>
      </c>
      <c r="I2531" s="1">
        <v>1600</v>
      </c>
      <c r="J2531" s="1">
        <v>1600</v>
      </c>
      <c r="M2531" s="1"/>
      <c r="N2531" s="1"/>
      <c r="O2531" s="1"/>
      <c r="P2531" s="1"/>
      <c r="Q2531" s="1"/>
      <c r="R2531" s="1"/>
    </row>
    <row r="2532" spans="2:18" x14ac:dyDescent="0.15">
      <c r="C2532" s="62" t="s">
        <v>18</v>
      </c>
      <c r="D2532" s="62" t="s">
        <v>2117</v>
      </c>
      <c r="E2532" s="3">
        <v>40</v>
      </c>
      <c r="F2532" s="3">
        <v>5</v>
      </c>
      <c r="G2532" s="63">
        <v>43069</v>
      </c>
      <c r="J2532" s="1">
        <v>1600</v>
      </c>
      <c r="M2532" s="1"/>
      <c r="N2532" s="1"/>
      <c r="O2532" s="1"/>
      <c r="P2532" s="1"/>
      <c r="Q2532" s="1"/>
      <c r="R2532" s="1"/>
    </row>
    <row r="2533" spans="2:18" x14ac:dyDescent="0.15">
      <c r="G2533" s="4"/>
      <c r="M2533" s="1"/>
      <c r="N2533" s="1"/>
      <c r="O2533" s="1"/>
      <c r="P2533" s="1"/>
      <c r="Q2533" s="1"/>
      <c r="R2533" s="1"/>
    </row>
    <row r="2534" spans="2:18" s="12" customFormat="1" x14ac:dyDescent="0.15">
      <c r="B2534" s="12" t="s">
        <v>516</v>
      </c>
      <c r="C2534" s="13" t="s">
        <v>970</v>
      </c>
      <c r="D2534" s="13" t="s">
        <v>969</v>
      </c>
      <c r="E2534" s="15"/>
      <c r="F2534" s="15">
        <f>SUM(F2535:F2541)</f>
        <v>13.805</v>
      </c>
      <c r="G2534" s="14">
        <f>G2535</f>
        <v>45037</v>
      </c>
    </row>
    <row r="2535" spans="2:18" x14ac:dyDescent="0.15">
      <c r="B2535" s="273" t="s">
        <v>7704</v>
      </c>
      <c r="C2535" s="2" t="s">
        <v>4</v>
      </c>
      <c r="D2535" s="2" t="s">
        <v>510</v>
      </c>
      <c r="E2535" s="3">
        <v>3</v>
      </c>
      <c r="F2535" s="3">
        <v>1.5</v>
      </c>
      <c r="G2535" s="4">
        <v>45037</v>
      </c>
      <c r="M2535" s="1"/>
      <c r="N2535" s="1"/>
      <c r="O2535" s="1"/>
      <c r="P2535" s="1"/>
      <c r="Q2535" s="1"/>
      <c r="R2535" s="1"/>
    </row>
    <row r="2536" spans="2:18" x14ac:dyDescent="0.15">
      <c r="C2536" s="2" t="s">
        <v>18</v>
      </c>
      <c r="D2536" s="2" t="s">
        <v>292</v>
      </c>
      <c r="E2536" s="3">
        <v>38</v>
      </c>
      <c r="F2536" s="3">
        <v>3</v>
      </c>
      <c r="G2536" s="4">
        <v>43104</v>
      </c>
      <c r="M2536" s="1"/>
      <c r="N2536" s="1"/>
      <c r="O2536" s="1"/>
      <c r="P2536" s="1"/>
      <c r="Q2536" s="1"/>
      <c r="R2536" s="1"/>
    </row>
    <row r="2537" spans="2:18" x14ac:dyDescent="0.15">
      <c r="C2537" s="2" t="s">
        <v>7</v>
      </c>
      <c r="D2537" s="2" t="s">
        <v>292</v>
      </c>
      <c r="E2537" s="3">
        <v>6.9</v>
      </c>
      <c r="F2537" s="3">
        <f>E2537/5</f>
        <v>1.3800000000000001</v>
      </c>
      <c r="G2537" s="4">
        <v>42458</v>
      </c>
      <c r="M2537" s="1"/>
      <c r="N2537" s="1"/>
      <c r="O2537" s="1"/>
      <c r="P2537" s="1"/>
      <c r="Q2537" s="1"/>
      <c r="R2537" s="1"/>
    </row>
    <row r="2538" spans="2:18" x14ac:dyDescent="0.15">
      <c r="C2538" s="2" t="s">
        <v>5</v>
      </c>
      <c r="D2538" s="2" t="s">
        <v>292</v>
      </c>
      <c r="E2538" s="3">
        <v>2.7</v>
      </c>
      <c r="F2538" s="3">
        <f>1.7/4</f>
        <v>0.42499999999999999</v>
      </c>
      <c r="G2538" s="4">
        <v>42139</v>
      </c>
      <c r="M2538" s="1"/>
      <c r="N2538" s="1"/>
      <c r="O2538" s="1"/>
      <c r="P2538" s="1"/>
      <c r="Q2538" s="1"/>
      <c r="R2538" s="1"/>
    </row>
    <row r="2539" spans="2:18" x14ac:dyDescent="0.15">
      <c r="C2539" s="169" t="s">
        <v>7</v>
      </c>
      <c r="D2539" s="169" t="s">
        <v>2051</v>
      </c>
      <c r="E2539" s="3">
        <v>50</v>
      </c>
      <c r="F2539" s="3">
        <v>4</v>
      </c>
      <c r="G2539" s="4">
        <v>44252</v>
      </c>
      <c r="M2539" s="1"/>
      <c r="N2539" s="1"/>
      <c r="O2539" s="1"/>
      <c r="P2539" s="1"/>
      <c r="Q2539" s="1"/>
      <c r="R2539" s="1"/>
    </row>
    <row r="2540" spans="2:18" x14ac:dyDescent="0.15">
      <c r="C2540" s="169" t="s">
        <v>5</v>
      </c>
      <c r="D2540" s="169" t="s">
        <v>2051</v>
      </c>
      <c r="E2540" s="3">
        <v>10</v>
      </c>
      <c r="F2540" s="3">
        <v>2.5</v>
      </c>
      <c r="G2540" s="4">
        <v>43059</v>
      </c>
      <c r="M2540" s="1"/>
      <c r="N2540" s="1"/>
      <c r="O2540" s="1"/>
      <c r="P2540" s="1"/>
      <c r="Q2540" s="1"/>
      <c r="R2540" s="1"/>
    </row>
    <row r="2541" spans="2:18" x14ac:dyDescent="0.15">
      <c r="C2541" s="169" t="s">
        <v>4</v>
      </c>
      <c r="D2541" s="169" t="s">
        <v>2051</v>
      </c>
      <c r="E2541" s="3">
        <v>3</v>
      </c>
      <c r="F2541" s="3">
        <v>1</v>
      </c>
      <c r="G2541" s="4">
        <v>42628</v>
      </c>
      <c r="M2541" s="1"/>
      <c r="N2541" s="1"/>
      <c r="O2541" s="1"/>
      <c r="P2541" s="1"/>
      <c r="Q2541" s="1"/>
      <c r="R2541" s="1"/>
    </row>
    <row r="2542" spans="2:18" x14ac:dyDescent="0.15">
      <c r="G2542" s="4"/>
      <c r="M2542" s="1"/>
      <c r="N2542" s="1"/>
      <c r="O2542" s="1"/>
      <c r="P2542" s="1"/>
      <c r="Q2542" s="1"/>
      <c r="R2542" s="1"/>
    </row>
    <row r="2543" spans="2:18" x14ac:dyDescent="0.15">
      <c r="B2543" s="12" t="s">
        <v>1017</v>
      </c>
      <c r="C2543" s="13" t="s">
        <v>970</v>
      </c>
      <c r="D2543" s="13" t="s">
        <v>969</v>
      </c>
      <c r="F2543" s="15">
        <f>SUM(F2544:F2546)</f>
        <v>13</v>
      </c>
      <c r="G2543" s="14">
        <f>G2544</f>
        <v>44690</v>
      </c>
    </row>
    <row r="2544" spans="2:18" x14ac:dyDescent="0.15">
      <c r="C2544" s="2" t="s">
        <v>18</v>
      </c>
      <c r="D2544" s="2" t="s">
        <v>927</v>
      </c>
      <c r="E2544" s="3">
        <v>100</v>
      </c>
      <c r="F2544" s="3">
        <v>9</v>
      </c>
      <c r="G2544" s="4">
        <v>44690</v>
      </c>
    </row>
    <row r="2545" spans="2:18" x14ac:dyDescent="0.15">
      <c r="C2545" s="2" t="s">
        <v>5</v>
      </c>
      <c r="D2545" s="2" t="s">
        <v>927</v>
      </c>
      <c r="E2545" s="3">
        <v>15</v>
      </c>
      <c r="F2545" s="3">
        <v>3</v>
      </c>
      <c r="G2545" s="4">
        <v>43816</v>
      </c>
    </row>
    <row r="2546" spans="2:18" x14ac:dyDescent="0.15">
      <c r="C2546" s="2" t="s">
        <v>4</v>
      </c>
      <c r="D2546" s="2" t="s">
        <v>927</v>
      </c>
      <c r="E2546" s="3">
        <v>4</v>
      </c>
      <c r="F2546" s="3">
        <v>1</v>
      </c>
      <c r="G2546" s="4">
        <v>43243</v>
      </c>
    </row>
    <row r="2547" spans="2:18" x14ac:dyDescent="0.15">
      <c r="G2547" s="4"/>
      <c r="M2547" s="1"/>
      <c r="N2547" s="1"/>
      <c r="O2547" s="1"/>
      <c r="P2547" s="1"/>
      <c r="Q2547" s="1"/>
      <c r="R2547" s="1"/>
    </row>
    <row r="2548" spans="2:18" s="12" customFormat="1" x14ac:dyDescent="0.15">
      <c r="B2548" s="12" t="s">
        <v>139</v>
      </c>
      <c r="C2548" s="13" t="s">
        <v>970</v>
      </c>
      <c r="D2548" s="13" t="s">
        <v>969</v>
      </c>
      <c r="E2548" s="15"/>
      <c r="F2548" s="15">
        <f>SUM(F2549:F2550)</f>
        <v>13</v>
      </c>
      <c r="G2548" s="14">
        <f>G2549</f>
        <v>44880</v>
      </c>
      <c r="M2548" s="13"/>
      <c r="N2548" s="13"/>
      <c r="O2548" s="13"/>
      <c r="P2548" s="13"/>
      <c r="Q2548" s="13"/>
      <c r="R2548" s="13"/>
    </row>
    <row r="2549" spans="2:18" x14ac:dyDescent="0.15">
      <c r="C2549" s="2" t="s">
        <v>8</v>
      </c>
      <c r="D2549" s="2" t="s">
        <v>131</v>
      </c>
      <c r="E2549" s="3">
        <v>135</v>
      </c>
      <c r="F2549" s="3">
        <v>8</v>
      </c>
      <c r="G2549" s="4">
        <v>44880</v>
      </c>
    </row>
    <row r="2550" spans="2:18" x14ac:dyDescent="0.15">
      <c r="C2550" s="2" t="s">
        <v>7</v>
      </c>
      <c r="D2550" s="2" t="s">
        <v>131</v>
      </c>
      <c r="E2550" s="3">
        <v>32</v>
      </c>
      <c r="F2550" s="3">
        <v>5</v>
      </c>
      <c r="G2550" s="4">
        <v>42528</v>
      </c>
    </row>
    <row r="2551" spans="2:18" x14ac:dyDescent="0.15">
      <c r="G2551" s="4"/>
    </row>
    <row r="2552" spans="2:18" s="12" customFormat="1" x14ac:dyDescent="0.15">
      <c r="B2552" s="12" t="s">
        <v>1014</v>
      </c>
      <c r="C2552" s="13" t="s">
        <v>970</v>
      </c>
      <c r="D2552" s="13" t="s">
        <v>969</v>
      </c>
      <c r="E2552" s="15"/>
      <c r="F2552" s="15">
        <f>SUM(F2553:F2557)</f>
        <v>12.5</v>
      </c>
      <c r="G2552" s="14">
        <f>G2553</f>
        <v>44784</v>
      </c>
      <c r="M2552" s="13"/>
      <c r="N2552" s="13"/>
      <c r="O2552" s="13"/>
      <c r="P2552" s="13"/>
      <c r="Q2552" s="13"/>
      <c r="R2552" s="13"/>
    </row>
    <row r="2553" spans="2:18" x14ac:dyDescent="0.15">
      <c r="C2553" s="2" t="s">
        <v>5</v>
      </c>
      <c r="D2553" s="2" t="s">
        <v>717</v>
      </c>
      <c r="E2553" s="3">
        <v>12.5</v>
      </c>
      <c r="F2553" s="3">
        <v>2</v>
      </c>
      <c r="G2553" s="4">
        <v>44784</v>
      </c>
    </row>
    <row r="2554" spans="2:18" x14ac:dyDescent="0.15">
      <c r="C2554" s="2" t="s">
        <v>5</v>
      </c>
      <c r="D2554" s="2" t="s">
        <v>717</v>
      </c>
      <c r="E2554" s="3">
        <v>10</v>
      </c>
      <c r="F2554" s="3">
        <v>2</v>
      </c>
      <c r="G2554" s="4">
        <v>44110</v>
      </c>
    </row>
    <row r="2555" spans="2:18" x14ac:dyDescent="0.15">
      <c r="C2555" s="2" t="s">
        <v>4</v>
      </c>
      <c r="D2555" s="2" t="s">
        <v>717</v>
      </c>
      <c r="E2555" s="3">
        <v>5</v>
      </c>
      <c r="F2555" s="3">
        <v>2</v>
      </c>
      <c r="G2555" s="4">
        <v>43392</v>
      </c>
    </row>
    <row r="2556" spans="2:18" x14ac:dyDescent="0.15">
      <c r="C2556" s="2" t="s">
        <v>5</v>
      </c>
      <c r="D2556" s="2" t="s">
        <v>289</v>
      </c>
      <c r="E2556" s="3">
        <v>30</v>
      </c>
      <c r="F2556" s="3">
        <f>20/5</f>
        <v>4</v>
      </c>
      <c r="G2556" s="4">
        <v>44474</v>
      </c>
    </row>
    <row r="2557" spans="2:18" x14ac:dyDescent="0.15">
      <c r="C2557" s="2" t="s">
        <v>4</v>
      </c>
      <c r="D2557" s="2" t="s">
        <v>289</v>
      </c>
      <c r="E2557" s="3">
        <v>15</v>
      </c>
      <c r="F2557" s="3">
        <f>10/4</f>
        <v>2.5</v>
      </c>
      <c r="G2557" s="4">
        <v>43775</v>
      </c>
    </row>
    <row r="2558" spans="2:18" x14ac:dyDescent="0.15">
      <c r="G2558" s="4"/>
    </row>
    <row r="2559" spans="2:18" s="12" customFormat="1" x14ac:dyDescent="0.15">
      <c r="B2559" s="12" t="s">
        <v>1013</v>
      </c>
      <c r="C2559" s="13" t="s">
        <v>970</v>
      </c>
      <c r="D2559" s="13" t="s">
        <v>969</v>
      </c>
      <c r="E2559" s="15"/>
      <c r="F2559" s="15">
        <f>SUM(F2560:F2561)</f>
        <v>12.5</v>
      </c>
      <c r="G2559" s="14">
        <f>G2560</f>
        <v>44978</v>
      </c>
      <c r="M2559" s="13"/>
      <c r="N2559" s="13"/>
      <c r="O2559" s="13"/>
      <c r="P2559" s="13"/>
      <c r="Q2559" s="13"/>
      <c r="R2559" s="13"/>
    </row>
    <row r="2560" spans="2:18" x14ac:dyDescent="0.15">
      <c r="B2560" s="273" t="s">
        <v>7704</v>
      </c>
      <c r="C2560" s="2" t="s">
        <v>7</v>
      </c>
      <c r="D2560" s="2" t="s">
        <v>1012</v>
      </c>
      <c r="E2560" s="3">
        <v>43</v>
      </c>
      <c r="F2560" s="3">
        <v>6</v>
      </c>
      <c r="G2560" s="4">
        <v>44978</v>
      </c>
    </row>
    <row r="2561" spans="2:18" x14ac:dyDescent="0.15">
      <c r="C2561" s="2" t="s">
        <v>5</v>
      </c>
      <c r="D2561" s="2" t="s">
        <v>1012</v>
      </c>
      <c r="E2561" s="3">
        <v>26</v>
      </c>
      <c r="F2561" s="3">
        <f>13/2</f>
        <v>6.5</v>
      </c>
      <c r="G2561" s="4">
        <v>44453</v>
      </c>
    </row>
    <row r="2562" spans="2:18" x14ac:dyDescent="0.15">
      <c r="G2562" s="4"/>
    </row>
    <row r="2563" spans="2:18" s="12" customFormat="1" x14ac:dyDescent="0.15">
      <c r="B2563" s="12" t="s">
        <v>414</v>
      </c>
      <c r="C2563" s="13" t="s">
        <v>970</v>
      </c>
      <c r="D2563" s="13" t="s">
        <v>969</v>
      </c>
      <c r="E2563" s="15"/>
      <c r="F2563" s="15">
        <f>SUM(F2564:F2565)</f>
        <v>13</v>
      </c>
      <c r="G2563" s="14">
        <f>G2564</f>
        <v>44740</v>
      </c>
    </row>
    <row r="2564" spans="2:18" x14ac:dyDescent="0.15">
      <c r="C2564" s="2" t="s">
        <v>5</v>
      </c>
      <c r="D2564" s="2" t="s">
        <v>409</v>
      </c>
      <c r="E2564" s="3">
        <v>10</v>
      </c>
      <c r="F2564" s="3">
        <v>3</v>
      </c>
      <c r="G2564" s="4">
        <v>44740</v>
      </c>
      <c r="M2564" s="1"/>
      <c r="N2564" s="1"/>
      <c r="O2564" s="1"/>
      <c r="P2564" s="1"/>
      <c r="Q2564" s="1"/>
      <c r="R2564" s="1"/>
    </row>
    <row r="2565" spans="2:18" x14ac:dyDescent="0.15">
      <c r="C2565" s="2" t="s">
        <v>8</v>
      </c>
      <c r="D2565" s="2" t="s">
        <v>3962</v>
      </c>
      <c r="E2565" s="3">
        <v>90</v>
      </c>
      <c r="F2565" s="3">
        <v>10</v>
      </c>
      <c r="G2565" s="4">
        <v>40354</v>
      </c>
      <c r="M2565" s="1"/>
      <c r="N2565" s="1"/>
      <c r="O2565" s="1"/>
      <c r="P2565" s="1"/>
      <c r="Q2565" s="1"/>
      <c r="R2565" s="1"/>
    </row>
    <row r="2566" spans="2:18" x14ac:dyDescent="0.15">
      <c r="G2566" s="4"/>
      <c r="M2566" s="1"/>
      <c r="N2566" s="1"/>
      <c r="O2566" s="1"/>
      <c r="P2566" s="1"/>
      <c r="Q2566" s="1"/>
      <c r="R2566" s="1"/>
    </row>
    <row r="2567" spans="2:18" s="12" customFormat="1" x14ac:dyDescent="0.15">
      <c r="B2567" s="12" t="s">
        <v>270</v>
      </c>
      <c r="C2567" s="13" t="s">
        <v>970</v>
      </c>
      <c r="D2567" s="13" t="s">
        <v>969</v>
      </c>
      <c r="E2567" s="15"/>
      <c r="F2567" s="15">
        <f>SUM(F2568:F2569)</f>
        <v>12.553571428571429</v>
      </c>
      <c r="G2567" s="14">
        <f>G2568</f>
        <v>44622</v>
      </c>
      <c r="M2567" s="13"/>
      <c r="N2567" s="13"/>
      <c r="O2567" s="13"/>
      <c r="P2567" s="13"/>
      <c r="Q2567" s="13"/>
      <c r="R2567" s="13"/>
    </row>
    <row r="2568" spans="2:18" x14ac:dyDescent="0.15">
      <c r="C2568" s="2" t="s">
        <v>8</v>
      </c>
      <c r="D2568" s="2" t="s">
        <v>258</v>
      </c>
      <c r="E2568" s="3">
        <v>111</v>
      </c>
      <c r="F2568" s="3">
        <f>97/14</f>
        <v>6.9285714285714288</v>
      </c>
      <c r="G2568" s="4">
        <v>44622</v>
      </c>
    </row>
    <row r="2569" spans="2:18" x14ac:dyDescent="0.15">
      <c r="C2569" s="2" t="s">
        <v>18</v>
      </c>
      <c r="D2569" s="2" t="s">
        <v>258</v>
      </c>
      <c r="E2569" s="3">
        <v>55</v>
      </c>
      <c r="F2569" s="3">
        <v>5.625</v>
      </c>
      <c r="G2569" s="4">
        <v>44314</v>
      </c>
    </row>
    <row r="2570" spans="2:18" x14ac:dyDescent="0.15">
      <c r="G2570" s="4"/>
    </row>
    <row r="2571" spans="2:18" s="12" customFormat="1" x14ac:dyDescent="0.15">
      <c r="B2571" s="12" t="s">
        <v>606</v>
      </c>
      <c r="C2571" s="13" t="s">
        <v>970</v>
      </c>
      <c r="D2571" s="13" t="s">
        <v>969</v>
      </c>
      <c r="E2571" s="15"/>
      <c r="F2571" s="15">
        <f>SUM(F2572:F2573)</f>
        <v>13.375</v>
      </c>
      <c r="G2571" s="14">
        <f>G2572</f>
        <v>44663</v>
      </c>
    </row>
    <row r="2572" spans="2:18" x14ac:dyDescent="0.15">
      <c r="C2572" s="2" t="s">
        <v>18</v>
      </c>
      <c r="D2572" s="2" t="s">
        <v>600</v>
      </c>
      <c r="E2572" s="3">
        <v>125</v>
      </c>
      <c r="F2572" s="3">
        <f>75/8</f>
        <v>9.375</v>
      </c>
      <c r="G2572" s="4">
        <v>44663</v>
      </c>
      <c r="M2572" s="1"/>
      <c r="N2572" s="1"/>
      <c r="O2572" s="1"/>
      <c r="P2572" s="1"/>
      <c r="Q2572" s="1"/>
      <c r="R2572" s="1"/>
    </row>
    <row r="2573" spans="2:18" x14ac:dyDescent="0.15">
      <c r="C2573" s="2" t="s">
        <v>5</v>
      </c>
      <c r="D2573" s="2" t="s">
        <v>600</v>
      </c>
      <c r="E2573" s="3">
        <v>26</v>
      </c>
      <c r="F2573" s="3">
        <f>16/4</f>
        <v>4</v>
      </c>
      <c r="G2573" s="4">
        <v>43809</v>
      </c>
      <c r="M2573" s="1"/>
      <c r="N2573" s="1"/>
      <c r="O2573" s="1"/>
      <c r="P2573" s="1"/>
      <c r="Q2573" s="1"/>
      <c r="R2573" s="1"/>
    </row>
    <row r="2574" spans="2:18" x14ac:dyDescent="0.15">
      <c r="G2574" s="4"/>
      <c r="M2574" s="1"/>
      <c r="N2574" s="1"/>
      <c r="O2574" s="1"/>
      <c r="P2574" s="1"/>
      <c r="Q2574" s="1"/>
      <c r="R2574" s="1"/>
    </row>
    <row r="2575" spans="2:18" s="12" customFormat="1" x14ac:dyDescent="0.15">
      <c r="B2575" s="12" t="s">
        <v>1010</v>
      </c>
      <c r="C2575" s="13" t="s">
        <v>970</v>
      </c>
      <c r="D2575" s="13" t="s">
        <v>969</v>
      </c>
      <c r="E2575" s="15"/>
      <c r="F2575" s="15">
        <f>SUM(F2576:F2580)</f>
        <v>13</v>
      </c>
      <c r="G2575" s="14">
        <f>G2579</f>
        <v>44964</v>
      </c>
      <c r="M2575" s="13"/>
      <c r="N2575" s="13"/>
      <c r="O2575" s="13"/>
      <c r="P2575" s="13"/>
      <c r="Q2575" s="13"/>
      <c r="R2575" s="13"/>
    </row>
    <row r="2576" spans="2:18" x14ac:dyDescent="0.15">
      <c r="C2576" s="2" t="s">
        <v>7</v>
      </c>
      <c r="D2576" s="2" t="s">
        <v>1009</v>
      </c>
      <c r="E2576" s="3">
        <v>30</v>
      </c>
      <c r="F2576" s="3">
        <v>6</v>
      </c>
      <c r="G2576" s="4">
        <v>44539</v>
      </c>
    </row>
    <row r="2577" spans="2:18" x14ac:dyDescent="0.15">
      <c r="C2577" s="2" t="s">
        <v>5</v>
      </c>
      <c r="D2577" s="2" t="s">
        <v>1009</v>
      </c>
      <c r="E2577" s="3">
        <v>11</v>
      </c>
      <c r="F2577" s="3">
        <v>3</v>
      </c>
      <c r="G2577" s="4">
        <v>43862</v>
      </c>
    </row>
    <row r="2578" spans="2:18" x14ac:dyDescent="0.15">
      <c r="C2578" s="2" t="s">
        <v>4</v>
      </c>
      <c r="D2578" s="2" t="s">
        <v>1009</v>
      </c>
      <c r="E2578" s="3">
        <v>3</v>
      </c>
      <c r="F2578" s="3">
        <v>1.5</v>
      </c>
      <c r="G2578" s="4">
        <v>43525</v>
      </c>
    </row>
    <row r="2579" spans="2:18" x14ac:dyDescent="0.15">
      <c r="C2579" s="2" t="s">
        <v>4</v>
      </c>
      <c r="D2579" s="2" t="s">
        <v>594</v>
      </c>
      <c r="E2579" s="3">
        <v>6.8</v>
      </c>
      <c r="F2579" s="3">
        <v>1.5</v>
      </c>
      <c r="G2579" s="4">
        <v>44964</v>
      </c>
    </row>
    <row r="2580" spans="2:18" x14ac:dyDescent="0.15">
      <c r="C2580" s="2" t="s">
        <v>4</v>
      </c>
      <c r="D2580" s="2" t="s">
        <v>594</v>
      </c>
      <c r="E2580" s="3">
        <v>1.6</v>
      </c>
      <c r="F2580" s="3">
        <v>1</v>
      </c>
      <c r="G2580" s="4">
        <v>44197</v>
      </c>
    </row>
    <row r="2581" spans="2:18" x14ac:dyDescent="0.15">
      <c r="G2581" s="4"/>
    </row>
    <row r="2582" spans="2:18" s="12" customFormat="1" x14ac:dyDescent="0.15">
      <c r="B2582" s="12" t="s">
        <v>887</v>
      </c>
      <c r="C2582" s="13" t="s">
        <v>970</v>
      </c>
      <c r="D2582" s="13" t="s">
        <v>969</v>
      </c>
      <c r="E2582" s="15"/>
      <c r="F2582" s="15">
        <f>SUM(F2583:F2584)</f>
        <v>12.5</v>
      </c>
      <c r="G2582" s="14">
        <f>G2584</f>
        <v>45006</v>
      </c>
      <c r="M2582" s="13"/>
      <c r="N2582" s="13"/>
      <c r="O2582" s="13"/>
      <c r="P2582" s="13"/>
      <c r="Q2582" s="13"/>
      <c r="R2582" s="13"/>
    </row>
    <row r="2583" spans="2:18" x14ac:dyDescent="0.15">
      <c r="C2583" s="2" t="s">
        <v>5</v>
      </c>
      <c r="D2583" s="2" t="s">
        <v>717</v>
      </c>
      <c r="E2583" s="3">
        <v>12.5</v>
      </c>
      <c r="F2583" s="3">
        <v>5</v>
      </c>
      <c r="G2583" s="4">
        <v>44784</v>
      </c>
    </row>
    <row r="2584" spans="2:18" x14ac:dyDescent="0.15">
      <c r="C2584" s="100" t="s">
        <v>18</v>
      </c>
      <c r="D2584" s="100" t="s">
        <v>6040</v>
      </c>
      <c r="E2584" s="3">
        <v>15</v>
      </c>
      <c r="F2584" s="3">
        <f>E2584/2</f>
        <v>7.5</v>
      </c>
      <c r="G2584" s="4">
        <v>45006</v>
      </c>
    </row>
    <row r="2585" spans="2:18" x14ac:dyDescent="0.15">
      <c r="G2585" s="4"/>
    </row>
    <row r="2586" spans="2:18" s="12" customFormat="1" x14ac:dyDescent="0.15">
      <c r="B2586" s="12" t="s">
        <v>98</v>
      </c>
      <c r="C2586" s="13" t="s">
        <v>970</v>
      </c>
      <c r="D2586" s="13" t="s">
        <v>969</v>
      </c>
      <c r="E2586" s="15"/>
      <c r="F2586" s="15">
        <f>SUM(F2587:F2589)</f>
        <v>13</v>
      </c>
      <c r="G2586" s="14">
        <f>G2589</f>
        <v>44642</v>
      </c>
      <c r="M2586" s="13"/>
      <c r="N2586" s="13"/>
      <c r="O2586" s="13"/>
      <c r="P2586" s="13"/>
      <c r="Q2586" s="13"/>
      <c r="R2586" s="13"/>
    </row>
    <row r="2587" spans="2:18" x14ac:dyDescent="0.15">
      <c r="C2587" s="2" t="s">
        <v>7</v>
      </c>
      <c r="D2587" s="2" t="s">
        <v>95</v>
      </c>
      <c r="E2587" s="3">
        <v>25</v>
      </c>
      <c r="F2587" s="3">
        <f>15/5</f>
        <v>3</v>
      </c>
      <c r="G2587" s="4">
        <v>43783</v>
      </c>
    </row>
    <row r="2588" spans="2:18" x14ac:dyDescent="0.15">
      <c r="C2588" s="2" t="s">
        <v>7</v>
      </c>
      <c r="D2588" s="2" t="s">
        <v>95</v>
      </c>
      <c r="E2588" s="3">
        <v>15</v>
      </c>
      <c r="F2588" s="3">
        <v>7.5</v>
      </c>
      <c r="G2588" s="4">
        <v>43559</v>
      </c>
    </row>
    <row r="2589" spans="2:18" x14ac:dyDescent="0.15">
      <c r="C2589" s="2" t="s">
        <v>7</v>
      </c>
      <c r="D2589" s="2" t="s">
        <v>87</v>
      </c>
      <c r="E2589" s="3">
        <v>25</v>
      </c>
      <c r="F2589" s="3">
        <f>15/6</f>
        <v>2.5</v>
      </c>
      <c r="G2589" s="4">
        <v>44642</v>
      </c>
    </row>
    <row r="2590" spans="2:18" x14ac:dyDescent="0.15">
      <c r="G2590" s="4"/>
    </row>
    <row r="2591" spans="2:18" x14ac:dyDescent="0.15">
      <c r="B2591" s="12" t="s">
        <v>1008</v>
      </c>
      <c r="C2591" s="13" t="s">
        <v>970</v>
      </c>
      <c r="D2591" s="13" t="s">
        <v>969</v>
      </c>
      <c r="F2591" s="15">
        <f>SUM(F2592:F2595)</f>
        <v>12.5</v>
      </c>
      <c r="G2591" s="14">
        <f>G2592</f>
        <v>45036</v>
      </c>
    </row>
    <row r="2592" spans="2:18" x14ac:dyDescent="0.15">
      <c r="C2592" s="2" t="s">
        <v>7</v>
      </c>
      <c r="D2592" s="2" t="s">
        <v>797</v>
      </c>
      <c r="E2592" s="3">
        <v>50</v>
      </c>
      <c r="F2592" s="3">
        <v>6</v>
      </c>
      <c r="G2592" s="4">
        <v>45036</v>
      </c>
    </row>
    <row r="2593" spans="2:18" x14ac:dyDescent="0.15">
      <c r="C2593" s="2" t="s">
        <v>5</v>
      </c>
      <c r="D2593" s="2" t="s">
        <v>797</v>
      </c>
      <c r="E2593" s="3">
        <v>16.5</v>
      </c>
      <c r="F2593" s="3">
        <v>1</v>
      </c>
      <c r="G2593" s="4">
        <v>44614</v>
      </c>
    </row>
    <row r="2594" spans="2:18" x14ac:dyDescent="0.15">
      <c r="C2594" s="2" t="s">
        <v>4</v>
      </c>
      <c r="D2594" s="2" t="s">
        <v>797</v>
      </c>
      <c r="E2594" s="3">
        <v>1.2</v>
      </c>
      <c r="F2594" s="3">
        <v>0.5</v>
      </c>
      <c r="G2594" s="4">
        <v>44044</v>
      </c>
    </row>
    <row r="2595" spans="2:18" x14ac:dyDescent="0.15">
      <c r="C2595" s="2" t="s">
        <v>7</v>
      </c>
      <c r="D2595" s="2" t="s">
        <v>108</v>
      </c>
      <c r="E2595" s="3">
        <v>5</v>
      </c>
      <c r="F2595" s="3">
        <v>5</v>
      </c>
      <c r="G2595" s="4">
        <v>43903</v>
      </c>
    </row>
    <row r="2596" spans="2:18" x14ac:dyDescent="0.15">
      <c r="G2596" s="4"/>
    </row>
    <row r="2597" spans="2:18" s="12" customFormat="1" x14ac:dyDescent="0.15">
      <c r="B2597" s="12" t="s">
        <v>722</v>
      </c>
      <c r="C2597" s="13" t="s">
        <v>970</v>
      </c>
      <c r="D2597" s="13" t="s">
        <v>969</v>
      </c>
      <c r="E2597" s="15"/>
      <c r="F2597" s="15">
        <f>SUM(F2598:F2602)</f>
        <v>12.733333333333334</v>
      </c>
      <c r="G2597" s="14">
        <f>G2600</f>
        <v>44483</v>
      </c>
      <c r="M2597" s="13"/>
      <c r="N2597" s="13"/>
      <c r="O2597" s="13"/>
      <c r="P2597" s="13"/>
      <c r="Q2597" s="13"/>
      <c r="R2597" s="13"/>
    </row>
    <row r="2598" spans="2:18" x14ac:dyDescent="0.15">
      <c r="C2598" s="2" t="s">
        <v>5</v>
      </c>
      <c r="D2598" s="2" t="s">
        <v>721</v>
      </c>
      <c r="E2598" s="3">
        <v>20</v>
      </c>
      <c r="F2598" s="3">
        <v>7</v>
      </c>
      <c r="G2598" s="4">
        <v>44455</v>
      </c>
    </row>
    <row r="2599" spans="2:18" x14ac:dyDescent="0.15">
      <c r="C2599" s="2" t="s">
        <v>4</v>
      </c>
      <c r="D2599" s="2" t="s">
        <v>721</v>
      </c>
      <c r="E2599" s="3">
        <v>2.1</v>
      </c>
      <c r="F2599" s="3">
        <v>1</v>
      </c>
      <c r="G2599" s="4">
        <v>44455</v>
      </c>
    </row>
    <row r="2600" spans="2:18" x14ac:dyDescent="0.15">
      <c r="C2600" s="2" t="s">
        <v>5</v>
      </c>
      <c r="D2600" s="2" t="s">
        <v>720</v>
      </c>
      <c r="E2600" s="3">
        <v>11</v>
      </c>
      <c r="F2600" s="3">
        <f>7/3</f>
        <v>2.3333333333333335</v>
      </c>
      <c r="G2600" s="4">
        <v>44483</v>
      </c>
    </row>
    <row r="2601" spans="2:18" x14ac:dyDescent="0.15">
      <c r="C2601" s="2" t="s">
        <v>4</v>
      </c>
      <c r="D2601" s="2" t="s">
        <v>720</v>
      </c>
      <c r="E2601" s="3">
        <v>2.9</v>
      </c>
      <c r="F2601" s="3">
        <v>1.9</v>
      </c>
      <c r="G2601" s="4">
        <v>44272</v>
      </c>
    </row>
    <row r="2602" spans="2:18" x14ac:dyDescent="0.15">
      <c r="C2602" s="2" t="s">
        <v>4</v>
      </c>
      <c r="D2602" s="2" t="s">
        <v>482</v>
      </c>
      <c r="E2602" s="3">
        <v>2</v>
      </c>
      <c r="F2602" s="3">
        <v>0.5</v>
      </c>
      <c r="G2602" s="4">
        <v>43876</v>
      </c>
    </row>
    <row r="2603" spans="2:18" x14ac:dyDescent="0.15">
      <c r="G2603" s="4"/>
    </row>
    <row r="2604" spans="2:18" s="12" customFormat="1" x14ac:dyDescent="0.15">
      <c r="B2604" s="12" t="s">
        <v>5460</v>
      </c>
      <c r="C2604" s="13" t="s">
        <v>970</v>
      </c>
      <c r="D2604" s="13" t="s">
        <v>969</v>
      </c>
      <c r="E2604" s="15"/>
      <c r="F2604" s="15">
        <f>SUM(F2605:F2606)</f>
        <v>13.25</v>
      </c>
      <c r="G2604" s="14">
        <f>G2605</f>
        <v>44307</v>
      </c>
      <c r="M2604" s="13"/>
      <c r="N2604" s="13"/>
      <c r="O2604" s="13"/>
      <c r="P2604" s="13"/>
      <c r="Q2604" s="13"/>
      <c r="R2604" s="13"/>
    </row>
    <row r="2605" spans="2:18" x14ac:dyDescent="0.15">
      <c r="B2605" s="99"/>
      <c r="C2605" s="100" t="s">
        <v>8</v>
      </c>
      <c r="D2605" s="100" t="s">
        <v>5458</v>
      </c>
      <c r="E2605" s="3">
        <v>50</v>
      </c>
      <c r="F2605" s="3">
        <f>30/4</f>
        <v>7.5</v>
      </c>
      <c r="G2605" s="4">
        <v>44307</v>
      </c>
      <c r="I2605" s="1">
        <v>2000</v>
      </c>
      <c r="J2605" s="1">
        <v>2000</v>
      </c>
    </row>
    <row r="2606" spans="2:18" x14ac:dyDescent="0.15">
      <c r="C2606" s="100" t="s">
        <v>18</v>
      </c>
      <c r="D2606" s="100" t="s">
        <v>5458</v>
      </c>
      <c r="E2606" s="3">
        <v>37</v>
      </c>
      <c r="F2606" s="3">
        <f>23/4</f>
        <v>5.75</v>
      </c>
      <c r="G2606" s="4">
        <v>43831</v>
      </c>
      <c r="J2606" s="1">
        <v>2000</v>
      </c>
    </row>
    <row r="2608" spans="2:18" s="12" customFormat="1" x14ac:dyDescent="0.15">
      <c r="B2608" s="12" t="s">
        <v>616</v>
      </c>
      <c r="C2608" s="13" t="s">
        <v>970</v>
      </c>
      <c r="D2608" s="13" t="s">
        <v>969</v>
      </c>
      <c r="E2608" s="15"/>
      <c r="F2608" s="15">
        <f>SUM(F2609:F2610)</f>
        <v>13.2</v>
      </c>
      <c r="G2608" s="14">
        <f>G2609</f>
        <v>44215</v>
      </c>
    </row>
    <row r="2609" spans="2:18" x14ac:dyDescent="0.15">
      <c r="C2609" s="2" t="s">
        <v>9</v>
      </c>
      <c r="D2609" s="2" t="s">
        <v>607</v>
      </c>
      <c r="E2609" s="3">
        <v>132</v>
      </c>
      <c r="F2609" s="3">
        <f>72/10</f>
        <v>7.2</v>
      </c>
      <c r="G2609" s="4">
        <v>44215</v>
      </c>
      <c r="M2609" s="1"/>
      <c r="N2609" s="1"/>
      <c r="O2609" s="1"/>
      <c r="P2609" s="1"/>
      <c r="Q2609" s="1"/>
      <c r="R2609" s="1"/>
    </row>
    <row r="2610" spans="2:18" x14ac:dyDescent="0.15">
      <c r="C2610" s="2" t="s">
        <v>8</v>
      </c>
      <c r="D2610" s="2" t="s">
        <v>607</v>
      </c>
      <c r="E2610" s="3">
        <v>42</v>
      </c>
      <c r="F2610" s="3">
        <f>30/5</f>
        <v>6</v>
      </c>
      <c r="G2610" s="4">
        <v>44153</v>
      </c>
      <c r="M2610" s="1"/>
      <c r="N2610" s="1"/>
      <c r="O2610" s="1"/>
      <c r="P2610" s="1"/>
      <c r="Q2610" s="1"/>
      <c r="R2610" s="1"/>
    </row>
    <row r="2611" spans="2:18" x14ac:dyDescent="0.15">
      <c r="G2611" s="4"/>
      <c r="M2611" s="1"/>
      <c r="N2611" s="1"/>
      <c r="O2611" s="1"/>
      <c r="P2611" s="1"/>
      <c r="Q2611" s="1"/>
      <c r="R2611" s="1"/>
    </row>
    <row r="2612" spans="2:18" s="12" customFormat="1" x14ac:dyDescent="0.15">
      <c r="B2612" s="12" t="s">
        <v>651</v>
      </c>
      <c r="C2612" s="13" t="s">
        <v>970</v>
      </c>
      <c r="D2612" s="13" t="s">
        <v>969</v>
      </c>
      <c r="E2612" s="15"/>
      <c r="F2612" s="15">
        <f>SUM(F2613:F2617)</f>
        <v>12.75</v>
      </c>
      <c r="G2612" s="14">
        <f>G2617</f>
        <v>44833</v>
      </c>
    </row>
    <row r="2613" spans="2:18" x14ac:dyDescent="0.15">
      <c r="C2613" s="2" t="s">
        <v>4</v>
      </c>
      <c r="D2613" s="2" t="s">
        <v>650</v>
      </c>
      <c r="E2613" s="3">
        <v>8</v>
      </c>
      <c r="F2613" s="3">
        <v>3</v>
      </c>
      <c r="G2613" s="4">
        <v>44677</v>
      </c>
      <c r="M2613" s="1"/>
      <c r="N2613" s="1"/>
      <c r="O2613" s="1"/>
      <c r="P2613" s="1"/>
      <c r="Q2613" s="1"/>
      <c r="R2613" s="1"/>
    </row>
    <row r="2614" spans="2:18" x14ac:dyDescent="0.15">
      <c r="C2614" s="2" t="s">
        <v>5</v>
      </c>
      <c r="D2614" s="2" t="s">
        <v>484</v>
      </c>
      <c r="E2614" s="3">
        <v>13</v>
      </c>
      <c r="F2614" s="3">
        <v>1.4</v>
      </c>
      <c r="G2614" s="4">
        <v>44516</v>
      </c>
      <c r="M2614" s="1"/>
      <c r="N2614" s="1"/>
      <c r="O2614" s="1"/>
      <c r="P2614" s="1"/>
      <c r="Q2614" s="1"/>
      <c r="R2614" s="1"/>
    </row>
    <row r="2615" spans="2:18" x14ac:dyDescent="0.15">
      <c r="C2615" s="2" t="s">
        <v>4</v>
      </c>
      <c r="D2615" s="2" t="s">
        <v>347</v>
      </c>
      <c r="E2615" s="3">
        <v>3.5</v>
      </c>
      <c r="F2615" s="3">
        <f>E2615/10</f>
        <v>0.35</v>
      </c>
      <c r="G2615" s="4">
        <v>43046</v>
      </c>
      <c r="L2615" s="1">
        <v>0</v>
      </c>
      <c r="M2615" s="1"/>
      <c r="N2615" s="1"/>
      <c r="O2615" s="1"/>
      <c r="P2615" s="1"/>
      <c r="Q2615" s="1"/>
      <c r="R2615" s="1"/>
    </row>
    <row r="2616" spans="2:18" x14ac:dyDescent="0.15">
      <c r="C2616" s="2" t="s">
        <v>7</v>
      </c>
      <c r="D2616" s="2" t="s">
        <v>52</v>
      </c>
      <c r="E2616" s="3">
        <v>18</v>
      </c>
      <c r="F2616" s="3">
        <v>6</v>
      </c>
      <c r="G2616" s="4">
        <v>43207</v>
      </c>
      <c r="M2616" s="1"/>
      <c r="N2616" s="1"/>
      <c r="O2616" s="1"/>
      <c r="P2616" s="1"/>
      <c r="Q2616" s="1"/>
      <c r="R2616" s="1"/>
    </row>
    <row r="2617" spans="2:18" x14ac:dyDescent="0.15">
      <c r="C2617" s="193" t="s">
        <v>5</v>
      </c>
      <c r="D2617" s="193" t="s">
        <v>2023</v>
      </c>
      <c r="E2617" s="3">
        <v>16</v>
      </c>
      <c r="F2617" s="3">
        <v>2</v>
      </c>
      <c r="G2617" s="4">
        <v>44833</v>
      </c>
      <c r="M2617" s="1"/>
      <c r="N2617" s="1"/>
      <c r="O2617" s="1"/>
      <c r="P2617" s="1"/>
      <c r="Q2617" s="1"/>
      <c r="R2617" s="1"/>
    </row>
    <row r="2618" spans="2:18" x14ac:dyDescent="0.15">
      <c r="C2618" s="193" t="s">
        <v>4</v>
      </c>
      <c r="D2618" s="193" t="s">
        <v>2023</v>
      </c>
      <c r="E2618" s="3">
        <v>4.8</v>
      </c>
      <c r="F2618" s="3">
        <f>E2618/3</f>
        <v>1.5999999999999999</v>
      </c>
      <c r="G2618" s="4">
        <v>44720</v>
      </c>
      <c r="M2618" s="1"/>
      <c r="N2618" s="1"/>
      <c r="O2618" s="1"/>
      <c r="P2618" s="1"/>
      <c r="Q2618" s="1"/>
      <c r="R2618" s="1"/>
    </row>
    <row r="2619" spans="2:18" x14ac:dyDescent="0.15">
      <c r="G2619" s="4"/>
      <c r="M2619" s="1"/>
      <c r="N2619" s="1"/>
      <c r="O2619" s="1"/>
      <c r="P2619" s="1"/>
      <c r="Q2619" s="1"/>
      <c r="R2619" s="1"/>
    </row>
    <row r="2620" spans="2:18" x14ac:dyDescent="0.15">
      <c r="B2620" s="12" t="s">
        <v>1002</v>
      </c>
      <c r="C2620" s="13" t="s">
        <v>970</v>
      </c>
      <c r="D2620" s="13" t="s">
        <v>969</v>
      </c>
      <c r="F2620" s="15">
        <f>SUM(F2621:F2625)</f>
        <v>12.6</v>
      </c>
      <c r="G2620" s="14">
        <f>G2621</f>
        <v>44796</v>
      </c>
    </row>
    <row r="2621" spans="2:18" x14ac:dyDescent="0.15">
      <c r="C2621" s="2" t="s">
        <v>5</v>
      </c>
      <c r="D2621" s="2" t="s">
        <v>702</v>
      </c>
      <c r="E2621" s="3">
        <v>50</v>
      </c>
      <c r="F2621" s="3">
        <f>30/12</f>
        <v>2.5</v>
      </c>
      <c r="G2621" s="4">
        <v>44796</v>
      </c>
    </row>
    <row r="2622" spans="2:18" x14ac:dyDescent="0.15">
      <c r="C2622" s="2" t="s">
        <v>4</v>
      </c>
      <c r="D2622" s="2" t="s">
        <v>702</v>
      </c>
      <c r="E2622" s="3">
        <v>12.5</v>
      </c>
      <c r="F2622" s="3">
        <f>8/5</f>
        <v>1.6</v>
      </c>
      <c r="G2622" s="4">
        <v>44623</v>
      </c>
    </row>
    <row r="2623" spans="2:18" x14ac:dyDescent="0.15">
      <c r="C2623" s="2" t="s">
        <v>4</v>
      </c>
      <c r="D2623" s="2" t="s">
        <v>702</v>
      </c>
      <c r="E2623" s="3">
        <v>7.2</v>
      </c>
      <c r="F2623" s="3">
        <v>2</v>
      </c>
      <c r="G2623" s="4">
        <v>44508</v>
      </c>
    </row>
    <row r="2624" spans="2:18" x14ac:dyDescent="0.15">
      <c r="C2624" s="2" t="s">
        <v>5</v>
      </c>
      <c r="D2624" s="2" t="s">
        <v>677</v>
      </c>
      <c r="E2624" s="3">
        <v>15</v>
      </c>
      <c r="F2624" s="3">
        <v>5</v>
      </c>
      <c r="G2624" s="4">
        <v>44482</v>
      </c>
    </row>
    <row r="2625" spans="2:18" x14ac:dyDescent="0.15">
      <c r="C2625" s="2" t="s">
        <v>4</v>
      </c>
      <c r="D2625" s="2" t="s">
        <v>677</v>
      </c>
      <c r="E2625" s="3">
        <v>4.5</v>
      </c>
      <c r="F2625" s="3">
        <v>1.5</v>
      </c>
      <c r="G2625" s="4">
        <v>44362</v>
      </c>
    </row>
    <row r="2626" spans="2:18" x14ac:dyDescent="0.15">
      <c r="G2626" s="4"/>
    </row>
    <row r="2627" spans="2:18" s="12" customFormat="1" x14ac:dyDescent="0.15">
      <c r="B2627" s="12" t="s">
        <v>661</v>
      </c>
      <c r="C2627" s="13" t="s">
        <v>970</v>
      </c>
      <c r="D2627" s="13" t="s">
        <v>969</v>
      </c>
      <c r="E2627" s="15"/>
      <c r="F2627" s="15">
        <f>SUM(F2628:F2629)</f>
        <v>11.5</v>
      </c>
      <c r="G2627" s="14">
        <f>G2629</f>
        <v>44984</v>
      </c>
      <c r="M2627" s="13"/>
      <c r="N2627" s="13"/>
      <c r="O2627" s="13"/>
      <c r="P2627" s="13"/>
      <c r="Q2627" s="13"/>
      <c r="R2627" s="13"/>
    </row>
    <row r="2628" spans="2:18" x14ac:dyDescent="0.15">
      <c r="C2628" s="2" t="s">
        <v>4</v>
      </c>
      <c r="D2628" s="2" t="s">
        <v>660</v>
      </c>
      <c r="E2628" s="3">
        <v>5</v>
      </c>
      <c r="F2628" s="3">
        <v>5</v>
      </c>
      <c r="G2628" s="4">
        <v>44873</v>
      </c>
      <c r="M2628" s="1"/>
      <c r="N2628" s="1"/>
      <c r="O2628" s="1"/>
      <c r="P2628" s="1"/>
      <c r="Q2628" s="1"/>
      <c r="R2628" s="1"/>
    </row>
    <row r="2629" spans="2:18" x14ac:dyDescent="0.15">
      <c r="C2629" s="2" t="s">
        <v>5</v>
      </c>
      <c r="D2629" s="2" t="s">
        <v>633</v>
      </c>
      <c r="E2629" s="3">
        <v>10.5</v>
      </c>
      <c r="F2629" s="3">
        <v>6.5</v>
      </c>
      <c r="G2629" s="4">
        <v>44984</v>
      </c>
      <c r="M2629" s="1"/>
      <c r="N2629" s="1"/>
      <c r="O2629" s="1"/>
      <c r="P2629" s="1"/>
      <c r="Q2629" s="1"/>
      <c r="R2629" s="1"/>
    </row>
    <row r="2630" spans="2:18" x14ac:dyDescent="0.15">
      <c r="G2630" s="4"/>
      <c r="M2630" s="1"/>
      <c r="N2630" s="1"/>
      <c r="O2630" s="1"/>
      <c r="P2630" s="1"/>
      <c r="Q2630" s="1"/>
      <c r="R2630" s="1"/>
    </row>
    <row r="2631" spans="2:18" s="12" customFormat="1" x14ac:dyDescent="0.15">
      <c r="B2631" s="12" t="s">
        <v>6434</v>
      </c>
      <c r="C2631" s="13" t="s">
        <v>970</v>
      </c>
      <c r="D2631" s="13" t="s">
        <v>969</v>
      </c>
      <c r="E2631" s="15"/>
      <c r="F2631" s="15">
        <f>SUM(F2632:F2633)</f>
        <v>12</v>
      </c>
      <c r="G2631" s="14">
        <f>G2632</f>
        <v>44831</v>
      </c>
      <c r="M2631" s="13"/>
      <c r="N2631" s="13"/>
      <c r="O2631" s="13"/>
      <c r="P2631" s="13"/>
      <c r="Q2631" s="13"/>
      <c r="R2631" s="13"/>
    </row>
    <row r="2632" spans="2:18" x14ac:dyDescent="0.15">
      <c r="B2632" s="168"/>
      <c r="C2632" s="169" t="s">
        <v>7</v>
      </c>
      <c r="D2632" s="169" t="s">
        <v>2046</v>
      </c>
      <c r="E2632" s="3">
        <v>42</v>
      </c>
      <c r="F2632" s="3">
        <v>10</v>
      </c>
      <c r="G2632" s="4">
        <v>44831</v>
      </c>
    </row>
    <row r="2633" spans="2:18" x14ac:dyDescent="0.15">
      <c r="B2633" s="168"/>
      <c r="C2633" s="169" t="s">
        <v>5</v>
      </c>
      <c r="D2633" s="169" t="s">
        <v>2046</v>
      </c>
      <c r="E2633" s="3">
        <v>15</v>
      </c>
      <c r="F2633" s="3">
        <f>10/5</f>
        <v>2</v>
      </c>
      <c r="G2633" s="4">
        <v>44174</v>
      </c>
    </row>
    <row r="2634" spans="2:18" x14ac:dyDescent="0.15">
      <c r="B2634" s="168"/>
      <c r="C2634" s="169"/>
      <c r="D2634" s="169"/>
      <c r="G2634" s="4"/>
    </row>
    <row r="2635" spans="2:18" s="12" customFormat="1" x14ac:dyDescent="0.15">
      <c r="B2635" s="12" t="s">
        <v>6752</v>
      </c>
      <c r="C2635" s="13" t="s">
        <v>970</v>
      </c>
      <c r="D2635" s="13" t="s">
        <v>969</v>
      </c>
      <c r="E2635" s="15"/>
      <c r="F2635" s="15">
        <f>SUM(F2636:F2638)</f>
        <v>11.8</v>
      </c>
      <c r="G2635" s="14">
        <f>G2636</f>
        <v>44650</v>
      </c>
      <c r="M2635" s="13"/>
      <c r="N2635" s="13"/>
      <c r="O2635" s="13"/>
      <c r="P2635" s="13"/>
      <c r="Q2635" s="13"/>
      <c r="R2635" s="13"/>
    </row>
    <row r="2636" spans="2:18" x14ac:dyDescent="0.15">
      <c r="C2636" s="2" t="s">
        <v>7</v>
      </c>
      <c r="D2636" s="2" t="s">
        <v>892</v>
      </c>
      <c r="E2636" s="3">
        <v>40</v>
      </c>
      <c r="F2636" s="3">
        <v>5</v>
      </c>
      <c r="G2636" s="4">
        <v>44650</v>
      </c>
    </row>
    <row r="2637" spans="2:18" x14ac:dyDescent="0.15">
      <c r="C2637" s="2" t="s">
        <v>5</v>
      </c>
      <c r="D2637" s="2" t="s">
        <v>892</v>
      </c>
      <c r="E2637" s="3">
        <v>14</v>
      </c>
      <c r="F2637" s="3">
        <f>9/5</f>
        <v>1.8</v>
      </c>
      <c r="G2637" s="4">
        <v>44131</v>
      </c>
    </row>
    <row r="2638" spans="2:18" x14ac:dyDescent="0.15">
      <c r="C2638" s="169" t="s">
        <v>7</v>
      </c>
      <c r="D2638" s="169" t="s">
        <v>2039</v>
      </c>
      <c r="E2638" s="3">
        <v>25</v>
      </c>
      <c r="F2638" s="3">
        <v>5</v>
      </c>
      <c r="G2638" s="4">
        <v>44572</v>
      </c>
    </row>
    <row r="2639" spans="2:18" x14ac:dyDescent="0.15">
      <c r="G2639" s="4"/>
    </row>
    <row r="2640" spans="2:18" s="12" customFormat="1" x14ac:dyDescent="0.15">
      <c r="B2640" s="12" t="s">
        <v>6458</v>
      </c>
      <c r="C2640" s="13" t="s">
        <v>970</v>
      </c>
      <c r="D2640" s="13" t="s">
        <v>969</v>
      </c>
      <c r="E2640" s="15"/>
      <c r="F2640" s="15">
        <f>SUM(F2641:F2643)</f>
        <v>11.5</v>
      </c>
      <c r="G2640" s="14">
        <f>G2641</f>
        <v>44468</v>
      </c>
      <c r="M2640" s="13"/>
      <c r="N2640" s="13"/>
      <c r="O2640" s="13"/>
      <c r="P2640" s="13"/>
      <c r="Q2640" s="13"/>
      <c r="R2640" s="13"/>
    </row>
    <row r="2641" spans="2:18" x14ac:dyDescent="0.15">
      <c r="B2641" s="168"/>
      <c r="C2641" s="169" t="s">
        <v>7</v>
      </c>
      <c r="D2641" s="169" t="s">
        <v>6459</v>
      </c>
      <c r="E2641" s="3">
        <v>35</v>
      </c>
      <c r="F2641" s="3">
        <v>10</v>
      </c>
      <c r="G2641" s="4">
        <v>44468</v>
      </c>
    </row>
    <row r="2642" spans="2:18" x14ac:dyDescent="0.15">
      <c r="B2642" s="168"/>
      <c r="C2642" s="169" t="s">
        <v>5</v>
      </c>
      <c r="D2642" s="169" t="s">
        <v>6459</v>
      </c>
      <c r="E2642" s="3">
        <v>8</v>
      </c>
      <c r="F2642" s="3">
        <v>1</v>
      </c>
      <c r="G2642" s="4">
        <v>44179</v>
      </c>
    </row>
    <row r="2643" spans="2:18" x14ac:dyDescent="0.15">
      <c r="B2643" s="168"/>
      <c r="C2643" s="169" t="s">
        <v>4</v>
      </c>
      <c r="D2643" s="169" t="s">
        <v>6459</v>
      </c>
      <c r="E2643" s="3">
        <v>2</v>
      </c>
      <c r="F2643" s="3">
        <f>E2643/4</f>
        <v>0.5</v>
      </c>
      <c r="G2643" s="4">
        <v>43430</v>
      </c>
    </row>
    <row r="2644" spans="2:18" x14ac:dyDescent="0.15">
      <c r="B2644" s="168"/>
      <c r="C2644" s="169"/>
      <c r="D2644" s="169"/>
      <c r="G2644" s="4"/>
    </row>
    <row r="2645" spans="2:18" s="12" customFormat="1" x14ac:dyDescent="0.15">
      <c r="B2645" s="12" t="s">
        <v>6460</v>
      </c>
      <c r="C2645" s="13" t="s">
        <v>970</v>
      </c>
      <c r="D2645" s="13" t="s">
        <v>969</v>
      </c>
      <c r="E2645" s="15"/>
      <c r="F2645" s="15">
        <f>SUM(F2646:F2648)</f>
        <v>11.5</v>
      </c>
      <c r="G2645" s="14">
        <f>G2646</f>
        <v>44468</v>
      </c>
      <c r="M2645" s="13"/>
      <c r="N2645" s="13"/>
      <c r="O2645" s="13"/>
      <c r="P2645" s="13"/>
      <c r="Q2645" s="13"/>
      <c r="R2645" s="13"/>
    </row>
    <row r="2646" spans="2:18" x14ac:dyDescent="0.15">
      <c r="B2646" s="168"/>
      <c r="C2646" s="169" t="s">
        <v>7</v>
      </c>
      <c r="D2646" s="169" t="s">
        <v>6459</v>
      </c>
      <c r="E2646" s="3">
        <v>35</v>
      </c>
      <c r="F2646" s="3">
        <v>10</v>
      </c>
      <c r="G2646" s="4">
        <v>44468</v>
      </c>
    </row>
    <row r="2647" spans="2:18" x14ac:dyDescent="0.15">
      <c r="B2647" s="168"/>
      <c r="C2647" s="169" t="s">
        <v>5</v>
      </c>
      <c r="D2647" s="169" t="s">
        <v>6459</v>
      </c>
      <c r="E2647" s="3">
        <v>8</v>
      </c>
      <c r="F2647" s="3">
        <v>1</v>
      </c>
      <c r="G2647" s="4">
        <v>44179</v>
      </c>
    </row>
    <row r="2648" spans="2:18" x14ac:dyDescent="0.15">
      <c r="B2648" s="168"/>
      <c r="C2648" s="169" t="s">
        <v>4</v>
      </c>
      <c r="D2648" s="169" t="s">
        <v>6459</v>
      </c>
      <c r="E2648" s="3">
        <v>2</v>
      </c>
      <c r="F2648" s="3">
        <f>E2648/4</f>
        <v>0.5</v>
      </c>
      <c r="G2648" s="4">
        <v>43430</v>
      </c>
    </row>
    <row r="2649" spans="2:18" x14ac:dyDescent="0.15">
      <c r="B2649" s="168"/>
      <c r="C2649" s="169"/>
      <c r="D2649" s="169"/>
      <c r="G2649" s="4"/>
    </row>
    <row r="2650" spans="2:18" s="12" customFormat="1" x14ac:dyDescent="0.15">
      <c r="B2650" s="12" t="s">
        <v>6421</v>
      </c>
      <c r="C2650" s="13" t="s">
        <v>970</v>
      </c>
      <c r="D2650" s="13" t="s">
        <v>969</v>
      </c>
      <c r="E2650" s="15"/>
      <c r="F2650" s="15">
        <f>SUM(F2651:F2653)</f>
        <v>12</v>
      </c>
      <c r="G2650" s="14">
        <f>G2653</f>
        <v>44540</v>
      </c>
      <c r="M2650" s="13"/>
      <c r="N2650" s="13"/>
      <c r="O2650" s="13"/>
      <c r="P2650" s="13"/>
      <c r="Q2650" s="13"/>
      <c r="R2650" s="13"/>
    </row>
    <row r="2651" spans="2:18" x14ac:dyDescent="0.15">
      <c r="B2651" s="168"/>
      <c r="C2651" s="169" t="s">
        <v>7</v>
      </c>
      <c r="D2651" s="169" t="s">
        <v>2051</v>
      </c>
      <c r="E2651" s="3">
        <v>50</v>
      </c>
      <c r="F2651" s="3">
        <v>4</v>
      </c>
      <c r="G2651" s="4">
        <v>44252</v>
      </c>
    </row>
    <row r="2652" spans="2:18" x14ac:dyDescent="0.15">
      <c r="B2652" s="168"/>
      <c r="C2652" s="169" t="s">
        <v>5</v>
      </c>
      <c r="D2652" s="169" t="s">
        <v>2051</v>
      </c>
      <c r="E2652" s="3">
        <v>10</v>
      </c>
      <c r="F2652" s="3">
        <v>5</v>
      </c>
      <c r="G2652" s="4">
        <v>43059</v>
      </c>
    </row>
    <row r="2653" spans="2:18" x14ac:dyDescent="0.15">
      <c r="B2653" s="168"/>
      <c r="C2653" s="261" t="s">
        <v>5</v>
      </c>
      <c r="D2653" s="261" t="s">
        <v>2015</v>
      </c>
      <c r="E2653" s="3">
        <v>9</v>
      </c>
      <c r="F2653" s="3">
        <v>3</v>
      </c>
      <c r="G2653" s="4">
        <v>44540</v>
      </c>
    </row>
    <row r="2654" spans="2:18" x14ac:dyDescent="0.15">
      <c r="B2654" s="168"/>
      <c r="C2654" s="169"/>
      <c r="D2654" s="169"/>
      <c r="G2654" s="4"/>
    </row>
    <row r="2655" spans="2:18" s="12" customFormat="1" x14ac:dyDescent="0.15">
      <c r="B2655" s="12" t="s">
        <v>406</v>
      </c>
      <c r="C2655" s="13" t="s">
        <v>970</v>
      </c>
      <c r="D2655" s="13" t="s">
        <v>969</v>
      </c>
      <c r="E2655" s="15"/>
      <c r="F2655" s="15">
        <f>SUM(F2656:F2658)</f>
        <v>12.25</v>
      </c>
      <c r="G2655" s="14">
        <f>G2656</f>
        <v>44538</v>
      </c>
    </row>
    <row r="2656" spans="2:18" x14ac:dyDescent="0.15">
      <c r="C2656" s="2" t="s">
        <v>7</v>
      </c>
      <c r="D2656" s="2" t="s">
        <v>404</v>
      </c>
      <c r="E2656" s="3">
        <v>50</v>
      </c>
      <c r="F2656" s="3">
        <f>30/6</f>
        <v>5</v>
      </c>
      <c r="G2656" s="4">
        <v>44538</v>
      </c>
      <c r="M2656" s="1"/>
      <c r="N2656" s="1"/>
      <c r="O2656" s="1"/>
      <c r="P2656" s="1"/>
      <c r="Q2656" s="1"/>
      <c r="R2656" s="1"/>
    </row>
    <row r="2657" spans="2:18" x14ac:dyDescent="0.15">
      <c r="C2657" s="2" t="s">
        <v>5</v>
      </c>
      <c r="D2657" s="2" t="s">
        <v>404</v>
      </c>
      <c r="E2657" s="3">
        <v>12.5</v>
      </c>
      <c r="F2657" s="3">
        <f>+E2657/2</f>
        <v>6.25</v>
      </c>
      <c r="G2657" s="4">
        <v>44306</v>
      </c>
      <c r="M2657" s="1"/>
      <c r="N2657" s="1"/>
      <c r="O2657" s="1"/>
      <c r="P2657" s="1"/>
      <c r="Q2657" s="1"/>
      <c r="R2657" s="1"/>
    </row>
    <row r="2658" spans="2:18" x14ac:dyDescent="0.15">
      <c r="C2658" s="2" t="s">
        <v>4</v>
      </c>
      <c r="D2658" s="2" t="s">
        <v>404</v>
      </c>
      <c r="E2658" s="3">
        <v>3.1</v>
      </c>
      <c r="F2658" s="3">
        <v>1</v>
      </c>
      <c r="G2658" s="4">
        <v>43580</v>
      </c>
      <c r="M2658" s="1"/>
      <c r="N2658" s="1"/>
      <c r="O2658" s="1"/>
      <c r="P2658" s="1"/>
      <c r="Q2658" s="1"/>
      <c r="R2658" s="1"/>
    </row>
    <row r="2659" spans="2:18" x14ac:dyDescent="0.15">
      <c r="G2659" s="4"/>
      <c r="M2659" s="1"/>
      <c r="N2659" s="1"/>
      <c r="O2659" s="1"/>
      <c r="P2659" s="1"/>
      <c r="Q2659" s="1"/>
      <c r="R2659" s="1"/>
    </row>
    <row r="2660" spans="2:18" s="12" customFormat="1" x14ac:dyDescent="0.15">
      <c r="B2660" s="12" t="s">
        <v>452</v>
      </c>
      <c r="C2660" s="13" t="s">
        <v>970</v>
      </c>
      <c r="D2660" s="13" t="s">
        <v>969</v>
      </c>
      <c r="E2660" s="15"/>
      <c r="F2660" s="15">
        <f>SUM(F2661:F2663)</f>
        <v>11.295454545454547</v>
      </c>
      <c r="G2660" s="14">
        <f>G2661</f>
        <v>44776</v>
      </c>
    </row>
    <row r="2661" spans="2:18" x14ac:dyDescent="0.15">
      <c r="C2661" s="2" t="s">
        <v>8</v>
      </c>
      <c r="D2661" s="2" t="s">
        <v>449</v>
      </c>
      <c r="E2661" s="3">
        <v>90</v>
      </c>
      <c r="F2661" s="3">
        <f>50/11</f>
        <v>4.5454545454545459</v>
      </c>
      <c r="G2661" s="4">
        <v>44776</v>
      </c>
      <c r="M2661" s="1"/>
      <c r="N2661" s="1"/>
      <c r="O2661" s="1"/>
      <c r="P2661" s="1"/>
      <c r="Q2661" s="1"/>
      <c r="R2661" s="1"/>
    </row>
    <row r="2662" spans="2:18" x14ac:dyDescent="0.15">
      <c r="C2662" s="2" t="s">
        <v>18</v>
      </c>
      <c r="D2662" s="2" t="s">
        <v>449</v>
      </c>
      <c r="E2662" s="3">
        <v>40</v>
      </c>
      <c r="F2662" s="3">
        <v>3.75</v>
      </c>
      <c r="G2662" s="4">
        <v>44176</v>
      </c>
      <c r="M2662" s="1"/>
      <c r="N2662" s="1"/>
      <c r="O2662" s="1"/>
      <c r="P2662" s="1"/>
      <c r="Q2662" s="1"/>
      <c r="R2662" s="1"/>
    </row>
    <row r="2663" spans="2:18" x14ac:dyDescent="0.15">
      <c r="C2663" s="2" t="s">
        <v>7</v>
      </c>
      <c r="D2663" s="2" t="s">
        <v>449</v>
      </c>
      <c r="E2663" s="3">
        <v>20</v>
      </c>
      <c r="F2663" s="3">
        <v>3</v>
      </c>
      <c r="G2663" s="4">
        <v>43879</v>
      </c>
      <c r="M2663" s="1"/>
      <c r="N2663" s="1"/>
      <c r="O2663" s="1"/>
      <c r="P2663" s="1"/>
      <c r="Q2663" s="1"/>
      <c r="R2663" s="1"/>
    </row>
    <row r="2664" spans="2:18" x14ac:dyDescent="0.15">
      <c r="G2664" s="4"/>
      <c r="M2664" s="1"/>
      <c r="N2664" s="1"/>
      <c r="O2664" s="1"/>
      <c r="P2664" s="1"/>
      <c r="Q2664" s="1"/>
      <c r="R2664" s="1"/>
    </row>
    <row r="2665" spans="2:18" x14ac:dyDescent="0.15">
      <c r="B2665" s="12" t="s">
        <v>986</v>
      </c>
      <c r="C2665" s="13" t="s">
        <v>970</v>
      </c>
      <c r="D2665" s="13" t="s">
        <v>969</v>
      </c>
      <c r="F2665" s="15">
        <f>SUM(F2666:F2669)</f>
        <v>11.333333333333332</v>
      </c>
      <c r="G2665" s="14">
        <f>G2667</f>
        <v>44467</v>
      </c>
    </row>
    <row r="2666" spans="2:18" x14ac:dyDescent="0.15">
      <c r="C2666" s="2" t="s">
        <v>5</v>
      </c>
      <c r="D2666" s="2" t="s">
        <v>833</v>
      </c>
      <c r="E2666" s="3">
        <v>20</v>
      </c>
      <c r="F2666" s="3">
        <f>12/6</f>
        <v>2</v>
      </c>
      <c r="G2666" s="4">
        <v>43816</v>
      </c>
    </row>
    <row r="2667" spans="2:18" x14ac:dyDescent="0.15">
      <c r="C2667" s="2" t="s">
        <v>5</v>
      </c>
      <c r="D2667" s="2" t="s">
        <v>985</v>
      </c>
      <c r="E2667" s="3">
        <v>19</v>
      </c>
      <c r="F2667" s="3">
        <v>4</v>
      </c>
      <c r="G2667" s="4">
        <v>44467</v>
      </c>
    </row>
    <row r="2668" spans="2:18" x14ac:dyDescent="0.15">
      <c r="C2668" s="2" t="s">
        <v>5</v>
      </c>
      <c r="D2668" s="2" t="s">
        <v>281</v>
      </c>
      <c r="E2668" s="3">
        <v>26</v>
      </c>
      <c r="F2668" s="3">
        <v>4.333333333333333</v>
      </c>
      <c r="G2668" s="4">
        <v>44453</v>
      </c>
    </row>
    <row r="2669" spans="2:18" x14ac:dyDescent="0.15">
      <c r="C2669" s="2" t="s">
        <v>4</v>
      </c>
      <c r="D2669" s="2" t="s">
        <v>281</v>
      </c>
      <c r="E2669" s="3">
        <v>6.2</v>
      </c>
      <c r="F2669" s="3">
        <v>1</v>
      </c>
      <c r="G2669" s="4">
        <v>44201</v>
      </c>
    </row>
    <row r="2670" spans="2:18" x14ac:dyDescent="0.15">
      <c r="G2670" s="4"/>
    </row>
    <row r="2671" spans="2:18" s="12" customFormat="1" x14ac:dyDescent="0.15">
      <c r="B2671" s="12" t="s">
        <v>5033</v>
      </c>
      <c r="C2671" s="13" t="s">
        <v>970</v>
      </c>
      <c r="D2671" s="13" t="s">
        <v>969</v>
      </c>
      <c r="E2671" s="15"/>
      <c r="F2671" s="15">
        <f>SUM(F2672:F2674)</f>
        <v>10.816666666666666</v>
      </c>
      <c r="G2671" s="14">
        <f>G2672</f>
        <v>43069</v>
      </c>
      <c r="M2671" s="13"/>
      <c r="N2671" s="13"/>
      <c r="O2671" s="13"/>
      <c r="P2671" s="13"/>
      <c r="Q2671" s="13"/>
      <c r="R2671" s="13"/>
    </row>
    <row r="2672" spans="2:18" x14ac:dyDescent="0.15">
      <c r="B2672" s="61"/>
      <c r="C2672" s="62" t="s">
        <v>18</v>
      </c>
      <c r="D2672" s="62" t="s">
        <v>2117</v>
      </c>
      <c r="E2672" s="3">
        <v>40</v>
      </c>
      <c r="F2672" s="3">
        <f>30/6</f>
        <v>5</v>
      </c>
      <c r="G2672" s="4">
        <v>43069</v>
      </c>
      <c r="J2672" s="1">
        <v>1600</v>
      </c>
    </row>
    <row r="2673" spans="2:18" x14ac:dyDescent="0.15">
      <c r="B2673" s="61"/>
      <c r="C2673" s="62" t="s">
        <v>7</v>
      </c>
      <c r="D2673" s="62" t="s">
        <v>2117</v>
      </c>
      <c r="E2673" s="3">
        <v>20</v>
      </c>
      <c r="F2673" s="3">
        <f>13/3</f>
        <v>4.333333333333333</v>
      </c>
      <c r="G2673" s="4">
        <v>42317</v>
      </c>
      <c r="J2673" s="1">
        <v>1600</v>
      </c>
    </row>
    <row r="2674" spans="2:18" x14ac:dyDescent="0.15">
      <c r="B2674" s="61"/>
      <c r="C2674" s="62" t="s">
        <v>5</v>
      </c>
      <c r="D2674" s="62" t="s">
        <v>2117</v>
      </c>
      <c r="E2674" s="3">
        <v>8.9</v>
      </c>
      <c r="F2674" s="3">
        <f>E2674/6</f>
        <v>1.4833333333333334</v>
      </c>
      <c r="G2674" s="4">
        <v>41839</v>
      </c>
      <c r="J2674" s="1">
        <v>1600</v>
      </c>
    </row>
    <row r="2675" spans="2:18" x14ac:dyDescent="0.15">
      <c r="B2675" s="61"/>
      <c r="C2675" s="62"/>
      <c r="D2675" s="62"/>
      <c r="G2675" s="4"/>
    </row>
    <row r="2676" spans="2:18" s="12" customFormat="1" x14ac:dyDescent="0.15">
      <c r="B2676" s="12" t="s">
        <v>97</v>
      </c>
      <c r="C2676" s="13" t="s">
        <v>970</v>
      </c>
      <c r="D2676" s="13" t="s">
        <v>969</v>
      </c>
      <c r="E2676" s="15"/>
      <c r="F2676" s="15">
        <f>SUM(F2677:F2679)</f>
        <v>11.2</v>
      </c>
      <c r="G2676" s="14">
        <f>G2677</f>
        <v>43783</v>
      </c>
      <c r="M2676" s="13"/>
      <c r="N2676" s="13"/>
      <c r="O2676" s="13"/>
      <c r="P2676" s="13"/>
      <c r="Q2676" s="13"/>
      <c r="R2676" s="13"/>
    </row>
    <row r="2677" spans="2:18" x14ac:dyDescent="0.15">
      <c r="C2677" s="2" t="s">
        <v>7</v>
      </c>
      <c r="D2677" s="2" t="s">
        <v>95</v>
      </c>
      <c r="E2677" s="3">
        <v>25</v>
      </c>
      <c r="F2677" s="3">
        <f>15/5</f>
        <v>3</v>
      </c>
      <c r="G2677" s="4">
        <v>43783</v>
      </c>
    </row>
    <row r="2678" spans="2:18" x14ac:dyDescent="0.15">
      <c r="C2678" s="2" t="s">
        <v>7</v>
      </c>
      <c r="D2678" s="2" t="s">
        <v>95</v>
      </c>
      <c r="E2678" s="3">
        <v>15</v>
      </c>
      <c r="F2678" s="3">
        <v>3.2</v>
      </c>
      <c r="G2678" s="4">
        <v>43559</v>
      </c>
    </row>
    <row r="2679" spans="2:18" x14ac:dyDescent="0.15">
      <c r="C2679" s="2" t="s">
        <v>5</v>
      </c>
      <c r="D2679" s="2" t="s">
        <v>95</v>
      </c>
      <c r="E2679" s="3">
        <v>10</v>
      </c>
      <c r="F2679" s="3">
        <v>5</v>
      </c>
      <c r="G2679" s="4">
        <v>42304</v>
      </c>
    </row>
    <row r="2680" spans="2:18" x14ac:dyDescent="0.15">
      <c r="G2680" s="4"/>
    </row>
    <row r="2681" spans="2:18" s="12" customFormat="1" x14ac:dyDescent="0.15">
      <c r="B2681" s="12" t="s">
        <v>692</v>
      </c>
      <c r="C2681" s="13" t="s">
        <v>970</v>
      </c>
      <c r="D2681" s="13" t="s">
        <v>969</v>
      </c>
      <c r="E2681" s="15"/>
      <c r="F2681" s="15">
        <f>SUM(F2682:F2684)</f>
        <v>11</v>
      </c>
      <c r="G2681" s="14">
        <f>G2684</f>
        <v>45005</v>
      </c>
      <c r="M2681" s="13"/>
      <c r="N2681" s="13"/>
      <c r="O2681" s="13"/>
      <c r="P2681" s="13"/>
      <c r="Q2681" s="13"/>
      <c r="R2681" s="13"/>
    </row>
    <row r="2682" spans="2:18" x14ac:dyDescent="0.15">
      <c r="C2682" s="2" t="s">
        <v>4</v>
      </c>
      <c r="D2682" s="2" t="s">
        <v>691</v>
      </c>
      <c r="E2682" s="3">
        <v>30</v>
      </c>
      <c r="F2682" s="3">
        <v>5</v>
      </c>
      <c r="G2682" s="4">
        <v>44742</v>
      </c>
    </row>
    <row r="2683" spans="2:18" x14ac:dyDescent="0.15">
      <c r="C2683" s="2" t="s">
        <v>5</v>
      </c>
      <c r="D2683" s="2" t="s">
        <v>690</v>
      </c>
      <c r="E2683" s="3">
        <v>29</v>
      </c>
      <c r="F2683" s="3">
        <v>3</v>
      </c>
      <c r="G2683" s="4">
        <v>44691</v>
      </c>
    </row>
    <row r="2684" spans="2:18" x14ac:dyDescent="0.15">
      <c r="C2684" s="2" t="s">
        <v>5</v>
      </c>
      <c r="D2684" s="2" t="s">
        <v>689</v>
      </c>
      <c r="E2684" s="3">
        <v>13</v>
      </c>
      <c r="F2684" s="3">
        <v>3</v>
      </c>
      <c r="G2684" s="4">
        <v>45005</v>
      </c>
    </row>
    <row r="2685" spans="2:18" x14ac:dyDescent="0.15">
      <c r="G2685" s="4"/>
    </row>
    <row r="2686" spans="2:18" s="12" customFormat="1" x14ac:dyDescent="0.15">
      <c r="B2686" s="12" t="s">
        <v>384</v>
      </c>
      <c r="C2686" s="13" t="s">
        <v>970</v>
      </c>
      <c r="D2686" s="13" t="s">
        <v>969</v>
      </c>
      <c r="E2686" s="15"/>
      <c r="F2686" s="15">
        <f>SUM(F2687:F2689)</f>
        <v>11.375</v>
      </c>
      <c r="G2686" s="14">
        <f>G2687</f>
        <v>44488</v>
      </c>
    </row>
    <row r="2687" spans="2:18" x14ac:dyDescent="0.15">
      <c r="C2687" s="2" t="s">
        <v>5</v>
      </c>
      <c r="D2687" s="2" t="s">
        <v>381</v>
      </c>
      <c r="E2687" s="3">
        <v>86</v>
      </c>
      <c r="F2687" s="3">
        <v>10</v>
      </c>
      <c r="G2687" s="4">
        <v>44488</v>
      </c>
      <c r="M2687" s="1"/>
      <c r="N2687" s="1"/>
      <c r="O2687" s="1"/>
      <c r="P2687" s="1"/>
      <c r="Q2687" s="1"/>
      <c r="R2687" s="1"/>
    </row>
    <row r="2688" spans="2:18" x14ac:dyDescent="0.15">
      <c r="C2688" s="2" t="s">
        <v>4</v>
      </c>
      <c r="D2688" s="2" t="s">
        <v>381</v>
      </c>
      <c r="E2688" s="3">
        <v>8.5</v>
      </c>
      <c r="F2688" s="3">
        <v>1</v>
      </c>
      <c r="G2688" s="4">
        <v>43796</v>
      </c>
      <c r="M2688" s="1"/>
      <c r="N2688" s="1"/>
      <c r="O2688" s="1"/>
      <c r="P2688" s="1"/>
      <c r="Q2688" s="1"/>
      <c r="R2688" s="1"/>
    </row>
    <row r="2689" spans="2:18" x14ac:dyDescent="0.15">
      <c r="C2689" s="2" t="s">
        <v>4</v>
      </c>
      <c r="D2689" s="2" t="s">
        <v>381</v>
      </c>
      <c r="E2689" s="3">
        <v>0.75</v>
      </c>
      <c r="F2689" s="3">
        <f>+E2689/2</f>
        <v>0.375</v>
      </c>
      <c r="G2689" s="4">
        <v>43166</v>
      </c>
      <c r="M2689" s="1"/>
      <c r="N2689" s="1"/>
      <c r="O2689" s="1"/>
      <c r="P2689" s="1"/>
      <c r="Q2689" s="1"/>
      <c r="R2689" s="1"/>
    </row>
    <row r="2690" spans="2:18" x14ac:dyDescent="0.15">
      <c r="G2690" s="4"/>
      <c r="M2690" s="1"/>
      <c r="N2690" s="1"/>
      <c r="O2690" s="1"/>
      <c r="P2690" s="1"/>
      <c r="Q2690" s="1"/>
      <c r="R2690" s="1"/>
    </row>
    <row r="2691" spans="2:18" s="12" customFormat="1" x14ac:dyDescent="0.15">
      <c r="B2691" s="12" t="s">
        <v>453</v>
      </c>
      <c r="C2691" s="13" t="s">
        <v>970</v>
      </c>
      <c r="D2691" s="13" t="s">
        <v>969</v>
      </c>
      <c r="E2691" s="15"/>
      <c r="F2691" s="15">
        <f>SUM(F2692:F2694)</f>
        <v>11.295454545454547</v>
      </c>
      <c r="G2691" s="14">
        <f>G2692</f>
        <v>44776</v>
      </c>
    </row>
    <row r="2692" spans="2:18" x14ac:dyDescent="0.15">
      <c r="C2692" s="2" t="s">
        <v>8</v>
      </c>
      <c r="D2692" s="2" t="s">
        <v>449</v>
      </c>
      <c r="E2692" s="3">
        <v>90</v>
      </c>
      <c r="F2692" s="3">
        <f>50/11</f>
        <v>4.5454545454545459</v>
      </c>
      <c r="G2692" s="4">
        <v>44776</v>
      </c>
      <c r="M2692" s="1"/>
      <c r="N2692" s="1"/>
      <c r="O2692" s="1"/>
      <c r="P2692" s="1"/>
      <c r="Q2692" s="1"/>
      <c r="R2692" s="1"/>
    </row>
    <row r="2693" spans="2:18" x14ac:dyDescent="0.15">
      <c r="C2693" s="2" t="s">
        <v>18</v>
      </c>
      <c r="D2693" s="2" t="s">
        <v>449</v>
      </c>
      <c r="E2693" s="3">
        <v>40</v>
      </c>
      <c r="F2693" s="3">
        <v>3.75</v>
      </c>
      <c r="G2693" s="4">
        <v>44176</v>
      </c>
      <c r="M2693" s="1"/>
      <c r="N2693" s="1"/>
      <c r="O2693" s="1"/>
      <c r="P2693" s="1"/>
      <c r="Q2693" s="1"/>
      <c r="R2693" s="1"/>
    </row>
    <row r="2694" spans="2:18" x14ac:dyDescent="0.15">
      <c r="C2694" s="2" t="s">
        <v>7</v>
      </c>
      <c r="D2694" s="2" t="s">
        <v>449</v>
      </c>
      <c r="E2694" s="3">
        <v>20</v>
      </c>
      <c r="F2694" s="3">
        <v>3</v>
      </c>
      <c r="G2694" s="4">
        <v>43879</v>
      </c>
      <c r="M2694" s="1"/>
      <c r="N2694" s="1"/>
      <c r="O2694" s="1"/>
      <c r="P2694" s="1"/>
      <c r="Q2694" s="1"/>
      <c r="R2694" s="1"/>
    </row>
    <row r="2695" spans="2:18" x14ac:dyDescent="0.15">
      <c r="G2695" s="4"/>
      <c r="M2695" s="1"/>
      <c r="N2695" s="1"/>
      <c r="O2695" s="1"/>
      <c r="P2695" s="1"/>
      <c r="Q2695" s="1"/>
      <c r="R2695" s="1"/>
    </row>
    <row r="2696" spans="2:18" s="12" customFormat="1" x14ac:dyDescent="0.15">
      <c r="B2696" s="12" t="s">
        <v>448</v>
      </c>
      <c r="C2696" s="13" t="s">
        <v>970</v>
      </c>
      <c r="D2696" s="13" t="s">
        <v>969</v>
      </c>
      <c r="E2696" s="15"/>
      <c r="F2696" s="15">
        <f>SUM(F2697:F2699)</f>
        <v>11</v>
      </c>
      <c r="G2696" s="14">
        <f>G2697</f>
        <v>44756</v>
      </c>
    </row>
    <row r="2697" spans="2:18" x14ac:dyDescent="0.15">
      <c r="C2697" s="2" t="s">
        <v>7</v>
      </c>
      <c r="D2697" s="2" t="s">
        <v>447</v>
      </c>
      <c r="E2697" s="3">
        <v>30</v>
      </c>
      <c r="F2697" s="3">
        <v>5</v>
      </c>
      <c r="G2697" s="4">
        <v>44756</v>
      </c>
      <c r="M2697" s="1"/>
      <c r="N2697" s="1"/>
      <c r="O2697" s="1"/>
      <c r="P2697" s="1"/>
      <c r="Q2697" s="1"/>
      <c r="R2697" s="1"/>
    </row>
    <row r="2698" spans="2:18" x14ac:dyDescent="0.15">
      <c r="C2698" s="2" t="s">
        <v>5</v>
      </c>
      <c r="D2698" s="2" t="s">
        <v>447</v>
      </c>
      <c r="E2698" s="3">
        <v>28</v>
      </c>
      <c r="F2698" s="3">
        <v>5</v>
      </c>
      <c r="G2698" s="4">
        <v>44624</v>
      </c>
      <c r="M2698" s="1"/>
      <c r="N2698" s="1"/>
      <c r="O2698" s="1"/>
      <c r="P2698" s="1"/>
      <c r="Q2698" s="1"/>
      <c r="R2698" s="1"/>
    </row>
    <row r="2699" spans="2:18" x14ac:dyDescent="0.15">
      <c r="C2699" s="2" t="s">
        <v>4</v>
      </c>
      <c r="D2699" s="2" t="s">
        <v>447</v>
      </c>
      <c r="E2699" s="3">
        <v>5</v>
      </c>
      <c r="F2699" s="3">
        <v>1</v>
      </c>
      <c r="G2699" s="4">
        <v>44136</v>
      </c>
      <c r="M2699" s="1"/>
      <c r="N2699" s="1"/>
      <c r="O2699" s="1"/>
      <c r="P2699" s="1"/>
      <c r="Q2699" s="1"/>
      <c r="R2699" s="1"/>
    </row>
    <row r="2700" spans="2:18" x14ac:dyDescent="0.15">
      <c r="G2700" s="4"/>
      <c r="M2700" s="1"/>
      <c r="N2700" s="1"/>
      <c r="O2700" s="1"/>
      <c r="P2700" s="1"/>
      <c r="Q2700" s="1"/>
      <c r="R2700" s="1"/>
    </row>
    <row r="2701" spans="2:18" s="12" customFormat="1" x14ac:dyDescent="0.15">
      <c r="B2701" s="12" t="s">
        <v>719</v>
      </c>
      <c r="C2701" s="13" t="s">
        <v>970</v>
      </c>
      <c r="D2701" s="13" t="s">
        <v>969</v>
      </c>
      <c r="E2701" s="15"/>
      <c r="F2701" s="15">
        <f>SUM(F2702:F2704)</f>
        <v>10.7</v>
      </c>
      <c r="G2701" s="14">
        <f>G2704</f>
        <v>44952</v>
      </c>
      <c r="M2701" s="13"/>
      <c r="N2701" s="13"/>
      <c r="O2701" s="13"/>
      <c r="P2701" s="13"/>
      <c r="Q2701" s="13"/>
      <c r="R2701" s="13"/>
    </row>
    <row r="2702" spans="2:18" x14ac:dyDescent="0.15">
      <c r="B2702" s="273" t="s">
        <v>7704</v>
      </c>
      <c r="C2702" s="2" t="s">
        <v>5</v>
      </c>
      <c r="D2702" s="2" t="s">
        <v>717</v>
      </c>
      <c r="E2702" s="3">
        <v>12.5</v>
      </c>
      <c r="F2702" s="3">
        <v>2</v>
      </c>
      <c r="G2702" s="4">
        <v>44784</v>
      </c>
    </row>
    <row r="2703" spans="2:18" x14ac:dyDescent="0.15">
      <c r="C2703" s="2" t="s">
        <v>5</v>
      </c>
      <c r="D2703" s="2" t="s">
        <v>717</v>
      </c>
      <c r="E2703" s="3">
        <v>10</v>
      </c>
      <c r="F2703" s="3">
        <v>4</v>
      </c>
      <c r="G2703" s="4">
        <v>44110</v>
      </c>
    </row>
    <row r="2704" spans="2:18" x14ac:dyDescent="0.15">
      <c r="C2704" s="2" t="s">
        <v>5</v>
      </c>
      <c r="D2704" s="2" t="s">
        <v>667</v>
      </c>
      <c r="E2704" s="3">
        <v>12.7</v>
      </c>
      <c r="F2704" s="3">
        <v>4.7</v>
      </c>
      <c r="G2704" s="4">
        <v>44952</v>
      </c>
    </row>
    <row r="2705" spans="2:18" x14ac:dyDescent="0.15">
      <c r="G2705" s="4"/>
    </row>
    <row r="2706" spans="2:18" s="12" customFormat="1" x14ac:dyDescent="0.15">
      <c r="B2706" s="12" t="s">
        <v>760</v>
      </c>
      <c r="C2706" s="13" t="s">
        <v>970</v>
      </c>
      <c r="D2706" s="13" t="s">
        <v>969</v>
      </c>
      <c r="E2706" s="15"/>
      <c r="F2706" s="15">
        <f>SUM(F2707:F2709)</f>
        <v>10.833333333333332</v>
      </c>
      <c r="G2706" s="14">
        <f>G2707</f>
        <v>43979</v>
      </c>
    </row>
    <row r="2707" spans="2:18" x14ac:dyDescent="0.15">
      <c r="C2707" s="2" t="s">
        <v>4</v>
      </c>
      <c r="D2707" s="2" t="s">
        <v>731</v>
      </c>
      <c r="E2707" s="3">
        <v>1.5</v>
      </c>
      <c r="F2707" s="3">
        <v>0.5</v>
      </c>
      <c r="G2707" s="4">
        <v>43979</v>
      </c>
      <c r="M2707" s="1"/>
      <c r="N2707" s="1"/>
      <c r="O2707" s="1"/>
      <c r="P2707" s="1"/>
      <c r="Q2707" s="1"/>
      <c r="R2707" s="1"/>
    </row>
    <row r="2708" spans="2:18" x14ac:dyDescent="0.15">
      <c r="C2708" s="59" t="s">
        <v>5</v>
      </c>
      <c r="D2708" s="59" t="s">
        <v>2124</v>
      </c>
      <c r="E2708" s="3">
        <f>52.3</f>
        <v>52.3</v>
      </c>
      <c r="F2708" s="3">
        <f>22/3</f>
        <v>7.333333333333333</v>
      </c>
      <c r="G2708" s="4">
        <v>43348</v>
      </c>
      <c r="J2708" s="1">
        <v>700</v>
      </c>
      <c r="M2708" s="1"/>
      <c r="N2708" s="1"/>
      <c r="O2708" s="1"/>
      <c r="P2708" s="1"/>
      <c r="Q2708" s="1"/>
      <c r="R2708" s="1"/>
    </row>
    <row r="2709" spans="2:18" x14ac:dyDescent="0.15">
      <c r="C2709" s="59" t="s">
        <v>7</v>
      </c>
      <c r="D2709" s="59" t="s">
        <v>2122</v>
      </c>
      <c r="E2709" s="3">
        <v>40</v>
      </c>
      <c r="F2709" s="3">
        <v>3</v>
      </c>
      <c r="G2709" s="4">
        <v>43720</v>
      </c>
      <c r="J2709" s="1">
        <v>3400</v>
      </c>
      <c r="M2709" s="1"/>
      <c r="N2709" s="1"/>
      <c r="O2709" s="1"/>
      <c r="P2709" s="1"/>
      <c r="Q2709" s="1"/>
      <c r="R2709" s="1"/>
    </row>
    <row r="2710" spans="2:18" x14ac:dyDescent="0.15">
      <c r="G2710" s="4"/>
      <c r="M2710" s="1"/>
      <c r="N2710" s="1"/>
      <c r="O2710" s="1"/>
      <c r="P2710" s="1"/>
      <c r="Q2710" s="1"/>
      <c r="R2710" s="1"/>
    </row>
    <row r="2711" spans="2:18" s="12" customFormat="1" x14ac:dyDescent="0.15">
      <c r="B2711" s="12" t="s">
        <v>922</v>
      </c>
      <c r="C2711" s="13" t="s">
        <v>970</v>
      </c>
      <c r="D2711" s="13" t="s">
        <v>969</v>
      </c>
      <c r="E2711" s="15"/>
      <c r="F2711" s="15">
        <f>SUM(F2712:F2713)</f>
        <v>11</v>
      </c>
      <c r="G2711" s="14">
        <f>G2712</f>
        <v>45090</v>
      </c>
      <c r="M2711" s="13"/>
      <c r="N2711" s="13"/>
      <c r="O2711" s="13"/>
      <c r="P2711" s="13"/>
      <c r="Q2711" s="13"/>
      <c r="R2711" s="13"/>
    </row>
    <row r="2712" spans="2:18" x14ac:dyDescent="0.15">
      <c r="C2712" s="2" t="s">
        <v>4</v>
      </c>
      <c r="D2712" s="2" t="s">
        <v>706</v>
      </c>
      <c r="E2712" s="3">
        <v>113</v>
      </c>
      <c r="F2712" s="3">
        <v>8</v>
      </c>
      <c r="G2712" s="4">
        <v>45090</v>
      </c>
    </row>
    <row r="2713" spans="2:18" x14ac:dyDescent="0.15">
      <c r="C2713" s="2" t="s">
        <v>5</v>
      </c>
      <c r="D2713" s="2" t="s">
        <v>2136</v>
      </c>
      <c r="E2713" s="3">
        <v>20</v>
      </c>
      <c r="F2713" s="3">
        <v>3</v>
      </c>
      <c r="G2713" s="4">
        <v>44044</v>
      </c>
    </row>
    <row r="2714" spans="2:18" x14ac:dyDescent="0.15">
      <c r="G2714" s="4"/>
    </row>
    <row r="2715" spans="2:18" x14ac:dyDescent="0.15">
      <c r="B2715" s="12" t="s">
        <v>998</v>
      </c>
      <c r="C2715" s="13" t="s">
        <v>970</v>
      </c>
      <c r="D2715" s="13" t="s">
        <v>969</v>
      </c>
      <c r="E2715" s="15"/>
      <c r="F2715" s="15">
        <f>+F2716+F2717</f>
        <v>10.166666666666668</v>
      </c>
      <c r="G2715" s="14">
        <f>+G2716</f>
        <v>44417</v>
      </c>
    </row>
    <row r="2716" spans="2:18" x14ac:dyDescent="0.15">
      <c r="C2716" s="2" t="s">
        <v>18</v>
      </c>
      <c r="D2716" s="2" t="s">
        <v>878</v>
      </c>
      <c r="E2716" s="3">
        <v>85</v>
      </c>
      <c r="F2716" s="3">
        <v>6</v>
      </c>
      <c r="G2716" s="4">
        <v>44417</v>
      </c>
    </row>
    <row r="2717" spans="2:18" x14ac:dyDescent="0.15">
      <c r="C2717" s="2" t="s">
        <v>7</v>
      </c>
      <c r="D2717" s="2" t="s">
        <v>878</v>
      </c>
      <c r="E2717" s="3">
        <v>35</v>
      </c>
      <c r="F2717" s="3">
        <f>25/6</f>
        <v>4.166666666666667</v>
      </c>
      <c r="G2717" s="4">
        <v>44293</v>
      </c>
    </row>
    <row r="2718" spans="2:18" x14ac:dyDescent="0.15">
      <c r="G2718" s="4"/>
    </row>
    <row r="2719" spans="2:18" s="12" customFormat="1" x14ac:dyDescent="0.15">
      <c r="B2719" s="12" t="s">
        <v>739</v>
      </c>
      <c r="C2719" s="13" t="s">
        <v>970</v>
      </c>
      <c r="D2719" s="13" t="s">
        <v>969</v>
      </c>
      <c r="E2719" s="15"/>
      <c r="F2719" s="15">
        <f>SUM(F2720:F2722)</f>
        <v>9.8000000000000007</v>
      </c>
      <c r="G2719" s="14">
        <f>G2720</f>
        <v>44755</v>
      </c>
    </row>
    <row r="2720" spans="2:18" x14ac:dyDescent="0.15">
      <c r="C2720" s="2" t="s">
        <v>7</v>
      </c>
      <c r="D2720" s="2" t="s">
        <v>736</v>
      </c>
      <c r="E2720" s="3">
        <v>25</v>
      </c>
      <c r="F2720" s="3">
        <f>15/5</f>
        <v>3</v>
      </c>
      <c r="G2720" s="4">
        <v>44755</v>
      </c>
    </row>
    <row r="2721" spans="2:18" x14ac:dyDescent="0.15">
      <c r="C2721" s="2" t="s">
        <v>5</v>
      </c>
      <c r="D2721" s="2" t="s">
        <v>736</v>
      </c>
      <c r="E2721" s="3">
        <v>21</v>
      </c>
      <c r="F2721" s="3">
        <f>14/5</f>
        <v>2.8</v>
      </c>
      <c r="G2721" s="4">
        <v>44489</v>
      </c>
    </row>
    <row r="2722" spans="2:18" x14ac:dyDescent="0.15">
      <c r="C2722" s="2" t="s">
        <v>4</v>
      </c>
      <c r="D2722" s="2" t="s">
        <v>736</v>
      </c>
      <c r="E2722" s="3">
        <v>9.1</v>
      </c>
      <c r="F2722" s="3">
        <v>4</v>
      </c>
      <c r="G2722" s="4">
        <v>44131</v>
      </c>
    </row>
    <row r="2723" spans="2:18" x14ac:dyDescent="0.15">
      <c r="G2723" s="4"/>
    </row>
    <row r="2724" spans="2:18" s="12" customFormat="1" x14ac:dyDescent="0.15">
      <c r="B2724" s="12" t="s">
        <v>659</v>
      </c>
      <c r="C2724" s="13" t="s">
        <v>970</v>
      </c>
      <c r="D2724" s="13" t="s">
        <v>969</v>
      </c>
      <c r="E2724" s="15"/>
      <c r="F2724" s="15">
        <f>SUM(F2725:F2729)</f>
        <v>10.45</v>
      </c>
      <c r="G2724" s="14">
        <f>G2725</f>
        <v>44579</v>
      </c>
      <c r="M2724" s="13"/>
      <c r="N2724" s="13"/>
      <c r="O2724" s="13"/>
      <c r="P2724" s="13"/>
      <c r="Q2724" s="13"/>
      <c r="R2724" s="13"/>
    </row>
    <row r="2725" spans="2:18" x14ac:dyDescent="0.15">
      <c r="C2725" s="2" t="s">
        <v>5</v>
      </c>
      <c r="D2725" s="2" t="s">
        <v>657</v>
      </c>
      <c r="E2725" s="3">
        <v>12.6</v>
      </c>
      <c r="F2725" s="3">
        <v>3</v>
      </c>
      <c r="G2725" s="4">
        <v>44579</v>
      </c>
      <c r="M2725" s="1"/>
      <c r="N2725" s="1"/>
      <c r="O2725" s="1"/>
      <c r="P2725" s="1"/>
      <c r="Q2725" s="1"/>
      <c r="R2725" s="1"/>
    </row>
    <row r="2726" spans="2:18" x14ac:dyDescent="0.15">
      <c r="C2726" s="2" t="s">
        <v>4</v>
      </c>
      <c r="D2726" s="2" t="s">
        <v>657</v>
      </c>
      <c r="E2726" s="3">
        <v>3</v>
      </c>
      <c r="F2726" s="3">
        <v>1</v>
      </c>
      <c r="G2726" s="4">
        <v>43999</v>
      </c>
      <c r="M2726" s="1"/>
      <c r="N2726" s="1"/>
      <c r="O2726" s="1"/>
      <c r="P2726" s="1"/>
      <c r="Q2726" s="1"/>
      <c r="R2726" s="1"/>
    </row>
    <row r="2727" spans="2:18" x14ac:dyDescent="0.15">
      <c r="C2727" s="2" t="s">
        <v>7</v>
      </c>
      <c r="D2727" s="2" t="s">
        <v>310</v>
      </c>
      <c r="E2727" s="3">
        <v>40</v>
      </c>
      <c r="F2727" s="3">
        <v>4</v>
      </c>
      <c r="G2727" s="4">
        <v>43419</v>
      </c>
      <c r="M2727" s="1"/>
      <c r="N2727" s="1"/>
      <c r="O2727" s="1"/>
      <c r="P2727" s="1"/>
      <c r="Q2727" s="1"/>
      <c r="R2727" s="1"/>
    </row>
    <row r="2728" spans="2:18" x14ac:dyDescent="0.15">
      <c r="C2728" s="2" t="s">
        <v>5</v>
      </c>
      <c r="D2728" s="2" t="s">
        <v>310</v>
      </c>
      <c r="E2728" s="3">
        <v>14.7</v>
      </c>
      <c r="F2728" s="3">
        <v>2.25</v>
      </c>
      <c r="G2728" s="4">
        <v>43032</v>
      </c>
      <c r="M2728" s="1"/>
      <c r="N2728" s="1"/>
      <c r="O2728" s="1"/>
      <c r="P2728" s="1"/>
      <c r="Q2728" s="1"/>
      <c r="R2728" s="1"/>
    </row>
    <row r="2729" spans="2:18" x14ac:dyDescent="0.15">
      <c r="C2729" s="2" t="s">
        <v>4</v>
      </c>
      <c r="D2729" s="2" t="s">
        <v>302</v>
      </c>
      <c r="E2729" s="3">
        <v>1.8</v>
      </c>
      <c r="F2729" s="3">
        <v>0.2</v>
      </c>
      <c r="G2729" s="4">
        <v>42690</v>
      </c>
      <c r="M2729" s="1"/>
      <c r="N2729" s="1"/>
      <c r="O2729" s="1"/>
      <c r="P2729" s="1"/>
      <c r="Q2729" s="1"/>
      <c r="R2729" s="1"/>
    </row>
    <row r="2730" spans="2:18" x14ac:dyDescent="0.15">
      <c r="G2730" s="4"/>
      <c r="M2730" s="1"/>
      <c r="N2730" s="1"/>
      <c r="O2730" s="1"/>
      <c r="P2730" s="1"/>
      <c r="Q2730" s="1"/>
      <c r="R2730" s="1"/>
    </row>
    <row r="2731" spans="2:18" s="12" customFormat="1" x14ac:dyDescent="0.15">
      <c r="B2731" s="12" t="s">
        <v>997</v>
      </c>
      <c r="C2731" s="13" t="s">
        <v>970</v>
      </c>
      <c r="D2731" s="13" t="s">
        <v>969</v>
      </c>
      <c r="E2731" s="15"/>
      <c r="F2731" s="15">
        <f>SUM(F2732:F2733)</f>
        <v>10.142857142857142</v>
      </c>
      <c r="G2731" s="14">
        <f>G2732</f>
        <v>44628</v>
      </c>
      <c r="M2731" s="13"/>
      <c r="N2731" s="13"/>
      <c r="O2731" s="13"/>
      <c r="P2731" s="13"/>
      <c r="Q2731" s="13"/>
      <c r="R2731" s="13"/>
    </row>
    <row r="2732" spans="2:18" x14ac:dyDescent="0.15">
      <c r="C2732" s="2" t="s">
        <v>7</v>
      </c>
      <c r="D2732" s="2" t="s">
        <v>865</v>
      </c>
      <c r="E2732" s="3">
        <v>50</v>
      </c>
      <c r="F2732" s="3">
        <f>E2732/7</f>
        <v>7.1428571428571432</v>
      </c>
      <c r="G2732" s="4">
        <v>44628</v>
      </c>
    </row>
    <row r="2733" spans="2:18" x14ac:dyDescent="0.15">
      <c r="C2733" s="2" t="s">
        <v>5</v>
      </c>
      <c r="D2733" s="2" t="s">
        <v>865</v>
      </c>
      <c r="E2733" s="3">
        <v>10</v>
      </c>
      <c r="F2733" s="3">
        <v>3</v>
      </c>
      <c r="G2733" s="4">
        <v>44378</v>
      </c>
    </row>
    <row r="2734" spans="2:18" x14ac:dyDescent="0.15">
      <c r="G2734" s="4"/>
    </row>
    <row r="2735" spans="2:18" s="12" customFormat="1" x14ac:dyDescent="0.15">
      <c r="B2735" s="12" t="s">
        <v>996</v>
      </c>
      <c r="C2735" s="18" t="s">
        <v>970</v>
      </c>
      <c r="D2735" s="18" t="s">
        <v>969</v>
      </c>
      <c r="E2735" s="17"/>
      <c r="F2735" s="17">
        <f>SUM(F2736:F2738)</f>
        <v>10</v>
      </c>
      <c r="G2735" s="16">
        <f>G2736</f>
        <v>44963</v>
      </c>
      <c r="M2735" s="13"/>
      <c r="N2735" s="13"/>
      <c r="O2735" s="13"/>
      <c r="P2735" s="13"/>
      <c r="Q2735" s="13"/>
      <c r="R2735" s="13"/>
    </row>
    <row r="2736" spans="2:18" x14ac:dyDescent="0.15">
      <c r="C2736" s="2" t="s">
        <v>5</v>
      </c>
      <c r="D2736" s="2" t="s">
        <v>995</v>
      </c>
      <c r="E2736" s="3">
        <v>23</v>
      </c>
      <c r="F2736" s="3">
        <v>5</v>
      </c>
      <c r="G2736" s="4">
        <v>44963</v>
      </c>
    </row>
    <row r="2737" spans="2:18" x14ac:dyDescent="0.15">
      <c r="C2737" s="2" t="s">
        <v>5</v>
      </c>
      <c r="D2737" s="2" t="s">
        <v>670</v>
      </c>
      <c r="E2737" s="3">
        <v>14</v>
      </c>
      <c r="F2737" s="3">
        <v>3</v>
      </c>
      <c r="G2737" s="4">
        <v>44705</v>
      </c>
    </row>
    <row r="2738" spans="2:18" x14ac:dyDescent="0.15">
      <c r="C2738" s="2" t="s">
        <v>4</v>
      </c>
      <c r="D2738" s="2" t="s">
        <v>670</v>
      </c>
      <c r="E2738" s="3">
        <v>5</v>
      </c>
      <c r="F2738" s="3">
        <v>2</v>
      </c>
      <c r="G2738" s="4">
        <v>44578</v>
      </c>
    </row>
    <row r="2739" spans="2:18" x14ac:dyDescent="0.15">
      <c r="G2739" s="4"/>
    </row>
    <row r="2740" spans="2:18" s="12" customFormat="1" x14ac:dyDescent="0.15">
      <c r="B2740" s="12" t="s">
        <v>626</v>
      </c>
      <c r="C2740" s="13" t="s">
        <v>970</v>
      </c>
      <c r="D2740" s="13" t="s">
        <v>969</v>
      </c>
      <c r="E2740" s="15"/>
      <c r="F2740" s="15">
        <f>SUM(F2741:F2743)</f>
        <v>11.333333333333332</v>
      </c>
      <c r="G2740" s="14">
        <f>G2741</f>
        <v>44930</v>
      </c>
    </row>
    <row r="2741" spans="2:18" x14ac:dyDescent="0.15">
      <c r="C2741" s="2" t="s">
        <v>5</v>
      </c>
      <c r="D2741" s="2" t="s">
        <v>625</v>
      </c>
      <c r="E2741" s="3">
        <v>10</v>
      </c>
      <c r="F2741" s="3">
        <v>2</v>
      </c>
      <c r="G2741" s="4">
        <v>44930</v>
      </c>
      <c r="M2741" s="1"/>
      <c r="N2741" s="1"/>
      <c r="O2741" s="1"/>
      <c r="P2741" s="1"/>
      <c r="Q2741" s="1"/>
      <c r="R2741" s="1"/>
    </row>
    <row r="2742" spans="2:18" x14ac:dyDescent="0.15">
      <c r="C2742" s="59" t="s">
        <v>5</v>
      </c>
      <c r="D2742" s="59" t="s">
        <v>2124</v>
      </c>
      <c r="E2742" s="3">
        <v>52.3</v>
      </c>
      <c r="F2742" s="3">
        <f>22/3</f>
        <v>7.333333333333333</v>
      </c>
      <c r="G2742" s="4">
        <v>43348</v>
      </c>
      <c r="J2742" s="1">
        <v>700</v>
      </c>
      <c r="M2742" s="1"/>
      <c r="N2742" s="1"/>
      <c r="O2742" s="1"/>
      <c r="P2742" s="1"/>
      <c r="Q2742" s="1"/>
      <c r="R2742" s="1"/>
    </row>
    <row r="2743" spans="2:18" x14ac:dyDescent="0.15">
      <c r="C2743" s="261" t="s">
        <v>4</v>
      </c>
      <c r="D2743" s="261" t="s">
        <v>2019</v>
      </c>
      <c r="E2743" s="3">
        <v>12</v>
      </c>
      <c r="F2743" s="3">
        <v>2</v>
      </c>
      <c r="G2743" s="4">
        <v>43872</v>
      </c>
      <c r="M2743" s="1"/>
      <c r="N2743" s="1"/>
      <c r="O2743" s="1"/>
      <c r="P2743" s="1"/>
      <c r="Q2743" s="1"/>
      <c r="R2743" s="1"/>
    </row>
    <row r="2744" spans="2:18" x14ac:dyDescent="0.15">
      <c r="G2744" s="4"/>
      <c r="M2744" s="1"/>
      <c r="N2744" s="1"/>
      <c r="O2744" s="1"/>
      <c r="P2744" s="1"/>
      <c r="Q2744" s="1"/>
      <c r="R2744" s="1"/>
    </row>
    <row r="2745" spans="2:18" s="12" customFormat="1" x14ac:dyDescent="0.15">
      <c r="B2745" s="12" t="s">
        <v>665</v>
      </c>
      <c r="C2745" s="13" t="s">
        <v>970</v>
      </c>
      <c r="D2745" s="13" t="s">
        <v>969</v>
      </c>
      <c r="E2745" s="15"/>
      <c r="F2745" s="15">
        <f>SUM(F2746:F2748)</f>
        <v>10.5</v>
      </c>
      <c r="G2745" s="14">
        <f>G2747</f>
        <v>44887</v>
      </c>
      <c r="M2745" s="13"/>
      <c r="N2745" s="13"/>
      <c r="O2745" s="13"/>
      <c r="P2745" s="13"/>
      <c r="Q2745" s="13"/>
      <c r="R2745" s="13"/>
    </row>
    <row r="2746" spans="2:18" x14ac:dyDescent="0.15">
      <c r="C2746" s="2" t="s">
        <v>5</v>
      </c>
      <c r="D2746" s="2" t="s">
        <v>664</v>
      </c>
      <c r="E2746" s="3">
        <v>17</v>
      </c>
      <c r="F2746" s="3">
        <v>6</v>
      </c>
      <c r="G2746" s="4">
        <v>44679</v>
      </c>
      <c r="M2746" s="1"/>
      <c r="N2746" s="1"/>
      <c r="O2746" s="1"/>
      <c r="P2746" s="1"/>
      <c r="Q2746" s="1"/>
      <c r="R2746" s="1"/>
    </row>
    <row r="2747" spans="2:18" x14ac:dyDescent="0.15">
      <c r="C2747" s="2" t="s">
        <v>4</v>
      </c>
      <c r="D2747" s="2" t="s">
        <v>574</v>
      </c>
      <c r="E2747" s="3">
        <v>10</v>
      </c>
      <c r="F2747" s="3">
        <v>3</v>
      </c>
      <c r="G2747" s="4">
        <v>44887</v>
      </c>
      <c r="M2747" s="1"/>
      <c r="N2747" s="1"/>
      <c r="O2747" s="1"/>
      <c r="P2747" s="1"/>
      <c r="Q2747" s="1"/>
      <c r="R2747" s="1"/>
    </row>
    <row r="2748" spans="2:18" x14ac:dyDescent="0.15">
      <c r="C2748" s="193" t="s">
        <v>4</v>
      </c>
      <c r="D2748" s="193" t="s">
        <v>2028</v>
      </c>
      <c r="E2748" s="3">
        <v>3.5</v>
      </c>
      <c r="F2748" s="3">
        <v>1.5</v>
      </c>
      <c r="G2748" s="4">
        <v>44609</v>
      </c>
      <c r="M2748" s="1"/>
      <c r="N2748" s="1"/>
      <c r="O2748" s="1"/>
      <c r="P2748" s="1"/>
      <c r="Q2748" s="1"/>
      <c r="R2748" s="1"/>
    </row>
    <row r="2749" spans="2:18" x14ac:dyDescent="0.15">
      <c r="G2749" s="4"/>
      <c r="M2749" s="1"/>
      <c r="N2749" s="1"/>
      <c r="O2749" s="1"/>
      <c r="P2749" s="1"/>
      <c r="Q2749" s="1"/>
      <c r="R2749" s="1"/>
    </row>
    <row r="2750" spans="2:18" s="12" customFormat="1" x14ac:dyDescent="0.15">
      <c r="B2750" s="12" t="s">
        <v>740</v>
      </c>
      <c r="C2750" s="13" t="s">
        <v>970</v>
      </c>
      <c r="D2750" s="13" t="s">
        <v>969</v>
      </c>
      <c r="E2750" s="15"/>
      <c r="F2750" s="15">
        <f>SUM(F2751:F2753)</f>
        <v>9.8000000000000007</v>
      </c>
      <c r="G2750" s="14">
        <f>G2751</f>
        <v>44755</v>
      </c>
    </row>
    <row r="2751" spans="2:18" x14ac:dyDescent="0.15">
      <c r="C2751" s="2" t="s">
        <v>7</v>
      </c>
      <c r="D2751" s="2" t="s">
        <v>736</v>
      </c>
      <c r="E2751" s="3">
        <v>25</v>
      </c>
      <c r="F2751" s="3">
        <f>15/5</f>
        <v>3</v>
      </c>
      <c r="G2751" s="4">
        <v>44755</v>
      </c>
    </row>
    <row r="2752" spans="2:18" x14ac:dyDescent="0.15">
      <c r="C2752" s="2" t="s">
        <v>5</v>
      </c>
      <c r="D2752" s="2" t="s">
        <v>736</v>
      </c>
      <c r="E2752" s="3">
        <v>21</v>
      </c>
      <c r="F2752" s="3">
        <f>14/5</f>
        <v>2.8</v>
      </c>
      <c r="G2752" s="4">
        <v>44489</v>
      </c>
    </row>
    <row r="2753" spans="2:18" x14ac:dyDescent="0.15">
      <c r="C2753" s="2" t="s">
        <v>4</v>
      </c>
      <c r="D2753" s="2" t="s">
        <v>736</v>
      </c>
      <c r="E2753" s="3">
        <v>9.1</v>
      </c>
      <c r="F2753" s="3">
        <v>4</v>
      </c>
      <c r="G2753" s="4">
        <v>44131</v>
      </c>
    </row>
    <row r="2754" spans="2:18" x14ac:dyDescent="0.15">
      <c r="G2754" s="4"/>
    </row>
    <row r="2755" spans="2:18" s="12" customFormat="1" x14ac:dyDescent="0.15">
      <c r="B2755" s="12" t="s">
        <v>994</v>
      </c>
      <c r="C2755" s="13" t="s">
        <v>970</v>
      </c>
      <c r="D2755" s="13" t="s">
        <v>969</v>
      </c>
      <c r="E2755" s="15"/>
      <c r="F2755" s="15">
        <f>SUM(F2756:F2757)</f>
        <v>10.142857142857142</v>
      </c>
      <c r="G2755" s="14">
        <f>G2756</f>
        <v>44628</v>
      </c>
      <c r="M2755" s="13"/>
      <c r="N2755" s="13"/>
      <c r="O2755" s="13"/>
      <c r="P2755" s="13"/>
      <c r="Q2755" s="13"/>
      <c r="R2755" s="13"/>
    </row>
    <row r="2756" spans="2:18" x14ac:dyDescent="0.15">
      <c r="C2756" s="2" t="s">
        <v>7</v>
      </c>
      <c r="D2756" s="2" t="s">
        <v>865</v>
      </c>
      <c r="E2756" s="3">
        <v>50</v>
      </c>
      <c r="F2756" s="3">
        <f>E2756/7</f>
        <v>7.1428571428571432</v>
      </c>
      <c r="G2756" s="4">
        <v>44628</v>
      </c>
    </row>
    <row r="2757" spans="2:18" x14ac:dyDescent="0.15">
      <c r="C2757" s="2" t="s">
        <v>5</v>
      </c>
      <c r="D2757" s="2" t="s">
        <v>865</v>
      </c>
      <c r="E2757" s="3">
        <v>10</v>
      </c>
      <c r="F2757" s="3">
        <v>3</v>
      </c>
      <c r="G2757" s="4">
        <v>44378</v>
      </c>
    </row>
    <row r="2758" spans="2:18" x14ac:dyDescent="0.15">
      <c r="G2758" s="4"/>
    </row>
    <row r="2759" spans="2:18" s="12" customFormat="1" x14ac:dyDescent="0.15">
      <c r="B2759" s="12" t="s">
        <v>993</v>
      </c>
      <c r="C2759" s="13" t="s">
        <v>970</v>
      </c>
      <c r="D2759" s="13" t="s">
        <v>969</v>
      </c>
      <c r="E2759" s="15"/>
      <c r="F2759" s="15">
        <f>SUM(F2760:F2763)</f>
        <v>10</v>
      </c>
      <c r="G2759" s="14">
        <f>G2763</f>
        <v>44578</v>
      </c>
      <c r="M2759" s="13"/>
      <c r="N2759" s="13"/>
      <c r="O2759" s="13"/>
      <c r="P2759" s="13"/>
      <c r="Q2759" s="13"/>
      <c r="R2759" s="13"/>
    </row>
    <row r="2760" spans="2:18" x14ac:dyDescent="0.15">
      <c r="C2760" s="2" t="s">
        <v>5</v>
      </c>
      <c r="D2760" s="2" t="s">
        <v>874</v>
      </c>
      <c r="E2760" s="3">
        <v>30</v>
      </c>
      <c r="F2760" s="3">
        <v>4</v>
      </c>
      <c r="G2760" s="4">
        <v>44522</v>
      </c>
    </row>
    <row r="2761" spans="2:18" x14ac:dyDescent="0.15">
      <c r="C2761" s="2" t="s">
        <v>4</v>
      </c>
      <c r="D2761" s="2" t="s">
        <v>874</v>
      </c>
      <c r="E2761" s="3">
        <v>5.5</v>
      </c>
      <c r="F2761" s="3">
        <v>1</v>
      </c>
      <c r="G2761" s="4">
        <v>44096</v>
      </c>
    </row>
    <row r="2762" spans="2:18" x14ac:dyDescent="0.15">
      <c r="C2762" s="2" t="s">
        <v>4</v>
      </c>
      <c r="D2762" s="2" t="s">
        <v>874</v>
      </c>
      <c r="E2762" s="3">
        <v>2</v>
      </c>
      <c r="F2762" s="3">
        <v>2</v>
      </c>
      <c r="G2762" s="4">
        <v>43862</v>
      </c>
    </row>
    <row r="2763" spans="2:18" x14ac:dyDescent="0.15">
      <c r="C2763" s="2" t="s">
        <v>5</v>
      </c>
      <c r="D2763" s="2" t="s">
        <v>820</v>
      </c>
      <c r="E2763" s="3">
        <v>20</v>
      </c>
      <c r="F2763" s="3">
        <v>3</v>
      </c>
      <c r="G2763" s="4">
        <v>44578</v>
      </c>
    </row>
    <row r="2765" spans="2:18" s="12" customFormat="1" x14ac:dyDescent="0.15">
      <c r="B2765" s="12" t="s">
        <v>991</v>
      </c>
      <c r="C2765" s="13" t="s">
        <v>970</v>
      </c>
      <c r="D2765" s="13" t="s">
        <v>969</v>
      </c>
      <c r="E2765" s="15"/>
      <c r="F2765" s="15">
        <f>SUM(F2766:F2768)</f>
        <v>9.8000000000000007</v>
      </c>
      <c r="G2765" s="14">
        <f>G2767</f>
        <v>44455</v>
      </c>
      <c r="M2765" s="13"/>
      <c r="N2765" s="13"/>
      <c r="O2765" s="13"/>
      <c r="P2765" s="13"/>
      <c r="Q2765" s="13"/>
      <c r="R2765" s="13"/>
    </row>
    <row r="2766" spans="2:18" x14ac:dyDescent="0.15">
      <c r="C2766" s="2" t="s">
        <v>5</v>
      </c>
      <c r="D2766" s="2" t="s">
        <v>872</v>
      </c>
      <c r="E2766" s="3">
        <v>21.4</v>
      </c>
      <c r="F2766" s="3">
        <f>11.4/3</f>
        <v>3.8000000000000003</v>
      </c>
      <c r="G2766" s="4">
        <v>44232</v>
      </c>
    </row>
    <row r="2767" spans="2:18" x14ac:dyDescent="0.15">
      <c r="C2767" s="2" t="s">
        <v>5</v>
      </c>
      <c r="D2767" s="2" t="s">
        <v>721</v>
      </c>
      <c r="E2767" s="3">
        <v>20</v>
      </c>
      <c r="F2767" s="3">
        <v>5</v>
      </c>
      <c r="G2767" s="4">
        <v>44455</v>
      </c>
    </row>
    <row r="2768" spans="2:18" x14ac:dyDescent="0.15">
      <c r="C2768" s="169" t="s">
        <v>5</v>
      </c>
      <c r="D2768" s="169" t="s">
        <v>2044</v>
      </c>
      <c r="E2768" s="3">
        <v>18</v>
      </c>
      <c r="F2768" s="3">
        <v>1</v>
      </c>
      <c r="G2768" s="4">
        <v>43445</v>
      </c>
    </row>
    <row r="2769" spans="2:18" x14ac:dyDescent="0.15">
      <c r="G2769" s="4"/>
    </row>
    <row r="2770" spans="2:18" s="12" customFormat="1" x14ac:dyDescent="0.15">
      <c r="B2770" s="12" t="s">
        <v>992</v>
      </c>
      <c r="C2770" s="13" t="s">
        <v>970</v>
      </c>
      <c r="D2770" s="13" t="s">
        <v>969</v>
      </c>
      <c r="E2770" s="15"/>
      <c r="F2770" s="15">
        <f>SUM(F2771:F2776)</f>
        <v>9.5499999999999989</v>
      </c>
      <c r="G2770" s="14">
        <f>G2775</f>
        <v>44637</v>
      </c>
    </row>
    <row r="2771" spans="2:18" x14ac:dyDescent="0.15">
      <c r="C2771" s="2" t="s">
        <v>18</v>
      </c>
      <c r="D2771" s="2" t="s">
        <v>607</v>
      </c>
      <c r="E2771" s="3">
        <v>48</v>
      </c>
      <c r="F2771" s="3">
        <v>4</v>
      </c>
      <c r="G2771" s="4">
        <v>43888</v>
      </c>
      <c r="M2771" s="1"/>
      <c r="N2771" s="1"/>
      <c r="O2771" s="1"/>
      <c r="P2771" s="1"/>
      <c r="Q2771" s="1"/>
      <c r="R2771" s="1"/>
    </row>
    <row r="2772" spans="2:18" x14ac:dyDescent="0.15">
      <c r="C2772" s="2" t="s">
        <v>7</v>
      </c>
      <c r="D2772" s="2" t="s">
        <v>607</v>
      </c>
      <c r="E2772" s="3">
        <v>25</v>
      </c>
      <c r="F2772" s="3">
        <v>2</v>
      </c>
      <c r="G2772" s="4">
        <v>43440</v>
      </c>
      <c r="M2772" s="1"/>
      <c r="N2772" s="1"/>
      <c r="O2772" s="1"/>
      <c r="P2772" s="1"/>
      <c r="Q2772" s="1"/>
      <c r="R2772" s="1"/>
    </row>
    <row r="2773" spans="2:18" x14ac:dyDescent="0.15">
      <c r="C2773" s="2" t="s">
        <v>5</v>
      </c>
      <c r="D2773" s="2" t="s">
        <v>607</v>
      </c>
      <c r="E2773" s="3">
        <v>5.8</v>
      </c>
      <c r="F2773" s="3">
        <f>E2773/4</f>
        <v>1.45</v>
      </c>
      <c r="G2773" s="4">
        <v>43117</v>
      </c>
      <c r="M2773" s="1"/>
      <c r="N2773" s="1"/>
      <c r="O2773" s="1"/>
      <c r="P2773" s="1"/>
      <c r="Q2773" s="1"/>
      <c r="R2773" s="1"/>
    </row>
    <row r="2774" spans="2:18" x14ac:dyDescent="0.15">
      <c r="C2774" s="2" t="s">
        <v>4</v>
      </c>
      <c r="D2774" s="2" t="s">
        <v>607</v>
      </c>
      <c r="E2774" s="3">
        <v>3.3</v>
      </c>
      <c r="F2774" s="3">
        <v>0.5</v>
      </c>
      <c r="G2774" s="4">
        <v>42678</v>
      </c>
      <c r="M2774" s="1"/>
      <c r="N2774" s="1"/>
      <c r="O2774" s="1"/>
      <c r="P2774" s="1"/>
      <c r="Q2774" s="1"/>
      <c r="R2774" s="1"/>
    </row>
    <row r="2775" spans="2:18" x14ac:dyDescent="0.15">
      <c r="C2775" s="2" t="s">
        <v>5</v>
      </c>
      <c r="D2775" s="2" t="s">
        <v>302</v>
      </c>
      <c r="E2775" s="3">
        <v>10</v>
      </c>
      <c r="F2775" s="3">
        <v>1.4</v>
      </c>
      <c r="G2775" s="4">
        <v>44637</v>
      </c>
      <c r="M2775" s="1"/>
      <c r="N2775" s="1"/>
      <c r="O2775" s="1"/>
      <c r="P2775" s="1"/>
      <c r="Q2775" s="1"/>
      <c r="R2775" s="1"/>
    </row>
    <row r="2776" spans="2:18" x14ac:dyDescent="0.15">
      <c r="C2776" s="2" t="s">
        <v>4</v>
      </c>
      <c r="D2776" s="2" t="s">
        <v>302</v>
      </c>
      <c r="E2776" s="3">
        <v>1.8</v>
      </c>
      <c r="F2776" s="3">
        <v>0.2</v>
      </c>
      <c r="G2776" s="4">
        <v>42690</v>
      </c>
      <c r="M2776" s="1"/>
      <c r="N2776" s="1"/>
      <c r="O2776" s="1"/>
      <c r="P2776" s="1"/>
      <c r="Q2776" s="1"/>
      <c r="R2776" s="1"/>
    </row>
    <row r="2777" spans="2:18" x14ac:dyDescent="0.15">
      <c r="G2777" s="4"/>
      <c r="M2777" s="1"/>
      <c r="N2777" s="1"/>
      <c r="O2777" s="1"/>
      <c r="P2777" s="1"/>
      <c r="Q2777" s="1"/>
      <c r="R2777" s="1"/>
    </row>
    <row r="2778" spans="2:18" s="12" customFormat="1" x14ac:dyDescent="0.15">
      <c r="B2778" s="12" t="s">
        <v>274</v>
      </c>
      <c r="C2778" s="13" t="s">
        <v>970</v>
      </c>
      <c r="D2778" s="13" t="s">
        <v>969</v>
      </c>
      <c r="E2778" s="15"/>
      <c r="F2778" s="15">
        <f>SUM(F2779:F2780)</f>
        <v>8.9285714285714288</v>
      </c>
      <c r="G2778" s="14">
        <f>G2779</f>
        <v>44622</v>
      </c>
      <c r="M2778" s="13"/>
      <c r="N2778" s="13"/>
      <c r="O2778" s="13"/>
      <c r="P2778" s="13"/>
      <c r="Q2778" s="13"/>
      <c r="R2778" s="13"/>
    </row>
    <row r="2779" spans="2:18" x14ac:dyDescent="0.15">
      <c r="C2779" s="2" t="s">
        <v>8</v>
      </c>
      <c r="D2779" s="2" t="s">
        <v>258</v>
      </c>
      <c r="E2779" s="3">
        <v>111</v>
      </c>
      <c r="F2779" s="3">
        <f>97/14</f>
        <v>6.9285714285714288</v>
      </c>
      <c r="G2779" s="4">
        <v>44622</v>
      </c>
    </row>
    <row r="2780" spans="2:18" x14ac:dyDescent="0.15">
      <c r="C2780" s="2" t="s">
        <v>7</v>
      </c>
      <c r="D2780" s="2" t="s">
        <v>258</v>
      </c>
      <c r="E2780" s="3">
        <v>16</v>
      </c>
      <c r="F2780" s="3">
        <v>2</v>
      </c>
      <c r="G2780" s="4">
        <v>44009</v>
      </c>
    </row>
    <row r="2781" spans="2:18" x14ac:dyDescent="0.15">
      <c r="G2781" s="4"/>
    </row>
    <row r="2782" spans="2:18" s="12" customFormat="1" x14ac:dyDescent="0.15">
      <c r="B2782" s="12" t="s">
        <v>5273</v>
      </c>
      <c r="C2782" s="13" t="s">
        <v>970</v>
      </c>
      <c r="D2782" s="13" t="s">
        <v>969</v>
      </c>
      <c r="E2782" s="15"/>
      <c r="F2782" s="15">
        <f>SUM(F2783:F2784)</f>
        <v>9</v>
      </c>
      <c r="G2782" s="14">
        <f>G2783</f>
        <v>44319</v>
      </c>
      <c r="M2782" s="13"/>
      <c r="N2782" s="13"/>
      <c r="O2782" s="13"/>
      <c r="P2782" s="13"/>
      <c r="Q2782" s="13"/>
      <c r="R2782" s="13"/>
    </row>
    <row r="2783" spans="2:18" x14ac:dyDescent="0.15">
      <c r="B2783" s="99"/>
      <c r="C2783" s="100" t="s">
        <v>7</v>
      </c>
      <c r="D2783" s="100" t="s">
        <v>2106</v>
      </c>
      <c r="E2783" s="3">
        <v>56</v>
      </c>
      <c r="F2783" s="3">
        <v>8</v>
      </c>
      <c r="G2783" s="4">
        <v>44319</v>
      </c>
    </row>
    <row r="2784" spans="2:18" x14ac:dyDescent="0.15">
      <c r="C2784" s="100" t="s">
        <v>4</v>
      </c>
      <c r="D2784" s="100" t="s">
        <v>2106</v>
      </c>
      <c r="E2784" s="3">
        <v>2.5</v>
      </c>
      <c r="F2784" s="3">
        <v>1</v>
      </c>
      <c r="G2784" s="4">
        <v>43401</v>
      </c>
    </row>
    <row r="2785" spans="2:18" x14ac:dyDescent="0.15">
      <c r="C2785" s="100"/>
      <c r="D2785" s="100"/>
      <c r="G2785" s="4"/>
    </row>
    <row r="2786" spans="2:18" s="12" customFormat="1" x14ac:dyDescent="0.15">
      <c r="B2786" s="12" t="s">
        <v>6470</v>
      </c>
      <c r="C2786" s="13" t="s">
        <v>970</v>
      </c>
      <c r="D2786" s="13" t="s">
        <v>969</v>
      </c>
      <c r="E2786" s="15"/>
      <c r="F2786" s="15">
        <f>SUM(F2787:F2788)</f>
        <v>9</v>
      </c>
      <c r="G2786" s="14">
        <f>G2787</f>
        <v>44881</v>
      </c>
      <c r="M2786" s="13"/>
      <c r="N2786" s="13"/>
      <c r="O2786" s="13"/>
      <c r="P2786" s="13"/>
      <c r="Q2786" s="13"/>
      <c r="R2786" s="13"/>
    </row>
    <row r="2787" spans="2:18" x14ac:dyDescent="0.15">
      <c r="B2787" s="168"/>
      <c r="C2787" s="169" t="s">
        <v>7</v>
      </c>
      <c r="D2787" s="169" t="s">
        <v>2042</v>
      </c>
      <c r="E2787" s="3">
        <v>30</v>
      </c>
      <c r="F2787" s="3">
        <f>20/4</f>
        <v>5</v>
      </c>
      <c r="G2787" s="4">
        <v>44881</v>
      </c>
    </row>
    <row r="2788" spans="2:18" x14ac:dyDescent="0.15">
      <c r="B2788" s="168"/>
      <c r="C2788" s="169" t="s">
        <v>5</v>
      </c>
      <c r="D2788" s="169" t="s">
        <v>2042</v>
      </c>
      <c r="E2788" s="3">
        <v>11</v>
      </c>
      <c r="F2788" s="3">
        <v>4</v>
      </c>
      <c r="G2788" s="4">
        <v>44174</v>
      </c>
    </row>
    <row r="2789" spans="2:18" x14ac:dyDescent="0.15">
      <c r="G2789" s="4"/>
    </row>
    <row r="2790" spans="2:18" s="12" customFormat="1" x14ac:dyDescent="0.15">
      <c r="B2790" s="12" t="s">
        <v>307</v>
      </c>
      <c r="C2790" s="13" t="s">
        <v>970</v>
      </c>
      <c r="D2790" s="13" t="s">
        <v>969</v>
      </c>
      <c r="E2790" s="15"/>
      <c r="F2790" s="15">
        <f>SUM(F2791:F2796)</f>
        <v>8.9049999999999994</v>
      </c>
      <c r="G2790" s="14">
        <f>G2795</f>
        <v>44833</v>
      </c>
      <c r="M2790" s="13"/>
      <c r="N2790" s="13"/>
      <c r="O2790" s="13"/>
      <c r="P2790" s="13"/>
      <c r="Q2790" s="13"/>
      <c r="R2790" s="13"/>
    </row>
    <row r="2791" spans="2:18" x14ac:dyDescent="0.15">
      <c r="C2791" s="2" t="s">
        <v>4</v>
      </c>
      <c r="D2791" s="2" t="s">
        <v>302</v>
      </c>
      <c r="E2791" s="3">
        <v>4.5</v>
      </c>
      <c r="F2791" s="3">
        <v>0.5</v>
      </c>
      <c r="G2791" s="4">
        <v>44175</v>
      </c>
    </row>
    <row r="2792" spans="2:18" x14ac:dyDescent="0.15">
      <c r="C2792" s="2" t="s">
        <v>18</v>
      </c>
      <c r="D2792" s="2" t="s">
        <v>292</v>
      </c>
      <c r="E2792" s="3">
        <v>38</v>
      </c>
      <c r="F2792" s="3">
        <v>3</v>
      </c>
      <c r="G2792" s="4">
        <v>43104</v>
      </c>
    </row>
    <row r="2793" spans="2:18" x14ac:dyDescent="0.15">
      <c r="C2793" s="2" t="s">
        <v>7</v>
      </c>
      <c r="D2793" s="2" t="s">
        <v>292</v>
      </c>
      <c r="E2793" s="3">
        <v>6.9</v>
      </c>
      <c r="F2793" s="3">
        <f>E2793/5</f>
        <v>1.3800000000000001</v>
      </c>
      <c r="G2793" s="4">
        <v>42458</v>
      </c>
    </row>
    <row r="2794" spans="2:18" x14ac:dyDescent="0.15">
      <c r="C2794" s="2" t="s">
        <v>5</v>
      </c>
      <c r="D2794" s="2" t="s">
        <v>292</v>
      </c>
      <c r="E2794" s="3">
        <v>2.7</v>
      </c>
      <c r="F2794" s="3">
        <f>1.7/4</f>
        <v>0.42499999999999999</v>
      </c>
      <c r="G2794" s="4">
        <v>42139</v>
      </c>
    </row>
    <row r="2795" spans="2:18" x14ac:dyDescent="0.15">
      <c r="C2795" s="2" t="s">
        <v>5</v>
      </c>
      <c r="D2795" s="193" t="s">
        <v>2023</v>
      </c>
      <c r="E2795" s="3">
        <v>10</v>
      </c>
      <c r="F2795" s="3">
        <v>2</v>
      </c>
      <c r="G2795" s="4">
        <v>44833</v>
      </c>
    </row>
    <row r="2796" spans="2:18" x14ac:dyDescent="0.15">
      <c r="C2796" s="193" t="s">
        <v>4</v>
      </c>
      <c r="D2796" s="193" t="s">
        <v>2023</v>
      </c>
      <c r="E2796" s="3">
        <v>4.8</v>
      </c>
      <c r="F2796" s="3">
        <f>E2796/3</f>
        <v>1.5999999999999999</v>
      </c>
      <c r="G2796" s="4">
        <v>44720</v>
      </c>
    </row>
    <row r="2797" spans="2:18" x14ac:dyDescent="0.15">
      <c r="G2797" s="4"/>
    </row>
    <row r="2798" spans="2:18" s="12" customFormat="1" x14ac:dyDescent="0.15">
      <c r="B2798" s="12" t="s">
        <v>267</v>
      </c>
      <c r="C2798" s="13" t="s">
        <v>970</v>
      </c>
      <c r="D2798" s="13" t="s">
        <v>969</v>
      </c>
      <c r="E2798" s="15"/>
      <c r="F2798" s="15">
        <f>SUM(F2799:F2801)</f>
        <v>9.2916666666666661</v>
      </c>
      <c r="G2798" s="14">
        <f>G2799</f>
        <v>44314</v>
      </c>
      <c r="M2798" s="13"/>
      <c r="N2798" s="13"/>
      <c r="O2798" s="13"/>
      <c r="P2798" s="13"/>
      <c r="Q2798" s="13"/>
      <c r="R2798" s="13"/>
    </row>
    <row r="2799" spans="2:18" x14ac:dyDescent="0.15">
      <c r="C2799" s="2" t="s">
        <v>18</v>
      </c>
      <c r="D2799" s="2" t="s">
        <v>258</v>
      </c>
      <c r="E2799" s="3">
        <v>55</v>
      </c>
      <c r="F2799" s="3">
        <v>5.625</v>
      </c>
      <c r="G2799" s="4">
        <v>44314</v>
      </c>
    </row>
    <row r="2800" spans="2:18" x14ac:dyDescent="0.15">
      <c r="C2800" s="2" t="s">
        <v>7</v>
      </c>
      <c r="D2800" s="2" t="s">
        <v>258</v>
      </c>
      <c r="E2800" s="3">
        <v>16</v>
      </c>
      <c r="F2800" s="3">
        <v>2</v>
      </c>
      <c r="G2800" s="4">
        <v>44009</v>
      </c>
    </row>
    <row r="2801" spans="2:18" x14ac:dyDescent="0.15">
      <c r="C2801" s="2" t="s">
        <v>5</v>
      </c>
      <c r="D2801" s="2" t="s">
        <v>258</v>
      </c>
      <c r="E2801" s="3">
        <v>14</v>
      </c>
      <c r="F2801" s="3">
        <v>1.6666666666666667</v>
      </c>
      <c r="G2801" s="4">
        <v>43690</v>
      </c>
    </row>
    <row r="2802" spans="2:18" x14ac:dyDescent="0.15">
      <c r="G2802" s="4"/>
    </row>
    <row r="2803" spans="2:18" s="12" customFormat="1" x14ac:dyDescent="0.15">
      <c r="B2803" s="12" t="s">
        <v>276</v>
      </c>
      <c r="C2803" s="13" t="s">
        <v>970</v>
      </c>
      <c r="D2803" s="13" t="s">
        <v>969</v>
      </c>
      <c r="E2803" s="15"/>
      <c r="F2803" s="15">
        <f>SUM(F2804:F2805)</f>
        <v>8.9285714285714288</v>
      </c>
      <c r="G2803" s="14">
        <f>G2804</f>
        <v>44622</v>
      </c>
      <c r="M2803" s="13"/>
      <c r="N2803" s="13"/>
      <c r="O2803" s="13"/>
      <c r="P2803" s="13"/>
      <c r="Q2803" s="13"/>
      <c r="R2803" s="13"/>
    </row>
    <row r="2804" spans="2:18" x14ac:dyDescent="0.15">
      <c r="C2804" s="2" t="s">
        <v>8</v>
      </c>
      <c r="D2804" s="2" t="s">
        <v>258</v>
      </c>
      <c r="E2804" s="3">
        <v>111</v>
      </c>
      <c r="F2804" s="3">
        <f>97/14</f>
        <v>6.9285714285714288</v>
      </c>
      <c r="G2804" s="4">
        <v>44622</v>
      </c>
    </row>
    <row r="2805" spans="2:18" x14ac:dyDescent="0.15">
      <c r="C2805" s="2" t="s">
        <v>7</v>
      </c>
      <c r="D2805" s="2" t="s">
        <v>258</v>
      </c>
      <c r="E2805" s="3">
        <v>16</v>
      </c>
      <c r="F2805" s="3">
        <v>2</v>
      </c>
      <c r="G2805" s="4">
        <v>44009</v>
      </c>
    </row>
    <row r="2806" spans="2:18" x14ac:dyDescent="0.15">
      <c r="G2806" s="4"/>
    </row>
    <row r="2807" spans="2:18" s="12" customFormat="1" x14ac:dyDescent="0.15">
      <c r="B2807" s="12" t="s">
        <v>6435</v>
      </c>
      <c r="C2807" s="13" t="s">
        <v>970</v>
      </c>
      <c r="D2807" s="13" t="s">
        <v>969</v>
      </c>
      <c r="E2807" s="15"/>
      <c r="F2807" s="15">
        <f>SUM(F2808:F2810)</f>
        <v>9.15</v>
      </c>
      <c r="G2807" s="14">
        <f>G2808</f>
        <v>44831</v>
      </c>
      <c r="M2807" s="13"/>
      <c r="N2807" s="13"/>
      <c r="O2807" s="13"/>
      <c r="P2807" s="13"/>
      <c r="Q2807" s="13"/>
      <c r="R2807" s="13"/>
    </row>
    <row r="2808" spans="2:18" x14ac:dyDescent="0.15">
      <c r="B2808" s="168"/>
      <c r="C2808" s="169" t="s">
        <v>7</v>
      </c>
      <c r="D2808" s="169" t="s">
        <v>2046</v>
      </c>
      <c r="E2808" s="3">
        <v>42</v>
      </c>
      <c r="F2808" s="3">
        <f>22/4</f>
        <v>5.5</v>
      </c>
      <c r="G2808" s="4">
        <v>44831</v>
      </c>
    </row>
    <row r="2809" spans="2:18" x14ac:dyDescent="0.15">
      <c r="B2809" s="168"/>
      <c r="C2809" s="169" t="s">
        <v>5</v>
      </c>
      <c r="D2809" s="169" t="s">
        <v>2046</v>
      </c>
      <c r="E2809" s="3">
        <v>15</v>
      </c>
      <c r="F2809" s="3">
        <f>10/5</f>
        <v>2</v>
      </c>
      <c r="G2809" s="4">
        <v>44174</v>
      </c>
    </row>
    <row r="2810" spans="2:18" x14ac:dyDescent="0.15">
      <c r="B2810" s="168"/>
      <c r="C2810" s="169" t="s">
        <v>4</v>
      </c>
      <c r="D2810" s="169" t="s">
        <v>2046</v>
      </c>
      <c r="E2810" s="3">
        <v>3.3</v>
      </c>
      <c r="F2810" s="3">
        <f>E2810/2</f>
        <v>1.65</v>
      </c>
      <c r="G2810" s="4">
        <v>43810</v>
      </c>
    </row>
    <row r="2811" spans="2:18" x14ac:dyDescent="0.15">
      <c r="B2811" s="168"/>
      <c r="C2811" s="169"/>
      <c r="D2811" s="169"/>
      <c r="G2811" s="4"/>
    </row>
    <row r="2812" spans="2:18" s="12" customFormat="1" x14ac:dyDescent="0.15">
      <c r="B2812" s="12" t="s">
        <v>873</v>
      </c>
      <c r="C2812" s="13" t="s">
        <v>970</v>
      </c>
      <c r="D2812" s="13" t="s">
        <v>969</v>
      </c>
      <c r="E2812" s="15"/>
      <c r="F2812" s="15">
        <f>SUM(F2813:F2814)</f>
        <v>8.8000000000000007</v>
      </c>
      <c r="G2812" s="14">
        <f>G2814</f>
        <v>44238</v>
      </c>
      <c r="M2812" s="13"/>
      <c r="N2812" s="13"/>
      <c r="O2812" s="13"/>
      <c r="P2812" s="13"/>
      <c r="Q2812" s="13"/>
      <c r="R2812" s="13"/>
    </row>
    <row r="2813" spans="2:18" x14ac:dyDescent="0.15">
      <c r="C2813" s="2" t="s">
        <v>5</v>
      </c>
      <c r="D2813" s="2" t="s">
        <v>872</v>
      </c>
      <c r="E2813" s="3">
        <v>21.4</v>
      </c>
      <c r="F2813" s="3">
        <f>11.4/3</f>
        <v>3.8000000000000003</v>
      </c>
      <c r="G2813" s="4">
        <v>44232</v>
      </c>
    </row>
    <row r="2814" spans="2:18" x14ac:dyDescent="0.15">
      <c r="C2814" s="62" t="s">
        <v>18</v>
      </c>
      <c r="D2814" s="62" t="s">
        <v>2114</v>
      </c>
      <c r="E2814" s="3">
        <v>40</v>
      </c>
      <c r="F2814" s="3">
        <v>5</v>
      </c>
      <c r="G2814" s="4">
        <v>44238</v>
      </c>
      <c r="J2814" s="1">
        <v>790</v>
      </c>
    </row>
    <row r="2815" spans="2:18" x14ac:dyDescent="0.15">
      <c r="G2815" s="4"/>
    </row>
    <row r="2816" spans="2:18" s="12" customFormat="1" x14ac:dyDescent="0.15">
      <c r="B2816" s="12" t="s">
        <v>6436</v>
      </c>
      <c r="C2816" s="13" t="s">
        <v>970</v>
      </c>
      <c r="D2816" s="13" t="s">
        <v>969</v>
      </c>
      <c r="E2816" s="15"/>
      <c r="F2816" s="15">
        <f>SUM(F2817:F2818)</f>
        <v>7.5</v>
      </c>
      <c r="G2816" s="14">
        <f>G2817</f>
        <v>44831</v>
      </c>
      <c r="M2816" s="13"/>
      <c r="N2816" s="13"/>
      <c r="O2816" s="13"/>
      <c r="P2816" s="13"/>
      <c r="Q2816" s="13"/>
      <c r="R2816" s="13"/>
    </row>
    <row r="2817" spans="2:18" x14ac:dyDescent="0.15">
      <c r="B2817" s="168"/>
      <c r="C2817" s="169" t="s">
        <v>7</v>
      </c>
      <c r="D2817" s="169" t="s">
        <v>2046</v>
      </c>
      <c r="E2817" s="3">
        <v>42</v>
      </c>
      <c r="F2817" s="3">
        <f>22/4</f>
        <v>5.5</v>
      </c>
      <c r="G2817" s="4">
        <v>44831</v>
      </c>
    </row>
    <row r="2818" spans="2:18" x14ac:dyDescent="0.15">
      <c r="B2818" s="168"/>
      <c r="C2818" s="169" t="s">
        <v>5</v>
      </c>
      <c r="D2818" s="169" t="s">
        <v>2046</v>
      </c>
      <c r="E2818" s="3">
        <v>15</v>
      </c>
      <c r="F2818" s="3">
        <f>10/5</f>
        <v>2</v>
      </c>
      <c r="G2818" s="4">
        <v>44174</v>
      </c>
    </row>
    <row r="2819" spans="2:18" x14ac:dyDescent="0.15">
      <c r="B2819" s="168"/>
      <c r="C2819" s="169"/>
      <c r="D2819" s="169"/>
      <c r="G2819" s="4"/>
    </row>
    <row r="2820" spans="2:18" s="12" customFormat="1" x14ac:dyDescent="0.15">
      <c r="B2820" s="12" t="s">
        <v>179</v>
      </c>
      <c r="C2820" s="13" t="s">
        <v>970</v>
      </c>
      <c r="D2820" s="13" t="s">
        <v>969</v>
      </c>
      <c r="E2820" s="15"/>
      <c r="F2820" s="15">
        <f>SUM(F2821:F2822)</f>
        <v>7.9666666666666668</v>
      </c>
      <c r="G2820" s="14">
        <f>G2821</f>
        <v>41437</v>
      </c>
      <c r="M2820" s="13"/>
      <c r="N2820" s="13"/>
      <c r="O2820" s="13"/>
      <c r="P2820" s="13"/>
      <c r="Q2820" s="13"/>
      <c r="R2820" s="13"/>
    </row>
    <row r="2821" spans="2:18" x14ac:dyDescent="0.15">
      <c r="C2821" s="2" t="s">
        <v>18</v>
      </c>
      <c r="D2821" s="2" t="s">
        <v>176</v>
      </c>
      <c r="E2821" s="3">
        <v>34</v>
      </c>
      <c r="F2821" s="3">
        <f>14/3</f>
        <v>4.666666666666667</v>
      </c>
      <c r="G2821" s="4">
        <v>41437</v>
      </c>
    </row>
    <row r="2822" spans="2:18" x14ac:dyDescent="0.15">
      <c r="C2822" s="2" t="s">
        <v>7</v>
      </c>
      <c r="D2822" s="2" t="s">
        <v>176</v>
      </c>
      <c r="E2822" s="3">
        <v>16.5</v>
      </c>
      <c r="F2822" s="3">
        <f>E2822/5</f>
        <v>3.3</v>
      </c>
      <c r="G2822" s="4">
        <v>41176</v>
      </c>
    </row>
    <row r="2823" spans="2:18" x14ac:dyDescent="0.15">
      <c r="G2823" s="4"/>
    </row>
    <row r="2824" spans="2:18" s="12" customFormat="1" x14ac:dyDescent="0.15">
      <c r="B2824" s="12" t="s">
        <v>6746</v>
      </c>
      <c r="C2824" s="13" t="s">
        <v>970</v>
      </c>
      <c r="D2824" s="13" t="s">
        <v>969</v>
      </c>
      <c r="E2824" s="15"/>
      <c r="F2824" s="15">
        <f>SUM(F2825:F2826)</f>
        <v>7.8571428571428577</v>
      </c>
      <c r="G2824" s="14">
        <f>G2825</f>
        <v>43178</v>
      </c>
      <c r="M2824" s="13"/>
      <c r="N2824" s="13"/>
      <c r="O2824" s="13"/>
      <c r="P2824" s="13"/>
      <c r="Q2824" s="13"/>
      <c r="R2824" s="13"/>
    </row>
    <row r="2825" spans="2:18" x14ac:dyDescent="0.15">
      <c r="C2825" s="2" t="s">
        <v>8</v>
      </c>
      <c r="D2825" s="2" t="s">
        <v>102</v>
      </c>
      <c r="E2825" s="3">
        <v>30</v>
      </c>
      <c r="F2825" s="3">
        <f>20/7</f>
        <v>2.8571428571428572</v>
      </c>
      <c r="G2825" s="4">
        <v>43178</v>
      </c>
    </row>
    <row r="2826" spans="2:18" x14ac:dyDescent="0.15">
      <c r="C2826" s="62" t="s">
        <v>18</v>
      </c>
      <c r="D2826" s="62" t="s">
        <v>2117</v>
      </c>
      <c r="E2826" s="3">
        <v>40</v>
      </c>
      <c r="F2826" s="3">
        <v>5</v>
      </c>
      <c r="G2826" s="4">
        <v>43069</v>
      </c>
      <c r="J2826" s="1">
        <v>1600</v>
      </c>
    </row>
    <row r="2827" spans="2:18" x14ac:dyDescent="0.15">
      <c r="G2827" s="4"/>
    </row>
    <row r="2828" spans="2:18" s="12" customFormat="1" x14ac:dyDescent="0.15">
      <c r="B2828" s="12" t="s">
        <v>460</v>
      </c>
      <c r="C2828" s="13" t="s">
        <v>970</v>
      </c>
      <c r="D2828" s="13" t="s">
        <v>969</v>
      </c>
      <c r="E2828" s="15"/>
      <c r="F2828" s="15">
        <f>SUM(F2829:F2830)</f>
        <v>8.3000000000000007</v>
      </c>
      <c r="G2828" s="14">
        <f>G2829</f>
        <v>44600</v>
      </c>
    </row>
    <row r="2829" spans="2:18" x14ac:dyDescent="0.15">
      <c r="C2829" s="2" t="s">
        <v>7</v>
      </c>
      <c r="D2829" s="2" t="s">
        <v>457</v>
      </c>
      <c r="E2829" s="3">
        <v>26.8</v>
      </c>
      <c r="F2829" s="3">
        <v>4</v>
      </c>
      <c r="G2829" s="4">
        <v>44600</v>
      </c>
      <c r="M2829" s="1"/>
      <c r="N2829" s="1"/>
      <c r="O2829" s="1"/>
      <c r="P2829" s="1"/>
      <c r="Q2829" s="1"/>
      <c r="R2829" s="1"/>
    </row>
    <row r="2830" spans="2:18" x14ac:dyDescent="0.15">
      <c r="C2830" s="2" t="s">
        <v>5</v>
      </c>
      <c r="D2830" s="2" t="s">
        <v>457</v>
      </c>
      <c r="E2830" s="3">
        <v>8.3000000000000007</v>
      </c>
      <c r="F2830" s="3">
        <v>4.3</v>
      </c>
      <c r="G2830" s="4">
        <v>44053</v>
      </c>
      <c r="M2830" s="1"/>
      <c r="N2830" s="1"/>
      <c r="O2830" s="1"/>
      <c r="P2830" s="1"/>
      <c r="Q2830" s="1"/>
      <c r="R2830" s="1"/>
    </row>
    <row r="2831" spans="2:18" x14ac:dyDescent="0.15">
      <c r="G2831" s="4"/>
      <c r="M2831" s="1"/>
      <c r="N2831" s="1"/>
      <c r="O2831" s="1"/>
      <c r="P2831" s="1"/>
      <c r="Q2831" s="1"/>
      <c r="R2831" s="1"/>
    </row>
    <row r="2832" spans="2:18" s="12" customFormat="1" x14ac:dyDescent="0.15">
      <c r="B2832" s="12" t="s">
        <v>558</v>
      </c>
      <c r="C2832" s="13" t="s">
        <v>970</v>
      </c>
      <c r="D2832" s="13" t="s">
        <v>969</v>
      </c>
      <c r="E2832" s="15"/>
      <c r="F2832" s="15">
        <f>SUM(F2833:F2834)</f>
        <v>7.5</v>
      </c>
      <c r="G2832" s="14">
        <f>G2833</f>
        <v>45077</v>
      </c>
    </row>
    <row r="2833" spans="2:18" x14ac:dyDescent="0.15">
      <c r="C2833" s="2" t="s">
        <v>7</v>
      </c>
      <c r="D2833" s="2" t="s">
        <v>549</v>
      </c>
      <c r="E2833" s="3">
        <v>20</v>
      </c>
      <c r="F2833" s="3">
        <f>12/6</f>
        <v>2</v>
      </c>
      <c r="G2833" s="4">
        <v>45077</v>
      </c>
      <c r="M2833" s="1"/>
      <c r="N2833" s="1"/>
      <c r="O2833" s="1"/>
      <c r="P2833" s="1"/>
      <c r="Q2833" s="1"/>
      <c r="R2833" s="1"/>
    </row>
    <row r="2834" spans="2:18" x14ac:dyDescent="0.15">
      <c r="C2834" s="2" t="s">
        <v>5</v>
      </c>
      <c r="D2834" s="2" t="s">
        <v>549</v>
      </c>
      <c r="E2834" s="3">
        <v>10.5</v>
      </c>
      <c r="F2834" s="3">
        <v>5.5</v>
      </c>
      <c r="G2834" s="4">
        <v>44341</v>
      </c>
      <c r="M2834" s="1"/>
      <c r="N2834" s="1"/>
      <c r="O2834" s="1"/>
      <c r="P2834" s="1"/>
      <c r="Q2834" s="1"/>
      <c r="R2834" s="1"/>
    </row>
    <row r="2835" spans="2:18" x14ac:dyDescent="0.15">
      <c r="G2835" s="4"/>
      <c r="M2835" s="1"/>
      <c r="N2835" s="1"/>
      <c r="O2835" s="1"/>
      <c r="P2835" s="1"/>
      <c r="Q2835" s="1"/>
      <c r="R2835" s="1"/>
    </row>
    <row r="2836" spans="2:18" s="12" customFormat="1" x14ac:dyDescent="0.15">
      <c r="B2836" s="12" t="s">
        <v>451</v>
      </c>
      <c r="C2836" s="13" t="s">
        <v>970</v>
      </c>
      <c r="D2836" s="13" t="s">
        <v>969</v>
      </c>
      <c r="E2836" s="15"/>
      <c r="F2836" s="15">
        <f>SUM(F2837:F2838)</f>
        <v>8.2954545454545467</v>
      </c>
      <c r="G2836" s="14">
        <f>G2837</f>
        <v>44776</v>
      </c>
    </row>
    <row r="2837" spans="2:18" x14ac:dyDescent="0.15">
      <c r="C2837" s="2" t="s">
        <v>8</v>
      </c>
      <c r="D2837" s="2" t="s">
        <v>449</v>
      </c>
      <c r="E2837" s="3">
        <v>90</v>
      </c>
      <c r="F2837" s="3">
        <f>50/11</f>
        <v>4.5454545454545459</v>
      </c>
      <c r="G2837" s="4">
        <v>44776</v>
      </c>
      <c r="M2837" s="1"/>
      <c r="N2837" s="1"/>
      <c r="O2837" s="1"/>
      <c r="P2837" s="1"/>
      <c r="Q2837" s="1"/>
      <c r="R2837" s="1"/>
    </row>
    <row r="2838" spans="2:18" x14ac:dyDescent="0.15">
      <c r="C2838" s="2" t="s">
        <v>18</v>
      </c>
      <c r="D2838" s="2" t="s">
        <v>449</v>
      </c>
      <c r="E2838" s="3">
        <v>40</v>
      </c>
      <c r="F2838" s="3">
        <v>3.75</v>
      </c>
      <c r="G2838" s="4">
        <v>44176</v>
      </c>
      <c r="M2838" s="1"/>
      <c r="N2838" s="1"/>
      <c r="O2838" s="1"/>
      <c r="P2838" s="1"/>
      <c r="Q2838" s="1"/>
      <c r="R2838" s="1"/>
    </row>
    <row r="2839" spans="2:18" x14ac:dyDescent="0.15">
      <c r="G2839" s="4"/>
      <c r="M2839" s="1"/>
      <c r="N2839" s="1"/>
      <c r="O2839" s="1"/>
      <c r="P2839" s="1"/>
      <c r="Q2839" s="1"/>
      <c r="R2839" s="1"/>
    </row>
    <row r="2840" spans="2:18" s="12" customFormat="1" x14ac:dyDescent="0.15">
      <c r="B2840" s="12" t="s">
        <v>433</v>
      </c>
      <c r="C2840" s="13" t="s">
        <v>970</v>
      </c>
      <c r="D2840" s="13" t="s">
        <v>969</v>
      </c>
      <c r="E2840" s="15"/>
      <c r="F2840" s="15">
        <f>SUM(F2841:F2842)</f>
        <v>8</v>
      </c>
      <c r="G2840" s="14">
        <f>G2842</f>
        <v>43355</v>
      </c>
    </row>
    <row r="2841" spans="2:18" x14ac:dyDescent="0.15">
      <c r="C2841" s="2" t="s">
        <v>5</v>
      </c>
      <c r="D2841" s="2" t="s">
        <v>432</v>
      </c>
      <c r="E2841" s="3">
        <v>15</v>
      </c>
      <c r="F2841" s="3">
        <v>3</v>
      </c>
      <c r="G2841" s="4">
        <v>42690</v>
      </c>
      <c r="M2841" s="1"/>
      <c r="N2841" s="1"/>
      <c r="O2841" s="1"/>
      <c r="P2841" s="1"/>
      <c r="Q2841" s="1"/>
      <c r="R2841" s="1"/>
    </row>
    <row r="2842" spans="2:18" x14ac:dyDescent="0.15">
      <c r="C2842" s="2" t="s">
        <v>5</v>
      </c>
      <c r="D2842" s="2" t="s">
        <v>431</v>
      </c>
      <c r="E2842" s="3">
        <v>5</v>
      </c>
      <c r="F2842" s="3">
        <v>5</v>
      </c>
      <c r="G2842" s="4">
        <v>43355</v>
      </c>
      <c r="M2842" s="1"/>
      <c r="N2842" s="1"/>
      <c r="O2842" s="1"/>
      <c r="P2842" s="1"/>
      <c r="Q2842" s="1"/>
      <c r="R2842" s="1"/>
    </row>
    <row r="2843" spans="2:18" x14ac:dyDescent="0.15">
      <c r="G2843" s="4"/>
      <c r="M2843" s="1"/>
      <c r="N2843" s="1"/>
      <c r="O2843" s="1"/>
      <c r="P2843" s="1"/>
      <c r="Q2843" s="1"/>
      <c r="R2843" s="1"/>
    </row>
    <row r="2844" spans="2:18" s="12" customFormat="1" x14ac:dyDescent="0.15">
      <c r="B2844" s="12" t="s">
        <v>735</v>
      </c>
      <c r="C2844" s="13" t="s">
        <v>970</v>
      </c>
      <c r="D2844" s="13" t="s">
        <v>969</v>
      </c>
      <c r="E2844" s="15"/>
      <c r="F2844" s="15">
        <f>SUM(F2845:F2846)</f>
        <v>7.5</v>
      </c>
      <c r="G2844" s="14">
        <f>G2845</f>
        <v>44757</v>
      </c>
    </row>
    <row r="2845" spans="2:18" x14ac:dyDescent="0.15">
      <c r="C2845" s="2" t="s">
        <v>5</v>
      </c>
      <c r="D2845" s="2" t="s">
        <v>731</v>
      </c>
      <c r="E2845" s="3">
        <v>25</v>
      </c>
      <c r="F2845" s="3">
        <v>7</v>
      </c>
      <c r="G2845" s="4">
        <v>44757</v>
      </c>
    </row>
    <row r="2846" spans="2:18" x14ac:dyDescent="0.15">
      <c r="C2846" s="2" t="s">
        <v>4</v>
      </c>
      <c r="D2846" s="2" t="s">
        <v>731</v>
      </c>
      <c r="E2846" s="3">
        <v>4</v>
      </c>
      <c r="F2846" s="3">
        <v>0.5</v>
      </c>
      <c r="G2846" s="4">
        <v>44340</v>
      </c>
    </row>
    <row r="2847" spans="2:18" x14ac:dyDescent="0.15">
      <c r="G2847" s="4"/>
    </row>
    <row r="2848" spans="2:18" s="12" customFormat="1" x14ac:dyDescent="0.15">
      <c r="B2848" s="12" t="s">
        <v>990</v>
      </c>
      <c r="C2848" s="13" t="s">
        <v>970</v>
      </c>
      <c r="D2848" s="13" t="s">
        <v>969</v>
      </c>
      <c r="E2848" s="15"/>
      <c r="F2848" s="15">
        <f>SUM(F2849:F2850)</f>
        <v>7.5</v>
      </c>
      <c r="G2848" s="14">
        <f>G2849</f>
        <v>44796</v>
      </c>
      <c r="M2848" s="13"/>
      <c r="N2848" s="13"/>
      <c r="O2848" s="13"/>
      <c r="P2848" s="13"/>
      <c r="Q2848" s="13"/>
      <c r="R2848" s="13"/>
    </row>
    <row r="2849" spans="2:18" x14ac:dyDescent="0.15">
      <c r="C2849" s="2" t="s">
        <v>5</v>
      </c>
      <c r="D2849" s="2" t="s">
        <v>702</v>
      </c>
      <c r="E2849" s="3">
        <v>50</v>
      </c>
      <c r="F2849" s="3">
        <f>30/12</f>
        <v>2.5</v>
      </c>
      <c r="G2849" s="4">
        <v>44796</v>
      </c>
    </row>
    <row r="2850" spans="2:18" x14ac:dyDescent="0.15">
      <c r="C2850" s="2" t="s">
        <v>4</v>
      </c>
      <c r="D2850" s="2" t="s">
        <v>702</v>
      </c>
      <c r="E2850" s="3">
        <v>12.5</v>
      </c>
      <c r="F2850" s="3">
        <v>5</v>
      </c>
      <c r="G2850" s="4">
        <v>44623</v>
      </c>
    </row>
    <row r="2852" spans="2:18" s="12" customFormat="1" x14ac:dyDescent="0.15">
      <c r="B2852" s="12" t="s">
        <v>180</v>
      </c>
      <c r="C2852" s="13" t="s">
        <v>970</v>
      </c>
      <c r="D2852" s="13" t="s">
        <v>969</v>
      </c>
      <c r="E2852" s="15"/>
      <c r="F2852" s="15">
        <f>SUM(F2853:F2854)</f>
        <v>7.9666666666666668</v>
      </c>
      <c r="G2852" s="14">
        <f>G2853</f>
        <v>41437</v>
      </c>
      <c r="M2852" s="13"/>
      <c r="N2852" s="13"/>
      <c r="O2852" s="13"/>
      <c r="P2852" s="13"/>
      <c r="Q2852" s="13"/>
      <c r="R2852" s="13"/>
    </row>
    <row r="2853" spans="2:18" x14ac:dyDescent="0.15">
      <c r="C2853" s="2" t="s">
        <v>18</v>
      </c>
      <c r="D2853" s="2" t="s">
        <v>176</v>
      </c>
      <c r="E2853" s="3">
        <v>34</v>
      </c>
      <c r="F2853" s="3">
        <f>14/3</f>
        <v>4.666666666666667</v>
      </c>
      <c r="G2853" s="4">
        <v>41437</v>
      </c>
    </row>
    <row r="2854" spans="2:18" x14ac:dyDescent="0.15">
      <c r="C2854" s="2" t="s">
        <v>7</v>
      </c>
      <c r="D2854" s="2" t="s">
        <v>176</v>
      </c>
      <c r="E2854" s="3">
        <v>16.5</v>
      </c>
      <c r="F2854" s="3">
        <f>E2854/5</f>
        <v>3.3</v>
      </c>
      <c r="G2854" s="4">
        <v>41176</v>
      </c>
    </row>
    <row r="2855" spans="2:18" x14ac:dyDescent="0.15">
      <c r="G2855" s="4"/>
    </row>
    <row r="2856" spans="2:18" s="12" customFormat="1" x14ac:dyDescent="0.15">
      <c r="B2856" s="12" t="s">
        <v>6617</v>
      </c>
      <c r="C2856" s="13" t="s">
        <v>970</v>
      </c>
      <c r="D2856" s="13" t="s">
        <v>969</v>
      </c>
      <c r="E2856" s="15"/>
      <c r="F2856" s="15">
        <f>SUM(F2857:F2858)</f>
        <v>8</v>
      </c>
      <c r="G2856" s="14">
        <f>G2857</f>
        <v>44572</v>
      </c>
      <c r="M2856" s="13"/>
      <c r="N2856" s="13"/>
      <c r="O2856" s="13"/>
      <c r="P2856" s="13"/>
      <c r="Q2856" s="13"/>
      <c r="R2856" s="13"/>
    </row>
    <row r="2857" spans="2:18" x14ac:dyDescent="0.15">
      <c r="B2857" s="168"/>
      <c r="C2857" s="169" t="s">
        <v>7</v>
      </c>
      <c r="D2857" s="169" t="s">
        <v>2039</v>
      </c>
      <c r="E2857" s="3">
        <v>25</v>
      </c>
      <c r="F2857" s="3">
        <v>5</v>
      </c>
      <c r="G2857" s="4">
        <v>44572</v>
      </c>
    </row>
    <row r="2858" spans="2:18" x14ac:dyDescent="0.15">
      <c r="B2858" s="168"/>
      <c r="C2858" s="169" t="s">
        <v>5</v>
      </c>
      <c r="D2858" s="169" t="s">
        <v>2039</v>
      </c>
      <c r="E2858" s="3">
        <v>5</v>
      </c>
      <c r="F2858" s="3">
        <v>3</v>
      </c>
      <c r="G2858" s="4">
        <v>43888</v>
      </c>
    </row>
    <row r="2859" spans="2:18" x14ac:dyDescent="0.15">
      <c r="B2859" s="168"/>
      <c r="C2859" s="169"/>
      <c r="D2859" s="169"/>
      <c r="G2859" s="4"/>
    </row>
    <row r="2860" spans="2:18" s="12" customFormat="1" x14ac:dyDescent="0.15">
      <c r="B2860" s="12" t="s">
        <v>6469</v>
      </c>
      <c r="C2860" s="13" t="s">
        <v>970</v>
      </c>
      <c r="D2860" s="13" t="s">
        <v>969</v>
      </c>
      <c r="E2860" s="15"/>
      <c r="F2860" s="15">
        <f>SUM(F2861:F2863)</f>
        <v>7.75</v>
      </c>
      <c r="G2860" s="14">
        <f>G2861</f>
        <v>44881</v>
      </c>
      <c r="M2860" s="13"/>
      <c r="N2860" s="13"/>
      <c r="O2860" s="13"/>
      <c r="P2860" s="13"/>
      <c r="Q2860" s="13"/>
      <c r="R2860" s="13"/>
    </row>
    <row r="2861" spans="2:18" x14ac:dyDescent="0.15">
      <c r="B2861" s="168"/>
      <c r="C2861" s="169" t="s">
        <v>7</v>
      </c>
      <c r="D2861" s="169" t="s">
        <v>2042</v>
      </c>
      <c r="E2861" s="3">
        <v>30</v>
      </c>
      <c r="F2861" s="3">
        <f>20/4</f>
        <v>5</v>
      </c>
      <c r="G2861" s="4">
        <v>44881</v>
      </c>
    </row>
    <row r="2862" spans="2:18" x14ac:dyDescent="0.15">
      <c r="B2862" s="168"/>
      <c r="C2862" s="169" t="s">
        <v>5</v>
      </c>
      <c r="D2862" s="169" t="s">
        <v>2042</v>
      </c>
      <c r="E2862" s="3">
        <v>11</v>
      </c>
      <c r="F2862" s="3">
        <v>1.75</v>
      </c>
      <c r="G2862" s="4">
        <v>44174</v>
      </c>
    </row>
    <row r="2863" spans="2:18" x14ac:dyDescent="0.15">
      <c r="B2863" s="168"/>
      <c r="C2863" s="169" t="s">
        <v>4</v>
      </c>
      <c r="D2863" s="169" t="s">
        <v>2042</v>
      </c>
      <c r="E2863" s="3">
        <v>2.9</v>
      </c>
      <c r="F2863" s="3">
        <v>1</v>
      </c>
      <c r="G2863" s="4">
        <v>43221</v>
      </c>
    </row>
    <row r="2864" spans="2:18" x14ac:dyDescent="0.15">
      <c r="B2864" s="168"/>
      <c r="C2864" s="169"/>
      <c r="D2864" s="169"/>
      <c r="G2864" s="4"/>
    </row>
    <row r="2865" spans="2:18" s="12" customFormat="1" x14ac:dyDescent="0.15">
      <c r="B2865" s="12" t="s">
        <v>376</v>
      </c>
      <c r="C2865" s="13" t="s">
        <v>970</v>
      </c>
      <c r="D2865" s="13" t="s">
        <v>969</v>
      </c>
      <c r="E2865" s="15"/>
      <c r="F2865" s="15">
        <f>SUM(F2866:F2867)</f>
        <v>8</v>
      </c>
      <c r="G2865" s="14">
        <f>G2866</f>
        <v>43909</v>
      </c>
    </row>
    <row r="2866" spans="2:18" x14ac:dyDescent="0.15">
      <c r="C2866" s="2" t="s">
        <v>7</v>
      </c>
      <c r="D2866" s="2" t="s">
        <v>374</v>
      </c>
      <c r="E2866" s="3">
        <v>44</v>
      </c>
      <c r="F2866" s="3">
        <f>30/6</f>
        <v>5</v>
      </c>
      <c r="G2866" s="4">
        <v>43909</v>
      </c>
      <c r="M2866" s="1"/>
      <c r="N2866" s="1"/>
      <c r="O2866" s="1"/>
      <c r="P2866" s="1"/>
      <c r="Q2866" s="1"/>
      <c r="R2866" s="1"/>
    </row>
    <row r="2867" spans="2:18" x14ac:dyDescent="0.15">
      <c r="C2867" s="2" t="s">
        <v>5</v>
      </c>
      <c r="D2867" s="2" t="s">
        <v>374</v>
      </c>
      <c r="E2867" s="3">
        <v>15</v>
      </c>
      <c r="F2867" s="3">
        <v>3</v>
      </c>
      <c r="G2867" s="4">
        <v>43452</v>
      </c>
      <c r="M2867" s="1"/>
      <c r="N2867" s="1"/>
      <c r="O2867" s="1"/>
      <c r="P2867" s="1"/>
      <c r="Q2867" s="1"/>
      <c r="R2867" s="1"/>
    </row>
    <row r="2868" spans="2:18" x14ac:dyDescent="0.15">
      <c r="G2868" s="4"/>
      <c r="M2868" s="1"/>
      <c r="N2868" s="1"/>
      <c r="O2868" s="1"/>
      <c r="P2868" s="1"/>
      <c r="Q2868" s="1"/>
      <c r="R2868" s="1"/>
    </row>
    <row r="2869" spans="2:18" s="12" customFormat="1" x14ac:dyDescent="0.15">
      <c r="B2869" s="12" t="s">
        <v>181</v>
      </c>
      <c r="C2869" s="13" t="s">
        <v>970</v>
      </c>
      <c r="D2869" s="13" t="s">
        <v>969</v>
      </c>
      <c r="E2869" s="15"/>
      <c r="F2869" s="15">
        <f>SUM(F2870:F2871)</f>
        <v>7.9666666666666668</v>
      </c>
      <c r="G2869" s="14">
        <f>G2870</f>
        <v>41437</v>
      </c>
      <c r="M2869" s="13"/>
      <c r="N2869" s="13"/>
      <c r="O2869" s="13"/>
      <c r="P2869" s="13"/>
      <c r="Q2869" s="13"/>
      <c r="R2869" s="13"/>
    </row>
    <row r="2870" spans="2:18" x14ac:dyDescent="0.15">
      <c r="C2870" s="2" t="s">
        <v>18</v>
      </c>
      <c r="D2870" s="2" t="s">
        <v>176</v>
      </c>
      <c r="E2870" s="3">
        <v>34</v>
      </c>
      <c r="F2870" s="3">
        <f>14/3</f>
        <v>4.666666666666667</v>
      </c>
      <c r="G2870" s="4">
        <v>41437</v>
      </c>
    </row>
    <row r="2871" spans="2:18" x14ac:dyDescent="0.15">
      <c r="C2871" s="2" t="s">
        <v>7</v>
      </c>
      <c r="D2871" s="2" t="s">
        <v>176</v>
      </c>
      <c r="E2871" s="3">
        <v>16.5</v>
      </c>
      <c r="F2871" s="3">
        <f>E2871/5</f>
        <v>3.3</v>
      </c>
      <c r="G2871" s="4">
        <v>41176</v>
      </c>
    </row>
    <row r="2872" spans="2:18" x14ac:dyDescent="0.15">
      <c r="G2872" s="4"/>
    </row>
    <row r="2873" spans="2:18" s="12" customFormat="1" x14ac:dyDescent="0.15">
      <c r="B2873" s="12" t="s">
        <v>527</v>
      </c>
      <c r="C2873" s="13" t="s">
        <v>970</v>
      </c>
      <c r="D2873" s="13" t="s">
        <v>969</v>
      </c>
      <c r="E2873" s="15"/>
      <c r="F2873" s="15">
        <f>SUM(F2874:F2878)</f>
        <v>8.375</v>
      </c>
      <c r="G2873" s="14">
        <f>G2875</f>
        <v>44364</v>
      </c>
    </row>
    <row r="2874" spans="2:18" x14ac:dyDescent="0.15">
      <c r="C2874" s="2" t="s">
        <v>4</v>
      </c>
      <c r="D2874" s="2" t="s">
        <v>521</v>
      </c>
      <c r="E2874" s="3">
        <v>3</v>
      </c>
      <c r="F2874" s="3">
        <v>0.5</v>
      </c>
      <c r="G2874" s="4">
        <v>42606</v>
      </c>
      <c r="M2874" s="1"/>
      <c r="N2874" s="1"/>
      <c r="O2874" s="1"/>
      <c r="P2874" s="1"/>
      <c r="Q2874" s="1"/>
      <c r="R2874" s="1"/>
    </row>
    <row r="2875" spans="2:18" x14ac:dyDescent="0.15">
      <c r="C2875" s="2" t="s">
        <v>7</v>
      </c>
      <c r="D2875" s="2" t="s">
        <v>526</v>
      </c>
      <c r="E2875" s="3">
        <v>32</v>
      </c>
      <c r="F2875" s="3">
        <v>3</v>
      </c>
      <c r="G2875" s="4">
        <v>44364</v>
      </c>
      <c r="M2875" s="1"/>
      <c r="N2875" s="1"/>
      <c r="O2875" s="1"/>
      <c r="P2875" s="1"/>
      <c r="Q2875" s="1"/>
      <c r="R2875" s="1"/>
    </row>
    <row r="2876" spans="2:18" x14ac:dyDescent="0.15">
      <c r="C2876" s="2" t="s">
        <v>5</v>
      </c>
      <c r="D2876" s="2" t="s">
        <v>526</v>
      </c>
      <c r="E2876" s="3">
        <v>10.199999999999999</v>
      </c>
      <c r="F2876" s="3">
        <v>2</v>
      </c>
      <c r="G2876" s="4">
        <v>43732</v>
      </c>
      <c r="M2876" s="1"/>
      <c r="N2876" s="1"/>
      <c r="O2876" s="1"/>
      <c r="P2876" s="1"/>
      <c r="Q2876" s="1"/>
      <c r="R2876" s="1"/>
    </row>
    <row r="2877" spans="2:18" x14ac:dyDescent="0.15">
      <c r="C2877" s="2" t="s">
        <v>4</v>
      </c>
      <c r="D2877" s="2" t="s">
        <v>526</v>
      </c>
      <c r="E2877" s="3">
        <v>3</v>
      </c>
      <c r="F2877" s="3">
        <v>1.5</v>
      </c>
      <c r="G2877" s="4">
        <v>43374</v>
      </c>
      <c r="M2877" s="1"/>
      <c r="N2877" s="1"/>
      <c r="O2877" s="1"/>
      <c r="P2877" s="1"/>
      <c r="Q2877" s="1"/>
      <c r="R2877" s="1"/>
    </row>
    <row r="2878" spans="2:18" x14ac:dyDescent="0.15">
      <c r="C2878" s="59" t="s">
        <v>5</v>
      </c>
      <c r="D2878" s="59" t="s">
        <v>2122</v>
      </c>
      <c r="E2878" s="3">
        <v>11.5</v>
      </c>
      <c r="F2878" s="3">
        <f>5.5/4</f>
        <v>1.375</v>
      </c>
      <c r="G2878" s="4">
        <v>43355</v>
      </c>
      <c r="M2878" s="1"/>
      <c r="N2878" s="1"/>
      <c r="O2878" s="1"/>
      <c r="P2878" s="1"/>
      <c r="Q2878" s="1"/>
      <c r="R2878" s="1"/>
    </row>
    <row r="2879" spans="2:18" x14ac:dyDescent="0.15">
      <c r="G2879" s="4"/>
      <c r="M2879" s="1"/>
      <c r="N2879" s="1"/>
      <c r="O2879" s="1"/>
      <c r="P2879" s="1"/>
      <c r="Q2879" s="1"/>
      <c r="R2879" s="1"/>
    </row>
    <row r="2880" spans="2:18" s="12" customFormat="1" x14ac:dyDescent="0.15">
      <c r="B2880" s="12" t="s">
        <v>792</v>
      </c>
      <c r="C2880" s="13" t="s">
        <v>970</v>
      </c>
      <c r="D2880" s="13" t="s">
        <v>969</v>
      </c>
      <c r="E2880" s="15"/>
      <c r="F2880" s="15">
        <f>SUM(F2881:F2884)</f>
        <v>8.1</v>
      </c>
      <c r="G2880" s="14">
        <f>G2881</f>
        <v>44292</v>
      </c>
    </row>
    <row r="2881" spans="2:18" x14ac:dyDescent="0.15">
      <c r="B2881" s="273" t="s">
        <v>7704</v>
      </c>
      <c r="C2881" s="2" t="s">
        <v>4</v>
      </c>
      <c r="D2881" s="2" t="s">
        <v>698</v>
      </c>
      <c r="E2881" s="3">
        <v>5.6</v>
      </c>
      <c r="F2881" s="3">
        <v>1</v>
      </c>
      <c r="G2881" s="4">
        <v>44292</v>
      </c>
      <c r="M2881" s="1"/>
      <c r="N2881" s="1"/>
      <c r="O2881" s="1"/>
      <c r="P2881" s="1"/>
      <c r="Q2881" s="1"/>
      <c r="R2881" s="1"/>
    </row>
    <row r="2882" spans="2:18" x14ac:dyDescent="0.15">
      <c r="C2882" s="59" t="s">
        <v>7</v>
      </c>
      <c r="D2882" s="59" t="s">
        <v>2122</v>
      </c>
      <c r="E2882" s="3">
        <v>40</v>
      </c>
      <c r="F2882" s="3">
        <v>3</v>
      </c>
      <c r="G2882" s="4">
        <v>43720</v>
      </c>
      <c r="M2882" s="1"/>
      <c r="N2882" s="1"/>
      <c r="O2882" s="1"/>
      <c r="P2882" s="1"/>
      <c r="Q2882" s="1"/>
      <c r="R2882" s="1"/>
    </row>
    <row r="2883" spans="2:18" x14ac:dyDescent="0.15">
      <c r="C2883" s="59" t="s">
        <v>5</v>
      </c>
      <c r="D2883" s="59" t="s">
        <v>2122</v>
      </c>
      <c r="E2883" s="3">
        <v>11.5</v>
      </c>
      <c r="F2883" s="3">
        <v>3</v>
      </c>
      <c r="G2883" s="4">
        <v>43355</v>
      </c>
      <c r="M2883" s="1"/>
      <c r="N2883" s="1"/>
      <c r="O2883" s="1"/>
      <c r="P2883" s="1"/>
      <c r="Q2883" s="1"/>
      <c r="R2883" s="1"/>
    </row>
    <row r="2884" spans="2:18" x14ac:dyDescent="0.15">
      <c r="C2884" s="184" t="s">
        <v>4</v>
      </c>
      <c r="D2884" s="184" t="s">
        <v>2037</v>
      </c>
      <c r="E2884" s="3">
        <v>1.1000000000000001</v>
      </c>
      <c r="F2884" s="3">
        <v>1.1000000000000001</v>
      </c>
      <c r="G2884" s="4">
        <v>44133</v>
      </c>
      <c r="M2884" s="1"/>
      <c r="N2884" s="1"/>
      <c r="O2884" s="1"/>
      <c r="P2884" s="1"/>
      <c r="Q2884" s="1"/>
      <c r="R2884" s="1"/>
    </row>
    <row r="2885" spans="2:18" x14ac:dyDescent="0.15">
      <c r="G2885" s="4"/>
      <c r="M2885" s="1"/>
      <c r="N2885" s="1"/>
      <c r="O2885" s="1"/>
      <c r="P2885" s="1"/>
      <c r="Q2885" s="1"/>
      <c r="R2885" s="1"/>
    </row>
    <row r="2886" spans="2:18" s="12" customFormat="1" x14ac:dyDescent="0.15">
      <c r="B2886" s="12" t="s">
        <v>686</v>
      </c>
      <c r="C2886" s="13" t="s">
        <v>970</v>
      </c>
      <c r="D2886" s="13" t="s">
        <v>969</v>
      </c>
      <c r="E2886" s="15"/>
      <c r="F2886" s="15">
        <f>SUM(F2887:F2888)</f>
        <v>6.6666666666666661</v>
      </c>
      <c r="G2886" s="14">
        <f>G2887</f>
        <v>45027</v>
      </c>
      <c r="M2886" s="13"/>
      <c r="N2886" s="13"/>
      <c r="O2886" s="13"/>
      <c r="P2886" s="13"/>
      <c r="Q2886" s="13"/>
      <c r="R2886" s="13"/>
    </row>
    <row r="2887" spans="2:18" x14ac:dyDescent="0.15">
      <c r="B2887" s="273" t="s">
        <v>7704</v>
      </c>
      <c r="C2887" s="2" t="s">
        <v>5</v>
      </c>
      <c r="D2887" s="2" t="s">
        <v>685</v>
      </c>
      <c r="E2887" s="3">
        <v>21</v>
      </c>
      <c r="F2887" s="3">
        <f>11/3</f>
        <v>3.6666666666666665</v>
      </c>
      <c r="G2887" s="4">
        <v>45027</v>
      </c>
    </row>
    <row r="2888" spans="2:18" x14ac:dyDescent="0.15">
      <c r="C2888" s="2" t="s">
        <v>4</v>
      </c>
      <c r="D2888" s="2" t="s">
        <v>355</v>
      </c>
      <c r="E2888" s="3">
        <v>12</v>
      </c>
      <c r="F2888" s="3">
        <v>3</v>
      </c>
      <c r="G2888" s="4">
        <v>44271</v>
      </c>
    </row>
    <row r="2889" spans="2:18" x14ac:dyDescent="0.15">
      <c r="G2889" s="4"/>
    </row>
    <row r="2890" spans="2:18" s="12" customFormat="1" x14ac:dyDescent="0.15">
      <c r="B2890" s="12" t="s">
        <v>325</v>
      </c>
      <c r="C2890" s="13" t="s">
        <v>970</v>
      </c>
      <c r="D2890" s="13" t="s">
        <v>969</v>
      </c>
      <c r="E2890" s="15"/>
      <c r="F2890" s="15">
        <f>SUM(F2891:F2892)</f>
        <v>7</v>
      </c>
      <c r="G2890" s="14">
        <f>G2892</f>
        <v>44200</v>
      </c>
    </row>
    <row r="2891" spans="2:18" x14ac:dyDescent="0.15">
      <c r="C2891" s="2" t="s">
        <v>5</v>
      </c>
      <c r="D2891" s="2" t="s">
        <v>318</v>
      </c>
      <c r="E2891" s="3">
        <v>16</v>
      </c>
      <c r="F2891" s="3">
        <v>2</v>
      </c>
      <c r="G2891" s="4">
        <v>43783</v>
      </c>
      <c r="L2891" s="1">
        <f>+F2891*5</f>
        <v>10</v>
      </c>
      <c r="M2891" s="1"/>
      <c r="N2891" s="1"/>
      <c r="O2891" s="1"/>
      <c r="P2891" s="1"/>
      <c r="Q2891" s="1"/>
      <c r="R2891" s="1"/>
    </row>
    <row r="2892" spans="2:18" x14ac:dyDescent="0.15">
      <c r="C2892" s="2" t="s">
        <v>7</v>
      </c>
      <c r="D2892" s="2" t="s">
        <v>318</v>
      </c>
      <c r="E2892" s="3">
        <v>55</v>
      </c>
      <c r="F2892" s="3">
        <v>5</v>
      </c>
      <c r="G2892" s="4">
        <v>44200</v>
      </c>
      <c r="M2892" s="1"/>
      <c r="N2892" s="1"/>
      <c r="O2892" s="1"/>
      <c r="P2892" s="1"/>
      <c r="Q2892" s="1"/>
      <c r="R2892" s="1"/>
    </row>
    <row r="2893" spans="2:18" x14ac:dyDescent="0.15">
      <c r="G2893" s="4"/>
      <c r="M2893" s="1"/>
      <c r="N2893" s="1"/>
      <c r="O2893" s="1"/>
      <c r="P2893" s="1"/>
      <c r="Q2893" s="1"/>
      <c r="R2893" s="1"/>
    </row>
    <row r="2894" spans="2:18" s="12" customFormat="1" x14ac:dyDescent="0.15">
      <c r="B2894" s="12" t="s">
        <v>324</v>
      </c>
      <c r="C2894" s="13" t="s">
        <v>970</v>
      </c>
      <c r="D2894" s="13" t="s">
        <v>969</v>
      </c>
      <c r="E2894" s="15"/>
      <c r="F2894" s="15">
        <f>SUM(F2895:F2896)</f>
        <v>7</v>
      </c>
      <c r="G2894" s="14">
        <f>G2896</f>
        <v>44200</v>
      </c>
    </row>
    <row r="2895" spans="2:18" x14ac:dyDescent="0.15">
      <c r="C2895" s="2" t="s">
        <v>5</v>
      </c>
      <c r="D2895" s="2" t="s">
        <v>318</v>
      </c>
      <c r="E2895" s="3">
        <v>16</v>
      </c>
      <c r="F2895" s="3">
        <v>2</v>
      </c>
      <c r="G2895" s="4">
        <v>43783</v>
      </c>
      <c r="L2895" s="1">
        <f>+F2895*5</f>
        <v>10</v>
      </c>
      <c r="M2895" s="1"/>
      <c r="N2895" s="1"/>
      <c r="O2895" s="1"/>
      <c r="P2895" s="1"/>
      <c r="Q2895" s="1"/>
      <c r="R2895" s="1"/>
    </row>
    <row r="2896" spans="2:18" x14ac:dyDescent="0.15">
      <c r="C2896" s="2" t="s">
        <v>7</v>
      </c>
      <c r="D2896" s="2" t="s">
        <v>318</v>
      </c>
      <c r="E2896" s="3">
        <v>55</v>
      </c>
      <c r="F2896" s="3">
        <v>5</v>
      </c>
      <c r="G2896" s="4">
        <v>44200</v>
      </c>
      <c r="M2896" s="1"/>
      <c r="N2896" s="1"/>
      <c r="O2896" s="1"/>
      <c r="P2896" s="1"/>
      <c r="Q2896" s="1"/>
      <c r="R2896" s="1"/>
    </row>
    <row r="2897" spans="2:18" x14ac:dyDescent="0.15">
      <c r="G2897" s="4"/>
      <c r="M2897" s="1"/>
      <c r="N2897" s="1"/>
      <c r="O2897" s="1"/>
      <c r="P2897" s="1"/>
      <c r="Q2897" s="1"/>
      <c r="R2897" s="1"/>
    </row>
    <row r="2898" spans="2:18" s="12" customFormat="1" x14ac:dyDescent="0.15">
      <c r="B2898" s="12" t="s">
        <v>711</v>
      </c>
      <c r="C2898" s="13" t="s">
        <v>970</v>
      </c>
      <c r="D2898" s="13" t="s">
        <v>969</v>
      </c>
      <c r="E2898" s="15"/>
      <c r="F2898" s="15">
        <f>SUM(F2899:F2903)</f>
        <v>6.625</v>
      </c>
      <c r="G2898" s="14">
        <f>G2899</f>
        <v>45092</v>
      </c>
      <c r="M2898" s="13"/>
      <c r="N2898" s="13"/>
      <c r="O2898" s="13"/>
      <c r="P2898" s="13"/>
      <c r="Q2898" s="13"/>
      <c r="R2898" s="13"/>
    </row>
    <row r="2899" spans="2:18" x14ac:dyDescent="0.15">
      <c r="B2899" s="273" t="s">
        <v>7704</v>
      </c>
      <c r="C2899" s="2" t="s">
        <v>4</v>
      </c>
      <c r="D2899" s="2" t="s">
        <v>710</v>
      </c>
      <c r="E2899" s="3">
        <v>5.5</v>
      </c>
      <c r="F2899" s="3">
        <v>3</v>
      </c>
      <c r="G2899" s="4">
        <v>45092</v>
      </c>
    </row>
    <row r="2900" spans="2:18" x14ac:dyDescent="0.15">
      <c r="C2900" s="2" t="s">
        <v>4</v>
      </c>
      <c r="D2900" s="2" t="s">
        <v>341</v>
      </c>
      <c r="E2900" s="3">
        <v>3.5</v>
      </c>
      <c r="F2900" s="3">
        <v>1.25</v>
      </c>
      <c r="G2900" s="4">
        <v>44636</v>
      </c>
    </row>
    <row r="2901" spans="2:18" x14ac:dyDescent="0.15">
      <c r="C2901" s="2" t="s">
        <v>4</v>
      </c>
      <c r="D2901" s="2" t="s">
        <v>336</v>
      </c>
      <c r="E2901" s="3">
        <v>3</v>
      </c>
      <c r="F2901" s="3">
        <f>1.5/4</f>
        <v>0.375</v>
      </c>
      <c r="G2901" s="4">
        <v>44327</v>
      </c>
    </row>
    <row r="2902" spans="2:18" x14ac:dyDescent="0.15">
      <c r="C2902" s="2" t="s">
        <v>4</v>
      </c>
      <c r="D2902" s="2" t="s">
        <v>332</v>
      </c>
      <c r="E2902" s="3">
        <v>5.0999999999999996</v>
      </c>
      <c r="F2902" s="3">
        <v>1</v>
      </c>
      <c r="G2902" s="4">
        <v>43990</v>
      </c>
    </row>
    <row r="2903" spans="2:18" x14ac:dyDescent="0.15">
      <c r="C2903" s="2" t="s">
        <v>4</v>
      </c>
      <c r="D2903" s="2" t="s">
        <v>329</v>
      </c>
      <c r="E2903" s="3">
        <v>5</v>
      </c>
      <c r="F2903" s="3">
        <v>1</v>
      </c>
      <c r="G2903" s="4">
        <v>43224</v>
      </c>
      <c r="L2903" s="1">
        <v>0</v>
      </c>
    </row>
    <row r="2904" spans="2:18" x14ac:dyDescent="0.15">
      <c r="G2904" s="4"/>
    </row>
    <row r="2905" spans="2:18" s="12" customFormat="1" x14ac:dyDescent="0.15">
      <c r="B2905" s="12" t="s">
        <v>6471</v>
      </c>
      <c r="C2905" s="13" t="s">
        <v>970</v>
      </c>
      <c r="D2905" s="13" t="s">
        <v>969</v>
      </c>
      <c r="E2905" s="15"/>
      <c r="F2905" s="15">
        <f>SUM(F2906:F2907)</f>
        <v>7</v>
      </c>
      <c r="G2905" s="14">
        <f>G2906</f>
        <v>44881</v>
      </c>
      <c r="M2905" s="13"/>
      <c r="N2905" s="13"/>
      <c r="O2905" s="13"/>
      <c r="P2905" s="13"/>
      <c r="Q2905" s="13"/>
      <c r="R2905" s="13"/>
    </row>
    <row r="2906" spans="2:18" x14ac:dyDescent="0.15">
      <c r="B2906" s="168"/>
      <c r="C2906" s="169" t="s">
        <v>7</v>
      </c>
      <c r="D2906" s="169" t="s">
        <v>2042</v>
      </c>
      <c r="E2906" s="3">
        <v>30</v>
      </c>
      <c r="F2906" s="3">
        <f>20/4</f>
        <v>5</v>
      </c>
      <c r="G2906" s="4">
        <v>44881</v>
      </c>
    </row>
    <row r="2907" spans="2:18" x14ac:dyDescent="0.15">
      <c r="C2907" s="2" t="s">
        <v>5</v>
      </c>
      <c r="D2907" s="2" t="s">
        <v>2042</v>
      </c>
      <c r="E2907" s="3">
        <v>11</v>
      </c>
      <c r="F2907" s="3">
        <v>2</v>
      </c>
      <c r="G2907" s="4">
        <v>44174</v>
      </c>
    </row>
    <row r="2908" spans="2:18" x14ac:dyDescent="0.15">
      <c r="G2908" s="4"/>
    </row>
    <row r="2909" spans="2:18" s="12" customFormat="1" x14ac:dyDescent="0.15">
      <c r="B2909" s="12" t="s">
        <v>4430</v>
      </c>
      <c r="C2909" s="13" t="s">
        <v>970</v>
      </c>
      <c r="D2909" s="13" t="s">
        <v>969</v>
      </c>
      <c r="E2909" s="15"/>
      <c r="F2909" s="15">
        <f>SUM(F2910:F2912)</f>
        <v>6.5</v>
      </c>
      <c r="G2909" s="14">
        <f>G2910</f>
        <v>44044</v>
      </c>
      <c r="M2909" s="13"/>
      <c r="N2909" s="13"/>
      <c r="O2909" s="13"/>
      <c r="P2909" s="13"/>
      <c r="Q2909" s="13"/>
      <c r="R2909" s="13"/>
    </row>
    <row r="2910" spans="2:18" x14ac:dyDescent="0.15">
      <c r="C2910" s="2" t="s">
        <v>5</v>
      </c>
      <c r="D2910" s="2" t="s">
        <v>2136</v>
      </c>
      <c r="E2910" s="3">
        <v>20</v>
      </c>
      <c r="F2910" s="3">
        <f>15/6</f>
        <v>2.5</v>
      </c>
      <c r="G2910" s="4">
        <v>44044</v>
      </c>
    </row>
    <row r="2911" spans="2:18" x14ac:dyDescent="0.15">
      <c r="C2911" s="2" t="s">
        <v>5</v>
      </c>
      <c r="D2911" s="2" t="s">
        <v>2136</v>
      </c>
      <c r="E2911" s="3">
        <v>20</v>
      </c>
      <c r="F2911" s="3">
        <f>12/4</f>
        <v>3</v>
      </c>
      <c r="G2911" s="4">
        <v>43647</v>
      </c>
    </row>
    <row r="2912" spans="2:18" x14ac:dyDescent="0.15">
      <c r="C2912" s="2" t="s">
        <v>4</v>
      </c>
      <c r="D2912" s="2" t="s">
        <v>2136</v>
      </c>
      <c r="E2912" s="3">
        <v>3</v>
      </c>
      <c r="F2912" s="3">
        <v>1</v>
      </c>
      <c r="G2912" s="4">
        <v>42979</v>
      </c>
    </row>
    <row r="2913" spans="2:18" x14ac:dyDescent="0.15">
      <c r="G2913" s="4"/>
    </row>
    <row r="2914" spans="2:18" s="12" customFormat="1" x14ac:dyDescent="0.15">
      <c r="B2914" s="12" t="s">
        <v>635</v>
      </c>
      <c r="C2914" s="13" t="s">
        <v>970</v>
      </c>
      <c r="D2914" s="13" t="s">
        <v>969</v>
      </c>
      <c r="E2914" s="15"/>
      <c r="F2914" s="15">
        <f>SUM(F2915:F2918)</f>
        <v>7</v>
      </c>
      <c r="G2914" s="14">
        <f>G2915</f>
        <v>44984</v>
      </c>
      <c r="M2914" s="13"/>
      <c r="N2914" s="13"/>
      <c r="O2914" s="13"/>
      <c r="P2914" s="13"/>
      <c r="Q2914" s="13"/>
      <c r="R2914" s="13"/>
    </row>
    <row r="2915" spans="2:18" x14ac:dyDescent="0.15">
      <c r="C2915" s="2" t="s">
        <v>5</v>
      </c>
      <c r="D2915" s="2" t="s">
        <v>633</v>
      </c>
      <c r="E2915" s="3">
        <v>10.5</v>
      </c>
      <c r="F2915" s="3">
        <v>4</v>
      </c>
      <c r="G2915" s="4">
        <v>44984</v>
      </c>
      <c r="M2915" s="1"/>
      <c r="N2915" s="1"/>
      <c r="O2915" s="1"/>
      <c r="P2915" s="1"/>
      <c r="Q2915" s="1"/>
      <c r="R2915" s="1"/>
    </row>
    <row r="2916" spans="2:18" x14ac:dyDescent="0.15">
      <c r="C2916" s="2" t="s">
        <v>4</v>
      </c>
      <c r="D2916" s="2" t="s">
        <v>633</v>
      </c>
      <c r="E2916" s="3">
        <v>3</v>
      </c>
      <c r="F2916" s="3">
        <v>1</v>
      </c>
      <c r="G2916" s="4">
        <v>44539</v>
      </c>
      <c r="M2916" s="1"/>
      <c r="N2916" s="1"/>
      <c r="O2916" s="1"/>
      <c r="P2916" s="1"/>
      <c r="Q2916" s="1"/>
      <c r="R2916" s="1"/>
    </row>
    <row r="2917" spans="2:18" x14ac:dyDescent="0.15">
      <c r="C2917" s="2" t="s">
        <v>4</v>
      </c>
      <c r="D2917" s="2" t="s">
        <v>633</v>
      </c>
      <c r="E2917" s="3">
        <v>2</v>
      </c>
      <c r="F2917" s="3">
        <v>1</v>
      </c>
      <c r="G2917" s="4">
        <v>44389</v>
      </c>
      <c r="M2917" s="1"/>
      <c r="N2917" s="1"/>
      <c r="O2917" s="1"/>
      <c r="P2917" s="1"/>
      <c r="Q2917" s="1"/>
      <c r="R2917" s="1"/>
    </row>
    <row r="2918" spans="2:18" x14ac:dyDescent="0.15">
      <c r="C2918" s="2" t="s">
        <v>5</v>
      </c>
      <c r="D2918" s="2" t="s">
        <v>542</v>
      </c>
      <c r="E2918" s="3">
        <v>5</v>
      </c>
      <c r="F2918" s="3">
        <v>1</v>
      </c>
      <c r="G2918" s="4">
        <v>44514</v>
      </c>
      <c r="M2918" s="1"/>
      <c r="N2918" s="1"/>
      <c r="O2918" s="1"/>
      <c r="P2918" s="1"/>
      <c r="Q2918" s="1"/>
      <c r="R2918" s="1"/>
    </row>
    <row r="2919" spans="2:18" x14ac:dyDescent="0.15">
      <c r="G2919" s="4"/>
      <c r="M2919" s="1"/>
      <c r="N2919" s="1"/>
      <c r="O2919" s="1"/>
      <c r="P2919" s="1"/>
      <c r="Q2919" s="1"/>
      <c r="R2919" s="1"/>
    </row>
    <row r="2920" spans="2:18" s="12" customFormat="1" x14ac:dyDescent="0.15">
      <c r="B2920" s="12" t="s">
        <v>901</v>
      </c>
      <c r="C2920" s="13" t="s">
        <v>970</v>
      </c>
      <c r="D2920" s="13" t="s">
        <v>969</v>
      </c>
      <c r="E2920" s="15"/>
      <c r="F2920" s="15">
        <f>SUM(F2921:F2922)</f>
        <v>7</v>
      </c>
      <c r="G2920" s="14">
        <f>G2921</f>
        <v>44417</v>
      </c>
      <c r="M2920" s="13"/>
      <c r="N2920" s="13"/>
      <c r="O2920" s="13"/>
      <c r="P2920" s="13"/>
      <c r="Q2920" s="13"/>
      <c r="R2920" s="13"/>
    </row>
    <row r="2921" spans="2:18" x14ac:dyDescent="0.15">
      <c r="C2921" s="2" t="s">
        <v>18</v>
      </c>
      <c r="D2921" s="2" t="s">
        <v>878</v>
      </c>
      <c r="E2921" s="3">
        <v>85</v>
      </c>
      <c r="F2921" s="3">
        <v>6</v>
      </c>
      <c r="G2921" s="4">
        <v>44417</v>
      </c>
    </row>
    <row r="2922" spans="2:18" x14ac:dyDescent="0.15">
      <c r="C2922" s="193" t="s">
        <v>5</v>
      </c>
      <c r="D2922" s="193" t="s">
        <v>2035</v>
      </c>
      <c r="E2922" s="3">
        <v>9.3000000000000007</v>
      </c>
      <c r="F2922" s="3">
        <v>1</v>
      </c>
      <c r="G2922" s="4">
        <v>44229</v>
      </c>
    </row>
    <row r="2923" spans="2:18" x14ac:dyDescent="0.15">
      <c r="G2923" s="4"/>
    </row>
    <row r="2924" spans="2:18" s="12" customFormat="1" x14ac:dyDescent="0.15">
      <c r="B2924" s="12" t="s">
        <v>699</v>
      </c>
      <c r="C2924" s="13" t="s">
        <v>970</v>
      </c>
      <c r="D2924" s="13" t="s">
        <v>969</v>
      </c>
      <c r="E2924" s="15"/>
      <c r="F2924" s="15">
        <f>SUM(F2925:F2926)</f>
        <v>7</v>
      </c>
      <c r="G2924" s="14">
        <f>G2925</f>
        <v>44875</v>
      </c>
      <c r="M2924" s="13"/>
      <c r="N2924" s="13"/>
      <c r="O2924" s="13"/>
      <c r="P2924" s="13"/>
      <c r="Q2924" s="13"/>
      <c r="R2924" s="13"/>
    </row>
    <row r="2925" spans="2:18" x14ac:dyDescent="0.15">
      <c r="C2925" s="2" t="s">
        <v>5</v>
      </c>
      <c r="D2925" s="2" t="s">
        <v>698</v>
      </c>
      <c r="E2925" s="3">
        <v>23.5</v>
      </c>
      <c r="F2925" s="3">
        <v>2</v>
      </c>
      <c r="G2925" s="4">
        <v>44875</v>
      </c>
    </row>
    <row r="2926" spans="2:18" x14ac:dyDescent="0.15">
      <c r="C2926" s="2" t="s">
        <v>4</v>
      </c>
      <c r="D2926" s="2" t="s">
        <v>689</v>
      </c>
      <c r="E2926" s="3">
        <v>5</v>
      </c>
      <c r="F2926" s="3">
        <v>5</v>
      </c>
      <c r="G2926" s="4">
        <v>44562</v>
      </c>
    </row>
    <row r="2927" spans="2:18" x14ac:dyDescent="0.15">
      <c r="G2927" s="4"/>
    </row>
    <row r="2928" spans="2:18" s="12" customFormat="1" x14ac:dyDescent="0.15">
      <c r="B2928" s="12" t="s">
        <v>287</v>
      </c>
      <c r="C2928" s="13" t="s">
        <v>970</v>
      </c>
      <c r="D2928" s="13" t="s">
        <v>969</v>
      </c>
      <c r="E2928" s="15"/>
      <c r="F2928" s="15">
        <f>SUM(F2929:F2930)</f>
        <v>7</v>
      </c>
      <c r="G2928" s="14">
        <f>G2929</f>
        <v>44309</v>
      </c>
      <c r="M2928" s="13"/>
      <c r="N2928" s="13"/>
      <c r="O2928" s="13"/>
      <c r="P2928" s="13"/>
      <c r="Q2928" s="13"/>
      <c r="R2928" s="13"/>
    </row>
    <row r="2929" spans="2:18" x14ac:dyDescent="0.15">
      <c r="B2929" s="12"/>
      <c r="C2929" s="2" t="s">
        <v>7</v>
      </c>
      <c r="D2929" s="2" t="s">
        <v>286</v>
      </c>
      <c r="E2929" s="3">
        <v>35</v>
      </c>
      <c r="F2929" s="3">
        <f>15/3</f>
        <v>5</v>
      </c>
      <c r="G2929" s="4">
        <v>44309</v>
      </c>
    </row>
    <row r="2930" spans="2:18" x14ac:dyDescent="0.15">
      <c r="C2930" s="100" t="s">
        <v>5</v>
      </c>
      <c r="D2930" s="100" t="s">
        <v>5458</v>
      </c>
      <c r="E2930" s="3">
        <v>18.100000000000001</v>
      </c>
      <c r="F2930" s="3">
        <v>2</v>
      </c>
      <c r="G2930" s="4">
        <v>42719</v>
      </c>
    </row>
    <row r="2931" spans="2:18" x14ac:dyDescent="0.15">
      <c r="G2931" s="4"/>
    </row>
    <row r="2932" spans="2:18" s="12" customFormat="1" x14ac:dyDescent="0.15">
      <c r="B2932" s="12" t="s">
        <v>92</v>
      </c>
      <c r="C2932" s="13" t="s">
        <v>970</v>
      </c>
      <c r="D2932" s="13" t="s">
        <v>969</v>
      </c>
      <c r="E2932" s="15"/>
      <c r="F2932" s="15">
        <f>SUM(F2933:F2934)</f>
        <v>6.5</v>
      </c>
      <c r="G2932" s="14">
        <f>G2933</f>
        <v>44642</v>
      </c>
      <c r="M2932" s="13"/>
      <c r="N2932" s="13"/>
      <c r="O2932" s="13"/>
      <c r="P2932" s="13"/>
      <c r="Q2932" s="13"/>
      <c r="R2932" s="13"/>
    </row>
    <row r="2933" spans="2:18" x14ac:dyDescent="0.15">
      <c r="C2933" s="2" t="s">
        <v>7</v>
      </c>
      <c r="D2933" s="2" t="s">
        <v>87</v>
      </c>
      <c r="E2933" s="3">
        <v>25</v>
      </c>
      <c r="F2933" s="3">
        <f>15/6</f>
        <v>2.5</v>
      </c>
      <c r="G2933" s="4">
        <v>44642</v>
      </c>
    </row>
    <row r="2934" spans="2:18" x14ac:dyDescent="0.15">
      <c r="C2934" s="2" t="s">
        <v>5</v>
      </c>
      <c r="D2934" s="2" t="s">
        <v>87</v>
      </c>
      <c r="E2934" s="3">
        <v>13.5</v>
      </c>
      <c r="F2934" s="3">
        <v>4</v>
      </c>
      <c r="G2934" s="4">
        <v>43978</v>
      </c>
    </row>
    <row r="2935" spans="2:18" x14ac:dyDescent="0.15">
      <c r="G2935" s="4"/>
    </row>
    <row r="2936" spans="2:18" s="12" customFormat="1" x14ac:dyDescent="0.15">
      <c r="B2936" s="12" t="s">
        <v>290</v>
      </c>
      <c r="C2936" s="13" t="s">
        <v>970</v>
      </c>
      <c r="D2936" s="13" t="s">
        <v>969</v>
      </c>
      <c r="E2936" s="15"/>
      <c r="F2936" s="15">
        <f>SUM(F2937:F2938)</f>
        <v>6.5</v>
      </c>
      <c r="G2936" s="14">
        <f>G2937</f>
        <v>44474</v>
      </c>
      <c r="M2936" s="13"/>
      <c r="N2936" s="13"/>
      <c r="O2936" s="13"/>
      <c r="P2936" s="13"/>
      <c r="Q2936" s="13"/>
      <c r="R2936" s="13"/>
    </row>
    <row r="2937" spans="2:18" x14ac:dyDescent="0.15">
      <c r="C2937" s="2" t="s">
        <v>5</v>
      </c>
      <c r="D2937" s="2" t="s">
        <v>289</v>
      </c>
      <c r="E2937" s="3">
        <v>30</v>
      </c>
      <c r="F2937" s="3">
        <f>20/5</f>
        <v>4</v>
      </c>
      <c r="G2937" s="4">
        <v>44474</v>
      </c>
    </row>
    <row r="2938" spans="2:18" x14ac:dyDescent="0.15">
      <c r="C2938" s="2" t="s">
        <v>4</v>
      </c>
      <c r="D2938" s="2" t="s">
        <v>289</v>
      </c>
      <c r="E2938" s="3">
        <v>15</v>
      </c>
      <c r="F2938" s="3">
        <f>10/4</f>
        <v>2.5</v>
      </c>
      <c r="G2938" s="4">
        <v>43775</v>
      </c>
    </row>
    <row r="2939" spans="2:18" x14ac:dyDescent="0.15">
      <c r="G2939" s="4"/>
    </row>
    <row r="2940" spans="2:18" s="12" customFormat="1" x14ac:dyDescent="0.15">
      <c r="B2940" s="12" t="s">
        <v>688</v>
      </c>
      <c r="C2940" s="13" t="s">
        <v>970</v>
      </c>
      <c r="D2940" s="13" t="s">
        <v>969</v>
      </c>
      <c r="E2940" s="15"/>
      <c r="F2940" s="15">
        <f>SUM(F2941:F2942)</f>
        <v>7</v>
      </c>
      <c r="G2940" s="14">
        <f>G2941</f>
        <v>44601</v>
      </c>
      <c r="M2940" s="13"/>
      <c r="N2940" s="13"/>
      <c r="O2940" s="13"/>
      <c r="P2940" s="13"/>
      <c r="Q2940" s="13"/>
      <c r="R2940" s="13"/>
    </row>
    <row r="2941" spans="2:18" x14ac:dyDescent="0.15">
      <c r="C2941" s="2" t="s">
        <v>4</v>
      </c>
      <c r="D2941" s="2" t="s">
        <v>687</v>
      </c>
      <c r="E2941" s="3">
        <v>30</v>
      </c>
      <c r="F2941" s="3">
        <v>5</v>
      </c>
      <c r="G2941" s="4">
        <v>44601</v>
      </c>
    </row>
    <row r="2942" spans="2:18" x14ac:dyDescent="0.15">
      <c r="C2942" s="2" t="s">
        <v>4</v>
      </c>
      <c r="D2942" s="2" t="s">
        <v>655</v>
      </c>
      <c r="E2942" s="3">
        <v>12.8</v>
      </c>
      <c r="F2942" s="3">
        <v>2</v>
      </c>
      <c r="G2942" s="4">
        <v>44601</v>
      </c>
    </row>
    <row r="2943" spans="2:18" x14ac:dyDescent="0.15">
      <c r="G2943" s="4"/>
    </row>
    <row r="2944" spans="2:18" s="12" customFormat="1" x14ac:dyDescent="0.15">
      <c r="B2944" s="12" t="s">
        <v>468</v>
      </c>
      <c r="C2944" s="13" t="s">
        <v>970</v>
      </c>
      <c r="D2944" s="13" t="s">
        <v>969</v>
      </c>
      <c r="E2944" s="15"/>
      <c r="F2944" s="15">
        <f>SUM(F2945:F2946)</f>
        <v>5.5</v>
      </c>
      <c r="G2944" s="14">
        <f>G2945</f>
        <v>44727</v>
      </c>
    </row>
    <row r="2945" spans="2:18" x14ac:dyDescent="0.15">
      <c r="C2945" s="2" t="s">
        <v>5</v>
      </c>
      <c r="D2945" s="2" t="s">
        <v>466</v>
      </c>
      <c r="E2945" s="3">
        <v>15.5</v>
      </c>
      <c r="F2945" s="3">
        <v>3</v>
      </c>
      <c r="G2945" s="4">
        <v>44727</v>
      </c>
      <c r="M2945" s="1"/>
      <c r="N2945" s="1"/>
      <c r="O2945" s="1"/>
      <c r="P2945" s="1"/>
      <c r="Q2945" s="1"/>
      <c r="R2945" s="1"/>
    </row>
    <row r="2946" spans="2:18" x14ac:dyDescent="0.15">
      <c r="C2946" s="2" t="s">
        <v>7</v>
      </c>
      <c r="D2946" s="2" t="s">
        <v>87</v>
      </c>
      <c r="E2946" s="3">
        <v>25</v>
      </c>
      <c r="F2946" s="3">
        <f>15/6</f>
        <v>2.5</v>
      </c>
      <c r="G2946" s="4">
        <v>44642</v>
      </c>
      <c r="M2946" s="1"/>
      <c r="N2946" s="1"/>
      <c r="O2946" s="1"/>
      <c r="P2946" s="1"/>
      <c r="Q2946" s="1"/>
      <c r="R2946" s="1"/>
    </row>
    <row r="2947" spans="2:18" x14ac:dyDescent="0.15">
      <c r="G2947" s="4"/>
      <c r="M2947" s="1"/>
      <c r="N2947" s="1"/>
      <c r="O2947" s="1"/>
      <c r="P2947" s="1"/>
      <c r="Q2947" s="1"/>
      <c r="R2947" s="1"/>
    </row>
    <row r="2948" spans="2:18" s="12" customFormat="1" x14ac:dyDescent="0.15">
      <c r="B2948" s="12" t="s">
        <v>294</v>
      </c>
      <c r="C2948" s="13" t="s">
        <v>970</v>
      </c>
      <c r="D2948" s="13" t="s">
        <v>969</v>
      </c>
      <c r="E2948" s="15"/>
      <c r="F2948" s="15">
        <f>SUM(F2949:F2951)</f>
        <v>5.7133333333333338</v>
      </c>
      <c r="G2948" s="14">
        <f>G2949</f>
        <v>43104</v>
      </c>
      <c r="M2948" s="13"/>
      <c r="N2948" s="13"/>
      <c r="O2948" s="13"/>
      <c r="P2948" s="13"/>
      <c r="Q2948" s="13"/>
      <c r="R2948" s="13"/>
    </row>
    <row r="2949" spans="2:18" x14ac:dyDescent="0.15">
      <c r="C2949" s="2" t="s">
        <v>18</v>
      </c>
      <c r="D2949" s="2" t="s">
        <v>292</v>
      </c>
      <c r="E2949" s="3">
        <v>38</v>
      </c>
      <c r="F2949" s="3">
        <f>20/6</f>
        <v>3.3333333333333335</v>
      </c>
      <c r="G2949" s="4">
        <v>43104</v>
      </c>
    </row>
    <row r="2950" spans="2:18" x14ac:dyDescent="0.15">
      <c r="C2950" s="2" t="s">
        <v>7</v>
      </c>
      <c r="D2950" s="2" t="s">
        <v>292</v>
      </c>
      <c r="E2950" s="3">
        <v>6.9</v>
      </c>
      <c r="F2950" s="3">
        <f>E2950/5</f>
        <v>1.3800000000000001</v>
      </c>
      <c r="G2950" s="4">
        <v>42458</v>
      </c>
    </row>
    <row r="2951" spans="2:18" x14ac:dyDescent="0.15">
      <c r="C2951" s="2" t="s">
        <v>5</v>
      </c>
      <c r="D2951" s="2" t="s">
        <v>292</v>
      </c>
      <c r="E2951" s="3">
        <v>2.7</v>
      </c>
      <c r="F2951" s="3">
        <v>1</v>
      </c>
      <c r="G2951" s="4">
        <v>42139</v>
      </c>
    </row>
    <row r="2952" spans="2:18" x14ac:dyDescent="0.15">
      <c r="G2952" s="4"/>
    </row>
    <row r="2953" spans="2:18" x14ac:dyDescent="0.15">
      <c r="B2953" s="12" t="s">
        <v>972</v>
      </c>
      <c r="C2953" s="13" t="s">
        <v>970</v>
      </c>
      <c r="D2953" s="13" t="s">
        <v>969</v>
      </c>
      <c r="F2953" s="15">
        <f>SUM(F2954:F2957)</f>
        <v>6.166666666666667</v>
      </c>
      <c r="G2953" s="14">
        <f>G2955</f>
        <v>45062</v>
      </c>
    </row>
    <row r="2954" spans="2:18" x14ac:dyDescent="0.15">
      <c r="C2954" s="2" t="s">
        <v>5</v>
      </c>
      <c r="D2954" s="2" t="s">
        <v>797</v>
      </c>
      <c r="E2954" s="3">
        <v>17.5</v>
      </c>
      <c r="F2954" s="3">
        <v>1</v>
      </c>
      <c r="G2954" s="4">
        <v>44614</v>
      </c>
    </row>
    <row r="2955" spans="2:18" x14ac:dyDescent="0.15">
      <c r="C2955" s="2" t="s">
        <v>4</v>
      </c>
      <c r="D2955" s="2" t="s">
        <v>808</v>
      </c>
      <c r="E2955" s="3">
        <v>5</v>
      </c>
      <c r="F2955" s="3">
        <f>5/3</f>
        <v>1.6666666666666667</v>
      </c>
      <c r="G2955" s="4">
        <v>45062</v>
      </c>
    </row>
    <row r="2956" spans="2:18" x14ac:dyDescent="0.15">
      <c r="C2956" s="2" t="s">
        <v>4</v>
      </c>
      <c r="D2956" s="2" t="s">
        <v>566</v>
      </c>
      <c r="E2956" s="3">
        <v>9</v>
      </c>
      <c r="F2956" s="3">
        <v>0.5</v>
      </c>
      <c r="G2956" s="4">
        <v>44859</v>
      </c>
    </row>
    <row r="2957" spans="2:18" x14ac:dyDescent="0.15">
      <c r="C2957" s="193" t="s">
        <v>5</v>
      </c>
      <c r="D2957" s="193" t="s">
        <v>6743</v>
      </c>
      <c r="E2957" s="3">
        <v>21</v>
      </c>
      <c r="F2957" s="3">
        <v>3</v>
      </c>
      <c r="G2957" s="4">
        <v>44515</v>
      </c>
    </row>
    <row r="2958" spans="2:18" x14ac:dyDescent="0.15">
      <c r="G2958" s="4"/>
    </row>
    <row r="2959" spans="2:18" s="12" customFormat="1" x14ac:dyDescent="0.15">
      <c r="B2959" s="12" t="s">
        <v>405</v>
      </c>
      <c r="C2959" s="13" t="s">
        <v>970</v>
      </c>
      <c r="D2959" s="13" t="s">
        <v>969</v>
      </c>
      <c r="E2959" s="15"/>
      <c r="F2959" s="15">
        <f>SUM(F2960:F2961)</f>
        <v>6</v>
      </c>
      <c r="G2959" s="14">
        <f>G2960</f>
        <v>44538</v>
      </c>
    </row>
    <row r="2960" spans="2:18" x14ac:dyDescent="0.15">
      <c r="C2960" s="2" t="s">
        <v>7</v>
      </c>
      <c r="D2960" s="2" t="s">
        <v>404</v>
      </c>
      <c r="E2960" s="3">
        <v>50</v>
      </c>
      <c r="F2960" s="3">
        <f>30/6</f>
        <v>5</v>
      </c>
      <c r="G2960" s="4">
        <v>44538</v>
      </c>
      <c r="M2960" s="1"/>
      <c r="N2960" s="1"/>
      <c r="O2960" s="1"/>
      <c r="P2960" s="1"/>
      <c r="Q2960" s="1"/>
      <c r="R2960" s="1"/>
    </row>
    <row r="2961" spans="2:18" x14ac:dyDescent="0.15">
      <c r="C2961" s="2" t="s">
        <v>4</v>
      </c>
      <c r="D2961" s="2" t="s">
        <v>404</v>
      </c>
      <c r="E2961" s="3">
        <v>3.1</v>
      </c>
      <c r="F2961" s="3">
        <v>1</v>
      </c>
      <c r="G2961" s="4">
        <v>43580</v>
      </c>
      <c r="M2961" s="1"/>
      <c r="N2961" s="1"/>
      <c r="O2961" s="1"/>
      <c r="P2961" s="1"/>
      <c r="Q2961" s="1"/>
      <c r="R2961" s="1"/>
    </row>
    <row r="2962" spans="2:18" x14ac:dyDescent="0.15">
      <c r="G2962" s="4"/>
      <c r="M2962" s="1"/>
      <c r="N2962" s="1"/>
      <c r="O2962" s="1"/>
      <c r="P2962" s="1"/>
      <c r="Q2962" s="1"/>
      <c r="R2962" s="1"/>
    </row>
    <row r="2963" spans="2:18" s="12" customFormat="1" x14ac:dyDescent="0.15">
      <c r="B2963" s="12" t="s">
        <v>6618</v>
      </c>
      <c r="C2963" s="13" t="s">
        <v>970</v>
      </c>
      <c r="D2963" s="13" t="s">
        <v>969</v>
      </c>
      <c r="E2963" s="15"/>
      <c r="F2963" s="15">
        <f>SUM(F2964:F2965)</f>
        <v>6</v>
      </c>
      <c r="G2963" s="14">
        <f>G2964</f>
        <v>44572</v>
      </c>
      <c r="M2963" s="13"/>
      <c r="N2963" s="13"/>
      <c r="O2963" s="13"/>
      <c r="P2963" s="13"/>
      <c r="Q2963" s="13"/>
      <c r="R2963" s="13"/>
    </row>
    <row r="2964" spans="2:18" x14ac:dyDescent="0.15">
      <c r="B2964" s="12"/>
      <c r="C2964" s="169" t="s">
        <v>7</v>
      </c>
      <c r="D2964" s="169" t="s">
        <v>2039</v>
      </c>
      <c r="E2964" s="3">
        <v>25</v>
      </c>
      <c r="F2964" s="3">
        <v>5</v>
      </c>
      <c r="G2964" s="4">
        <v>44572</v>
      </c>
    </row>
    <row r="2965" spans="2:18" x14ac:dyDescent="0.15">
      <c r="C2965" s="169" t="s">
        <v>5</v>
      </c>
      <c r="D2965" s="169" t="s">
        <v>2039</v>
      </c>
      <c r="E2965" s="3">
        <v>5</v>
      </c>
      <c r="F2965" s="3">
        <v>1</v>
      </c>
      <c r="G2965" s="4">
        <v>43888</v>
      </c>
    </row>
    <row r="2966" spans="2:18" x14ac:dyDescent="0.15">
      <c r="C2966" s="169"/>
      <c r="D2966" s="169"/>
      <c r="G2966" s="4"/>
    </row>
    <row r="2967" spans="2:18" s="12" customFormat="1" x14ac:dyDescent="0.15">
      <c r="B2967" s="12" t="s">
        <v>557</v>
      </c>
      <c r="C2967" s="13" t="s">
        <v>970</v>
      </c>
      <c r="D2967" s="13" t="s">
        <v>969</v>
      </c>
      <c r="E2967" s="15"/>
      <c r="F2967" s="15">
        <f>SUM(F2968:F2971)</f>
        <v>5.5714285714285712</v>
      </c>
      <c r="G2967" s="14">
        <f>G2968</f>
        <v>45077</v>
      </c>
    </row>
    <row r="2968" spans="2:18" x14ac:dyDescent="0.15">
      <c r="C2968" s="2" t="s">
        <v>7</v>
      </c>
      <c r="D2968" s="2" t="s">
        <v>549</v>
      </c>
      <c r="E2968" s="3">
        <v>20</v>
      </c>
      <c r="F2968" s="3">
        <f>12/6</f>
        <v>2</v>
      </c>
      <c r="G2968" s="4">
        <v>45077</v>
      </c>
      <c r="M2968" s="1"/>
      <c r="N2968" s="1"/>
      <c r="O2968" s="1"/>
      <c r="P2968" s="1"/>
      <c r="Q2968" s="1"/>
      <c r="R2968" s="1"/>
    </row>
    <row r="2969" spans="2:18" x14ac:dyDescent="0.15">
      <c r="C2969" s="2" t="s">
        <v>5</v>
      </c>
      <c r="D2969" s="2" t="s">
        <v>549</v>
      </c>
      <c r="E2969" s="3">
        <v>10.5</v>
      </c>
      <c r="F2969" s="3">
        <f>5/5</f>
        <v>1</v>
      </c>
      <c r="G2969" s="4">
        <v>44341</v>
      </c>
      <c r="M2969" s="1"/>
      <c r="N2969" s="1"/>
      <c r="O2969" s="1"/>
      <c r="P2969" s="1"/>
      <c r="Q2969" s="1"/>
      <c r="R2969" s="1"/>
    </row>
    <row r="2970" spans="2:18" x14ac:dyDescent="0.15">
      <c r="C2970" s="2" t="s">
        <v>5</v>
      </c>
      <c r="D2970" s="2" t="s">
        <v>87</v>
      </c>
      <c r="E2970" s="3">
        <v>14</v>
      </c>
      <c r="F2970" s="3">
        <v>2</v>
      </c>
      <c r="G2970" s="4">
        <v>43978</v>
      </c>
      <c r="M2970" s="1"/>
      <c r="N2970" s="1"/>
      <c r="O2970" s="1"/>
      <c r="P2970" s="1"/>
      <c r="Q2970" s="1"/>
      <c r="R2970" s="1"/>
    </row>
    <row r="2971" spans="2:18" x14ac:dyDescent="0.15">
      <c r="C2971" s="2" t="s">
        <v>4</v>
      </c>
      <c r="D2971" s="2" t="s">
        <v>87</v>
      </c>
      <c r="E2971" s="3">
        <v>5.3</v>
      </c>
      <c r="F2971" s="3">
        <f>4/7</f>
        <v>0.5714285714285714</v>
      </c>
      <c r="G2971" s="4">
        <v>43398</v>
      </c>
      <c r="M2971" s="1"/>
      <c r="N2971" s="1"/>
      <c r="O2971" s="1"/>
      <c r="P2971" s="1"/>
      <c r="Q2971" s="1"/>
      <c r="R2971" s="1"/>
    </row>
    <row r="2972" spans="2:18" x14ac:dyDescent="0.15">
      <c r="G2972" s="4"/>
      <c r="M2972" s="1"/>
      <c r="N2972" s="1"/>
      <c r="O2972" s="1"/>
      <c r="P2972" s="1"/>
      <c r="Q2972" s="1"/>
      <c r="R2972" s="1"/>
    </row>
    <row r="2973" spans="2:18" s="12" customFormat="1" x14ac:dyDescent="0.15">
      <c r="B2973" s="12" t="s">
        <v>989</v>
      </c>
      <c r="C2973" s="13" t="s">
        <v>970</v>
      </c>
      <c r="D2973" s="13" t="s">
        <v>969</v>
      </c>
      <c r="E2973" s="15"/>
      <c r="F2973" s="15">
        <f>SUM(F2974:F2975)</f>
        <v>6.1428571428571423</v>
      </c>
      <c r="G2973" s="14">
        <f>G2974</f>
        <v>44691</v>
      </c>
      <c r="M2973" s="13"/>
      <c r="N2973" s="13"/>
      <c r="O2973" s="13"/>
      <c r="P2973" s="13"/>
      <c r="Q2973" s="13"/>
      <c r="R2973" s="13"/>
    </row>
    <row r="2974" spans="2:18" x14ac:dyDescent="0.15">
      <c r="C2974" s="2" t="s">
        <v>4</v>
      </c>
      <c r="D2974" s="2" t="s">
        <v>679</v>
      </c>
      <c r="E2974" s="3">
        <v>15</v>
      </c>
      <c r="F2974" s="3">
        <f>15/7</f>
        <v>2.1428571428571428</v>
      </c>
      <c r="G2974" s="4">
        <v>44691</v>
      </c>
    </row>
    <row r="2975" spans="2:18" x14ac:dyDescent="0.15">
      <c r="C2975" s="2" t="s">
        <v>7</v>
      </c>
      <c r="D2975" s="2" t="s">
        <v>310</v>
      </c>
      <c r="E2975" s="3">
        <v>40</v>
      </c>
      <c r="F2975" s="3">
        <v>4</v>
      </c>
      <c r="G2975" s="4">
        <v>43419</v>
      </c>
    </row>
    <row r="2976" spans="2:18" x14ac:dyDescent="0.15">
      <c r="G2976" s="4"/>
    </row>
    <row r="2977" spans="2:18" s="12" customFormat="1" x14ac:dyDescent="0.15">
      <c r="B2977" s="12" t="s">
        <v>988</v>
      </c>
      <c r="C2977" s="13" t="s">
        <v>970</v>
      </c>
      <c r="D2977" s="13" t="s">
        <v>969</v>
      </c>
      <c r="E2977" s="15"/>
      <c r="F2977" s="15">
        <f>SUM(F2978:F2979)</f>
        <v>5.75</v>
      </c>
      <c r="G2977" s="14">
        <f>G2978</f>
        <v>44615</v>
      </c>
      <c r="M2977" s="13"/>
      <c r="N2977" s="13"/>
      <c r="O2977" s="13"/>
      <c r="P2977" s="13"/>
      <c r="Q2977" s="13"/>
      <c r="R2977" s="13"/>
    </row>
    <row r="2978" spans="2:18" x14ac:dyDescent="0.15">
      <c r="C2978" s="2" t="s">
        <v>5</v>
      </c>
      <c r="D2978" s="2" t="s">
        <v>987</v>
      </c>
      <c r="E2978" s="3">
        <v>25</v>
      </c>
      <c r="F2978" s="3">
        <f>15/4</f>
        <v>3.75</v>
      </c>
      <c r="G2978" s="4">
        <v>44615</v>
      </c>
    </row>
    <row r="2979" spans="2:18" x14ac:dyDescent="0.15">
      <c r="C2979" s="2" t="s">
        <v>4</v>
      </c>
      <c r="D2979" s="2" t="s">
        <v>987</v>
      </c>
      <c r="E2979" s="3">
        <v>5</v>
      </c>
      <c r="F2979" s="3">
        <v>2</v>
      </c>
      <c r="G2979" s="4">
        <v>44292</v>
      </c>
    </row>
    <row r="2980" spans="2:18" x14ac:dyDescent="0.15">
      <c r="G2980" s="4"/>
    </row>
    <row r="2981" spans="2:18" s="12" customFormat="1" x14ac:dyDescent="0.15">
      <c r="B2981" s="12" t="s">
        <v>984</v>
      </c>
      <c r="C2981" s="13" t="s">
        <v>970</v>
      </c>
      <c r="D2981" s="13" t="s">
        <v>969</v>
      </c>
      <c r="E2981" s="15"/>
      <c r="F2981" s="15">
        <f>SUM(F2982:F2984)</f>
        <v>6</v>
      </c>
      <c r="G2981" s="14">
        <f>G2982</f>
        <v>44636</v>
      </c>
      <c r="M2981" s="13"/>
      <c r="N2981" s="13"/>
      <c r="O2981" s="13"/>
      <c r="P2981" s="13"/>
      <c r="Q2981" s="13"/>
      <c r="R2981" s="13"/>
    </row>
    <row r="2982" spans="2:18" x14ac:dyDescent="0.15">
      <c r="C2982" s="2" t="s">
        <v>7</v>
      </c>
      <c r="D2982" s="2" t="s">
        <v>861</v>
      </c>
      <c r="E2982" s="3">
        <v>25</v>
      </c>
      <c r="F2982" s="3">
        <v>3</v>
      </c>
      <c r="G2982" s="4">
        <v>44636</v>
      </c>
    </row>
    <row r="2983" spans="2:18" x14ac:dyDescent="0.15">
      <c r="C2983" s="2" t="s">
        <v>5</v>
      </c>
      <c r="D2983" s="2" t="s">
        <v>861</v>
      </c>
      <c r="E2983" s="3">
        <v>12</v>
      </c>
      <c r="F2983" s="3">
        <v>2</v>
      </c>
      <c r="G2983" s="4">
        <v>44179</v>
      </c>
    </row>
    <row r="2984" spans="2:18" x14ac:dyDescent="0.15">
      <c r="C2984" s="2" t="s">
        <v>4</v>
      </c>
      <c r="D2984" s="2" t="s">
        <v>861</v>
      </c>
      <c r="E2984" s="3">
        <v>5.0999999999999996</v>
      </c>
      <c r="F2984" s="3">
        <v>1</v>
      </c>
      <c r="G2984" s="4">
        <v>44046</v>
      </c>
    </row>
    <row r="2985" spans="2:18" x14ac:dyDescent="0.15">
      <c r="G2985" s="4"/>
    </row>
    <row r="2986" spans="2:18" s="12" customFormat="1" x14ac:dyDescent="0.15">
      <c r="B2986" s="12" t="s">
        <v>630</v>
      </c>
      <c r="C2986" s="13" t="s">
        <v>970</v>
      </c>
      <c r="D2986" s="13" t="s">
        <v>969</v>
      </c>
      <c r="E2986" s="15"/>
      <c r="F2986" s="15">
        <f>SUM(F2987:F2989)</f>
        <v>6.2</v>
      </c>
      <c r="G2986" s="14">
        <f>G2987</f>
        <v>44825</v>
      </c>
    </row>
    <row r="2987" spans="2:18" x14ac:dyDescent="0.15">
      <c r="C2987" s="2" t="s">
        <v>5</v>
      </c>
      <c r="D2987" s="2" t="s">
        <v>71</v>
      </c>
      <c r="E2987" s="3">
        <v>10</v>
      </c>
      <c r="F2987" s="3">
        <v>4</v>
      </c>
      <c r="G2987" s="4">
        <v>44825</v>
      </c>
      <c r="M2987" s="1"/>
      <c r="N2987" s="1"/>
      <c r="O2987" s="1"/>
      <c r="P2987" s="1"/>
      <c r="Q2987" s="1"/>
      <c r="R2987" s="1"/>
    </row>
    <row r="2988" spans="2:18" x14ac:dyDescent="0.15">
      <c r="C2988" s="2" t="s">
        <v>4</v>
      </c>
      <c r="D2988" s="2" t="s">
        <v>71</v>
      </c>
      <c r="E2988" s="3">
        <v>1.5</v>
      </c>
      <c r="F2988" s="3">
        <v>1.5</v>
      </c>
      <c r="G2988" s="4">
        <v>44406</v>
      </c>
      <c r="M2988" s="1"/>
      <c r="N2988" s="1"/>
      <c r="O2988" s="1"/>
      <c r="P2988" s="1"/>
      <c r="Q2988" s="1"/>
      <c r="R2988" s="1"/>
    </row>
    <row r="2989" spans="2:18" x14ac:dyDescent="0.15">
      <c r="C2989" s="2" t="s">
        <v>4</v>
      </c>
      <c r="D2989" s="2" t="s">
        <v>144</v>
      </c>
      <c r="E2989" s="3">
        <v>0.7</v>
      </c>
      <c r="F2989" s="3">
        <v>0.7</v>
      </c>
      <c r="G2989" s="4">
        <v>42553</v>
      </c>
      <c r="M2989" s="1"/>
      <c r="N2989" s="1"/>
      <c r="O2989" s="1"/>
      <c r="P2989" s="1"/>
      <c r="Q2989" s="1"/>
      <c r="R2989" s="1"/>
    </row>
    <row r="2990" spans="2:18" x14ac:dyDescent="0.15">
      <c r="G2990" s="4"/>
      <c r="M2990" s="1"/>
      <c r="N2990" s="1"/>
      <c r="O2990" s="1"/>
      <c r="P2990" s="1"/>
      <c r="Q2990" s="1"/>
      <c r="R2990" s="1"/>
    </row>
    <row r="2991" spans="2:18" s="12" customFormat="1" x14ac:dyDescent="0.15">
      <c r="B2991" s="12" t="s">
        <v>703</v>
      </c>
      <c r="C2991" s="13" t="s">
        <v>970</v>
      </c>
      <c r="D2991" s="13" t="s">
        <v>969</v>
      </c>
      <c r="E2991" s="15"/>
      <c r="F2991" s="15">
        <f>SUM(F2992:F2994)</f>
        <v>6.1</v>
      </c>
      <c r="G2991" s="14">
        <f>G2993</f>
        <v>44952</v>
      </c>
      <c r="M2991" s="13"/>
      <c r="N2991" s="13"/>
      <c r="O2991" s="13"/>
      <c r="P2991" s="13"/>
      <c r="Q2991" s="13"/>
      <c r="R2991" s="13"/>
    </row>
    <row r="2992" spans="2:18" x14ac:dyDescent="0.15">
      <c r="C2992" s="2" t="s">
        <v>5</v>
      </c>
      <c r="D2992" s="2" t="s">
        <v>702</v>
      </c>
      <c r="E2992" s="3">
        <v>50</v>
      </c>
      <c r="F2992" s="3">
        <f>30/12</f>
        <v>2.5</v>
      </c>
      <c r="G2992" s="4">
        <v>44796</v>
      </c>
    </row>
    <row r="2993" spans="2:18" x14ac:dyDescent="0.15">
      <c r="C2993" s="2" t="s">
        <v>5</v>
      </c>
      <c r="D2993" s="2" t="s">
        <v>667</v>
      </c>
      <c r="E2993" s="3">
        <v>12.7</v>
      </c>
      <c r="F2993" s="3">
        <f>8/5</f>
        <v>1.6</v>
      </c>
      <c r="G2993" s="4">
        <v>44952</v>
      </c>
    </row>
    <row r="2994" spans="2:18" x14ac:dyDescent="0.15">
      <c r="C2994" s="2" t="s">
        <v>4</v>
      </c>
      <c r="D2994" s="2" t="s">
        <v>122</v>
      </c>
      <c r="E2994" s="3">
        <v>4.5</v>
      </c>
      <c r="F2994" s="3">
        <v>2</v>
      </c>
      <c r="G2994" s="4">
        <v>44434</v>
      </c>
    </row>
    <row r="2995" spans="2:18" x14ac:dyDescent="0.15">
      <c r="G2995" s="4"/>
    </row>
    <row r="2996" spans="2:18" s="12" customFormat="1" x14ac:dyDescent="0.15">
      <c r="B2996" s="12" t="s">
        <v>459</v>
      </c>
      <c r="C2996" s="13" t="s">
        <v>970</v>
      </c>
      <c r="D2996" s="13" t="s">
        <v>969</v>
      </c>
      <c r="E2996" s="15"/>
      <c r="F2996" s="15">
        <f>SUM(F2997:F2998)</f>
        <v>6</v>
      </c>
      <c r="G2996" s="14">
        <f>G2997</f>
        <v>44600</v>
      </c>
    </row>
    <row r="2997" spans="2:18" x14ac:dyDescent="0.15">
      <c r="C2997" s="2" t="s">
        <v>7</v>
      </c>
      <c r="D2997" s="2" t="s">
        <v>457</v>
      </c>
      <c r="E2997" s="3">
        <v>26.8</v>
      </c>
      <c r="F2997" s="3">
        <v>4</v>
      </c>
      <c r="G2997" s="4">
        <v>44600</v>
      </c>
      <c r="M2997" s="1"/>
      <c r="N2997" s="1"/>
      <c r="O2997" s="1"/>
      <c r="P2997" s="1"/>
      <c r="Q2997" s="1"/>
      <c r="R2997" s="1"/>
    </row>
    <row r="2998" spans="2:18" x14ac:dyDescent="0.15">
      <c r="C2998" s="2" t="s">
        <v>5</v>
      </c>
      <c r="D2998" s="2" t="s">
        <v>457</v>
      </c>
      <c r="E2998" s="3">
        <v>8.3000000000000007</v>
      </c>
      <c r="F2998" s="3">
        <v>2</v>
      </c>
      <c r="G2998" s="4">
        <v>44053</v>
      </c>
      <c r="M2998" s="1"/>
      <c r="N2998" s="1"/>
      <c r="O2998" s="1"/>
      <c r="P2998" s="1"/>
      <c r="Q2998" s="1"/>
      <c r="R2998" s="1"/>
    </row>
    <row r="2999" spans="2:18" x14ac:dyDescent="0.15">
      <c r="G2999" s="4"/>
      <c r="M2999" s="1"/>
      <c r="N2999" s="1"/>
      <c r="O2999" s="1"/>
      <c r="P2999" s="1"/>
      <c r="Q2999" s="1"/>
      <c r="R2999" s="1"/>
    </row>
    <row r="3000" spans="2:18" s="12" customFormat="1" x14ac:dyDescent="0.15">
      <c r="B3000" s="12" t="s">
        <v>17</v>
      </c>
      <c r="C3000" s="13" t="s">
        <v>970</v>
      </c>
      <c r="D3000" s="13" t="s">
        <v>969</v>
      </c>
      <c r="E3000" s="15"/>
      <c r="F3000" s="15">
        <f>SUM(F3001:F3003)</f>
        <v>6.4</v>
      </c>
      <c r="G3000" s="14">
        <f>G3001</f>
        <v>43031</v>
      </c>
      <c r="M3000" s="13"/>
      <c r="N3000" s="13"/>
      <c r="O3000" s="13"/>
      <c r="P3000" s="13"/>
      <c r="Q3000" s="13"/>
      <c r="R3000" s="13"/>
    </row>
    <row r="3001" spans="2:18" x14ac:dyDescent="0.15">
      <c r="C3001" s="2" t="s">
        <v>7</v>
      </c>
      <c r="D3001" s="2" t="s">
        <v>15</v>
      </c>
      <c r="E3001" s="3">
        <v>28</v>
      </c>
      <c r="F3001" s="3">
        <v>4</v>
      </c>
      <c r="G3001" s="4">
        <v>43031</v>
      </c>
    </row>
    <row r="3002" spans="2:18" x14ac:dyDescent="0.15">
      <c r="C3002" s="2" t="s">
        <v>5</v>
      </c>
      <c r="D3002" s="2" t="s">
        <v>15</v>
      </c>
      <c r="E3002" s="3">
        <v>10</v>
      </c>
      <c r="F3002" s="3">
        <v>2</v>
      </c>
      <c r="G3002" s="4">
        <v>42508</v>
      </c>
    </row>
    <row r="3003" spans="2:18" x14ac:dyDescent="0.15">
      <c r="C3003" s="2" t="s">
        <v>4</v>
      </c>
      <c r="D3003" s="2" t="s">
        <v>15</v>
      </c>
      <c r="E3003" s="3">
        <v>1.8</v>
      </c>
      <c r="F3003" s="3">
        <v>0.4</v>
      </c>
      <c r="G3003" s="4">
        <v>41976</v>
      </c>
    </row>
    <row r="3004" spans="2:18" x14ac:dyDescent="0.15">
      <c r="G3004" s="4"/>
    </row>
    <row r="3005" spans="2:18" s="12" customFormat="1" x14ac:dyDescent="0.15">
      <c r="B3005" s="12" t="s">
        <v>738</v>
      </c>
      <c r="C3005" s="13" t="s">
        <v>970</v>
      </c>
      <c r="D3005" s="13" t="s">
        <v>969</v>
      </c>
      <c r="E3005" s="15"/>
      <c r="F3005" s="15">
        <f>SUM(F3006:F3007)</f>
        <v>5.8</v>
      </c>
      <c r="G3005" s="14">
        <f>G3006</f>
        <v>44755</v>
      </c>
    </row>
    <row r="3006" spans="2:18" x14ac:dyDescent="0.15">
      <c r="C3006" s="2" t="s">
        <v>7</v>
      </c>
      <c r="D3006" s="2" t="s">
        <v>736</v>
      </c>
      <c r="E3006" s="3">
        <v>25</v>
      </c>
      <c r="F3006" s="3">
        <f>15/5</f>
        <v>3</v>
      </c>
      <c r="G3006" s="4">
        <v>44755</v>
      </c>
    </row>
    <row r="3007" spans="2:18" x14ac:dyDescent="0.15">
      <c r="C3007" s="2" t="s">
        <v>5</v>
      </c>
      <c r="D3007" s="2" t="s">
        <v>736</v>
      </c>
      <c r="E3007" s="3">
        <v>21</v>
      </c>
      <c r="F3007" s="3">
        <f>14/5</f>
        <v>2.8</v>
      </c>
      <c r="G3007" s="4">
        <v>44489</v>
      </c>
    </row>
    <row r="3008" spans="2:18" x14ac:dyDescent="0.15">
      <c r="G3008" s="4"/>
    </row>
    <row r="3009" spans="2:18" s="12" customFormat="1" x14ac:dyDescent="0.15">
      <c r="B3009" s="12" t="s">
        <v>411</v>
      </c>
      <c r="C3009" s="13" t="s">
        <v>970</v>
      </c>
      <c r="D3009" s="13" t="s">
        <v>969</v>
      </c>
      <c r="E3009" s="15"/>
      <c r="F3009" s="15">
        <f>SUM(F3010:F3011)</f>
        <v>5.75</v>
      </c>
      <c r="G3009" s="14">
        <f>G3010</f>
        <v>44740</v>
      </c>
    </row>
    <row r="3010" spans="2:18" x14ac:dyDescent="0.15">
      <c r="B3010" s="12"/>
      <c r="C3010" s="2" t="s">
        <v>5</v>
      </c>
      <c r="D3010" s="2" t="s">
        <v>409</v>
      </c>
      <c r="E3010" s="3">
        <v>10</v>
      </c>
      <c r="F3010" s="3">
        <f>7/4</f>
        <v>1.75</v>
      </c>
      <c r="G3010" s="4">
        <v>44740</v>
      </c>
      <c r="M3010" s="1"/>
      <c r="N3010" s="1"/>
      <c r="O3010" s="1"/>
      <c r="P3010" s="1"/>
      <c r="Q3010" s="1"/>
      <c r="R3010" s="1"/>
    </row>
    <row r="3011" spans="2:18" x14ac:dyDescent="0.15">
      <c r="C3011" s="169" t="s">
        <v>7</v>
      </c>
      <c r="D3011" s="169" t="s">
        <v>2051</v>
      </c>
      <c r="E3011" s="3">
        <v>50</v>
      </c>
      <c r="F3011" s="3">
        <v>4</v>
      </c>
      <c r="G3011" s="4">
        <v>44252</v>
      </c>
      <c r="M3011" s="1"/>
      <c r="N3011" s="1"/>
      <c r="O3011" s="1"/>
      <c r="P3011" s="1"/>
      <c r="Q3011" s="1"/>
      <c r="R3011" s="1"/>
    </row>
    <row r="3012" spans="2:18" x14ac:dyDescent="0.15">
      <c r="G3012" s="4"/>
      <c r="M3012" s="1"/>
      <c r="N3012" s="1"/>
      <c r="O3012" s="1"/>
      <c r="P3012" s="1"/>
      <c r="Q3012" s="1"/>
      <c r="R3012" s="1"/>
    </row>
    <row r="3013" spans="2:18" s="12" customFormat="1" x14ac:dyDescent="0.15">
      <c r="B3013" s="12" t="s">
        <v>649</v>
      </c>
      <c r="C3013" s="13" t="s">
        <v>970</v>
      </c>
      <c r="D3013" s="13" t="s">
        <v>969</v>
      </c>
      <c r="E3013" s="15"/>
      <c r="F3013" s="15">
        <f>SUM(F3014:F3015)</f>
        <v>6</v>
      </c>
      <c r="G3013" s="14">
        <f>G3014</f>
        <v>44642</v>
      </c>
    </row>
    <row r="3014" spans="2:18" x14ac:dyDescent="0.15">
      <c r="C3014" s="2" t="s">
        <v>5</v>
      </c>
      <c r="D3014" s="2" t="s">
        <v>647</v>
      </c>
      <c r="E3014" s="3">
        <v>13</v>
      </c>
      <c r="F3014" s="3">
        <v>5</v>
      </c>
      <c r="G3014" s="4">
        <v>44642</v>
      </c>
      <c r="M3014" s="1"/>
      <c r="N3014" s="1"/>
      <c r="O3014" s="1"/>
      <c r="P3014" s="1"/>
      <c r="Q3014" s="1"/>
      <c r="R3014" s="1"/>
    </row>
    <row r="3015" spans="2:18" x14ac:dyDescent="0.15">
      <c r="C3015" s="2" t="s">
        <v>4</v>
      </c>
      <c r="D3015" s="2" t="s">
        <v>647</v>
      </c>
      <c r="E3015" s="3">
        <v>3.5</v>
      </c>
      <c r="F3015" s="3">
        <v>1</v>
      </c>
      <c r="G3015" s="4">
        <v>44124</v>
      </c>
      <c r="M3015" s="1"/>
      <c r="N3015" s="1"/>
      <c r="O3015" s="1"/>
      <c r="P3015" s="1"/>
      <c r="Q3015" s="1"/>
      <c r="R3015" s="1"/>
    </row>
    <row r="3016" spans="2:18" x14ac:dyDescent="0.15">
      <c r="G3016" s="4"/>
      <c r="M3016" s="1"/>
      <c r="N3016" s="1"/>
      <c r="O3016" s="1"/>
      <c r="P3016" s="1"/>
      <c r="Q3016" s="1"/>
      <c r="R3016" s="1"/>
    </row>
    <row r="3017" spans="2:18" s="12" customFormat="1" x14ac:dyDescent="0.15">
      <c r="B3017" s="12" t="s">
        <v>6607</v>
      </c>
      <c r="C3017" s="13" t="s">
        <v>970</v>
      </c>
      <c r="D3017" s="13" t="s">
        <v>969</v>
      </c>
      <c r="E3017" s="15"/>
      <c r="F3017" s="15">
        <f>SUM(F3018:F3019)</f>
        <v>6</v>
      </c>
      <c r="G3017" s="14">
        <f>G3018</f>
        <v>44518</v>
      </c>
      <c r="M3017" s="13"/>
      <c r="N3017" s="13"/>
      <c r="O3017" s="13"/>
      <c r="P3017" s="13"/>
      <c r="Q3017" s="13"/>
      <c r="R3017" s="13"/>
    </row>
    <row r="3018" spans="2:18" x14ac:dyDescent="0.15">
      <c r="B3018" s="168"/>
      <c r="C3018" s="169" t="s">
        <v>7</v>
      </c>
      <c r="D3018" s="169" t="s">
        <v>2040</v>
      </c>
      <c r="E3018" s="3">
        <v>21</v>
      </c>
      <c r="F3018" s="3">
        <v>5</v>
      </c>
      <c r="G3018" s="4">
        <v>44518</v>
      </c>
    </row>
    <row r="3019" spans="2:18" x14ac:dyDescent="0.15">
      <c r="C3019" s="169" t="s">
        <v>5</v>
      </c>
      <c r="D3019" s="169" t="s">
        <v>2040</v>
      </c>
      <c r="E3019" s="3">
        <v>9.1</v>
      </c>
      <c r="F3019" s="3">
        <v>1</v>
      </c>
      <c r="G3019" s="4">
        <v>42087</v>
      </c>
    </row>
    <row r="3020" spans="2:18" x14ac:dyDescent="0.15">
      <c r="C3020" s="169"/>
      <c r="D3020" s="169"/>
      <c r="G3020" s="4"/>
    </row>
    <row r="3021" spans="2:18" s="12" customFormat="1" x14ac:dyDescent="0.15">
      <c r="B3021" s="12" t="s">
        <v>544</v>
      </c>
      <c r="C3021" s="13" t="s">
        <v>970</v>
      </c>
      <c r="D3021" s="13" t="s">
        <v>969</v>
      </c>
      <c r="E3021" s="15"/>
      <c r="F3021" s="15">
        <f>SUM(F3022:F3025)</f>
        <v>5.5333333333333332</v>
      </c>
      <c r="G3021" s="14">
        <f>G3025</f>
        <v>44686</v>
      </c>
    </row>
    <row r="3022" spans="2:18" x14ac:dyDescent="0.15">
      <c r="C3022" s="2" t="s">
        <v>5</v>
      </c>
      <c r="D3022" s="2" t="s">
        <v>543</v>
      </c>
      <c r="E3022" s="3">
        <v>14</v>
      </c>
      <c r="F3022" s="3">
        <f>8/5</f>
        <v>1.6</v>
      </c>
      <c r="G3022" s="4">
        <v>44447</v>
      </c>
      <c r="M3022" s="1"/>
      <c r="N3022" s="1"/>
      <c r="O3022" s="1"/>
      <c r="P3022" s="1"/>
      <c r="Q3022" s="1"/>
      <c r="R3022" s="1"/>
    </row>
    <row r="3023" spans="2:18" x14ac:dyDescent="0.15">
      <c r="C3023" s="2" t="s">
        <v>5</v>
      </c>
      <c r="D3023" s="2" t="s">
        <v>543</v>
      </c>
      <c r="E3023" s="3">
        <v>12</v>
      </c>
      <c r="F3023" s="3">
        <f>8/5</f>
        <v>1.6</v>
      </c>
      <c r="G3023" s="4">
        <v>43532</v>
      </c>
      <c r="M3023" s="1"/>
      <c r="N3023" s="1"/>
      <c r="O3023" s="1"/>
      <c r="P3023" s="1"/>
      <c r="Q3023" s="1"/>
      <c r="R3023" s="1"/>
    </row>
    <row r="3024" spans="2:18" x14ac:dyDescent="0.15">
      <c r="C3024" s="2" t="s">
        <v>5</v>
      </c>
      <c r="D3024" s="2" t="s">
        <v>542</v>
      </c>
      <c r="E3024" s="3">
        <v>5</v>
      </c>
      <c r="F3024" s="3">
        <v>1</v>
      </c>
      <c r="G3024" s="4">
        <v>44514</v>
      </c>
      <c r="M3024" s="1"/>
      <c r="N3024" s="1"/>
      <c r="O3024" s="1"/>
      <c r="P3024" s="1"/>
      <c r="Q3024" s="1"/>
      <c r="R3024" s="1"/>
    </row>
    <row r="3025" spans="2:18" x14ac:dyDescent="0.15">
      <c r="C3025" s="261" t="s">
        <v>4</v>
      </c>
      <c r="D3025" s="261" t="s">
        <v>2018</v>
      </c>
      <c r="E3025" s="3">
        <v>11</v>
      </c>
      <c r="F3025" s="3">
        <f>8/6</f>
        <v>1.3333333333333333</v>
      </c>
      <c r="G3025" s="4">
        <v>44686</v>
      </c>
      <c r="M3025" s="1"/>
      <c r="N3025" s="1"/>
      <c r="O3025" s="1"/>
      <c r="P3025" s="1"/>
      <c r="Q3025" s="1"/>
      <c r="R3025" s="1"/>
    </row>
    <row r="3026" spans="2:18" x14ac:dyDescent="0.15">
      <c r="G3026" s="4"/>
      <c r="M3026" s="1"/>
      <c r="N3026" s="1"/>
      <c r="O3026" s="1"/>
      <c r="P3026" s="1"/>
      <c r="Q3026" s="1"/>
      <c r="R3026" s="1"/>
    </row>
    <row r="3027" spans="2:18" s="12" customFormat="1" x14ac:dyDescent="0.15">
      <c r="B3027" s="12" t="s">
        <v>978</v>
      </c>
      <c r="C3027" s="13" t="s">
        <v>970</v>
      </c>
      <c r="D3027" s="13" t="s">
        <v>969</v>
      </c>
      <c r="E3027" s="15"/>
      <c r="F3027" s="15">
        <f>SUM(F3028:F3031)</f>
        <v>6.2333333333333325</v>
      </c>
      <c r="G3027" s="14">
        <f>G3030</f>
        <v>44637</v>
      </c>
    </row>
    <row r="3028" spans="2:18" x14ac:dyDescent="0.15">
      <c r="B3028" s="273" t="s">
        <v>7704</v>
      </c>
      <c r="C3028" s="2" t="s">
        <v>5</v>
      </c>
      <c r="D3028" s="2" t="s">
        <v>517</v>
      </c>
      <c r="E3028" s="3">
        <v>14.5</v>
      </c>
      <c r="F3028" s="3">
        <v>1.5</v>
      </c>
      <c r="G3028" s="4">
        <v>43389</v>
      </c>
      <c r="M3028" s="1"/>
      <c r="N3028" s="1"/>
      <c r="O3028" s="1"/>
      <c r="P3028" s="1"/>
      <c r="Q3028" s="1"/>
      <c r="R3028" s="1"/>
    </row>
    <row r="3029" spans="2:18" x14ac:dyDescent="0.15">
      <c r="C3029" s="2" t="s">
        <v>4</v>
      </c>
      <c r="D3029" s="2" t="s">
        <v>517</v>
      </c>
      <c r="E3029" s="3">
        <v>4</v>
      </c>
      <c r="F3029" s="3">
        <f>4/3</f>
        <v>1.3333333333333333</v>
      </c>
      <c r="G3029" s="4">
        <v>42647</v>
      </c>
      <c r="M3029" s="1"/>
      <c r="N3029" s="1"/>
      <c r="O3029" s="1"/>
      <c r="P3029" s="1"/>
      <c r="Q3029" s="1"/>
      <c r="R3029" s="1"/>
    </row>
    <row r="3030" spans="2:18" x14ac:dyDescent="0.15">
      <c r="C3030" s="2" t="s">
        <v>5</v>
      </c>
      <c r="D3030" s="2" t="s">
        <v>302</v>
      </c>
      <c r="E3030" s="3">
        <v>10</v>
      </c>
      <c r="F3030" s="3">
        <v>1.4</v>
      </c>
      <c r="G3030" s="4">
        <v>44637</v>
      </c>
      <c r="M3030" s="1"/>
      <c r="N3030" s="1"/>
      <c r="O3030" s="1"/>
      <c r="P3030" s="1"/>
      <c r="Q3030" s="1"/>
      <c r="R3030" s="1"/>
    </row>
    <row r="3031" spans="2:18" x14ac:dyDescent="0.15">
      <c r="C3031" s="2" t="s">
        <v>4</v>
      </c>
      <c r="D3031" s="2" t="s">
        <v>302</v>
      </c>
      <c r="E3031" s="3">
        <v>4.5</v>
      </c>
      <c r="F3031" s="3">
        <v>2</v>
      </c>
      <c r="G3031" s="4">
        <v>44175</v>
      </c>
      <c r="M3031" s="1"/>
      <c r="N3031" s="1"/>
      <c r="O3031" s="1"/>
      <c r="P3031" s="1"/>
      <c r="Q3031" s="1"/>
      <c r="R3031" s="1"/>
    </row>
    <row r="3032" spans="2:18" x14ac:dyDescent="0.15">
      <c r="G3032" s="4"/>
      <c r="M3032" s="1"/>
      <c r="N3032" s="1"/>
      <c r="O3032" s="1"/>
      <c r="P3032" s="1"/>
      <c r="Q3032" s="1"/>
      <c r="R3032" s="1"/>
    </row>
    <row r="3033" spans="2:18" s="12" customFormat="1" x14ac:dyDescent="0.15">
      <c r="B3033" s="12" t="s">
        <v>443</v>
      </c>
      <c r="C3033" s="13" t="s">
        <v>970</v>
      </c>
      <c r="D3033" s="13" t="s">
        <v>969</v>
      </c>
      <c r="E3033" s="15"/>
      <c r="F3033" s="15">
        <f>SUM(F3034:F3035)</f>
        <v>4.5</v>
      </c>
      <c r="G3033" s="14">
        <f>G3034</f>
        <v>44602</v>
      </c>
    </row>
    <row r="3034" spans="2:18" x14ac:dyDescent="0.15">
      <c r="C3034" s="2" t="s">
        <v>4</v>
      </c>
      <c r="D3034" s="2" t="s">
        <v>440</v>
      </c>
      <c r="E3034" s="3">
        <v>7</v>
      </c>
      <c r="F3034" s="3">
        <v>0.5</v>
      </c>
      <c r="G3034" s="4">
        <v>44602</v>
      </c>
      <c r="M3034" s="1"/>
      <c r="N3034" s="1"/>
      <c r="O3034" s="1"/>
      <c r="P3034" s="1"/>
      <c r="Q3034" s="1"/>
      <c r="R3034" s="1"/>
    </row>
    <row r="3035" spans="2:18" x14ac:dyDescent="0.15">
      <c r="C3035" s="169" t="s">
        <v>7</v>
      </c>
      <c r="D3035" s="169" t="s">
        <v>2051</v>
      </c>
      <c r="E3035" s="3">
        <v>50</v>
      </c>
      <c r="F3035" s="3">
        <v>4</v>
      </c>
      <c r="G3035" s="4">
        <v>44252</v>
      </c>
      <c r="M3035" s="1"/>
      <c r="N3035" s="1"/>
      <c r="O3035" s="1"/>
      <c r="P3035" s="1"/>
      <c r="Q3035" s="1"/>
      <c r="R3035" s="1"/>
    </row>
    <row r="3036" spans="2:18" x14ac:dyDescent="0.15">
      <c r="G3036" s="4"/>
      <c r="M3036" s="1"/>
      <c r="N3036" s="1"/>
      <c r="O3036" s="1"/>
      <c r="P3036" s="1"/>
      <c r="Q3036" s="1"/>
      <c r="R3036" s="1"/>
    </row>
    <row r="3037" spans="2:18" s="12" customFormat="1" x14ac:dyDescent="0.15">
      <c r="B3037" s="12" t="s">
        <v>93</v>
      </c>
      <c r="C3037" s="13" t="s">
        <v>970</v>
      </c>
      <c r="D3037" s="13" t="s">
        <v>969</v>
      </c>
      <c r="E3037" s="15"/>
      <c r="F3037" s="15">
        <f>SUM(F3038:F3041)</f>
        <v>5.3630952380952381</v>
      </c>
      <c r="G3037" s="14">
        <f>G3038</f>
        <v>44642</v>
      </c>
      <c r="M3037" s="13"/>
      <c r="N3037" s="13"/>
      <c r="O3037" s="13"/>
      <c r="P3037" s="13"/>
      <c r="Q3037" s="13"/>
      <c r="R3037" s="13"/>
    </row>
    <row r="3038" spans="2:18" x14ac:dyDescent="0.15">
      <c r="B3038" s="258" t="s">
        <v>7710</v>
      </c>
      <c r="C3038" s="2" t="s">
        <v>7</v>
      </c>
      <c r="D3038" s="2" t="s">
        <v>87</v>
      </c>
      <c r="E3038" s="3">
        <v>25</v>
      </c>
      <c r="F3038" s="3">
        <f>15/6</f>
        <v>2.5</v>
      </c>
      <c r="G3038" s="4">
        <v>44642</v>
      </c>
    </row>
    <row r="3039" spans="2:18" x14ac:dyDescent="0.15">
      <c r="C3039" s="2" t="s">
        <v>5</v>
      </c>
      <c r="D3039" s="2" t="s">
        <v>87</v>
      </c>
      <c r="E3039" s="3">
        <v>13.5</v>
      </c>
      <c r="F3039" s="3">
        <f>10/6</f>
        <v>1.6666666666666667</v>
      </c>
      <c r="G3039" s="4">
        <v>43978</v>
      </c>
    </row>
    <row r="3040" spans="2:18" x14ac:dyDescent="0.15">
      <c r="C3040" s="2" t="s">
        <v>4</v>
      </c>
      <c r="D3040" s="2" t="s">
        <v>87</v>
      </c>
      <c r="E3040" s="3">
        <v>5.3</v>
      </c>
      <c r="F3040" s="3">
        <f>4/7</f>
        <v>0.5714285714285714</v>
      </c>
      <c r="G3040" s="4">
        <v>43398</v>
      </c>
    </row>
    <row r="3041" spans="2:18" x14ac:dyDescent="0.15">
      <c r="C3041" s="2" t="s">
        <v>4</v>
      </c>
      <c r="D3041" s="2" t="s">
        <v>87</v>
      </c>
      <c r="E3041" s="3">
        <v>4</v>
      </c>
      <c r="F3041" s="3">
        <f>2.5/4</f>
        <v>0.625</v>
      </c>
      <c r="G3041" s="4">
        <v>43122</v>
      </c>
    </row>
    <row r="3042" spans="2:18" x14ac:dyDescent="0.15">
      <c r="G3042" s="4"/>
    </row>
    <row r="3043" spans="2:18" s="12" customFormat="1" x14ac:dyDescent="0.15">
      <c r="B3043" s="12" t="s">
        <v>812</v>
      </c>
      <c r="C3043" s="13" t="s">
        <v>970</v>
      </c>
      <c r="D3043" s="13" t="s">
        <v>969</v>
      </c>
      <c r="E3043" s="15"/>
      <c r="F3043" s="15">
        <f>SUM(F3044:F3045)</f>
        <v>5</v>
      </c>
      <c r="G3043" s="14">
        <f>G3044</f>
        <v>44882</v>
      </c>
      <c r="M3043" s="13"/>
      <c r="N3043" s="13"/>
      <c r="O3043" s="13"/>
      <c r="P3043" s="13"/>
      <c r="Q3043" s="13"/>
      <c r="R3043" s="13"/>
    </row>
    <row r="3044" spans="2:18" x14ac:dyDescent="0.15">
      <c r="C3044" s="2" t="s">
        <v>7</v>
      </c>
      <c r="D3044" s="2" t="s">
        <v>811</v>
      </c>
      <c r="E3044" s="3">
        <v>27</v>
      </c>
      <c r="F3044" s="3">
        <v>2</v>
      </c>
      <c r="G3044" s="4">
        <v>44882</v>
      </c>
    </row>
    <row r="3045" spans="2:18" x14ac:dyDescent="0.15">
      <c r="C3045" s="149" t="s">
        <v>5</v>
      </c>
      <c r="D3045" s="149" t="s">
        <v>6354</v>
      </c>
      <c r="E3045" s="3">
        <v>25</v>
      </c>
      <c r="F3045" s="3">
        <v>3</v>
      </c>
      <c r="G3045" s="4">
        <v>44594</v>
      </c>
    </row>
    <row r="3046" spans="2:18" x14ac:dyDescent="0.15">
      <c r="G3046" s="4"/>
    </row>
    <row r="3047" spans="2:18" s="12" customFormat="1" x14ac:dyDescent="0.15">
      <c r="B3047" s="12" t="s">
        <v>983</v>
      </c>
      <c r="C3047" s="13" t="s">
        <v>970</v>
      </c>
      <c r="D3047" s="13" t="s">
        <v>969</v>
      </c>
      <c r="E3047" s="15"/>
      <c r="F3047" s="15">
        <f>SUM(F3048:F3049)</f>
        <v>5</v>
      </c>
      <c r="G3047" s="14">
        <f>G3048</f>
        <v>44838</v>
      </c>
      <c r="M3047" s="13"/>
      <c r="N3047" s="13"/>
      <c r="O3047" s="13"/>
      <c r="P3047" s="13"/>
      <c r="Q3047" s="13"/>
      <c r="R3047" s="13"/>
    </row>
    <row r="3048" spans="2:18" x14ac:dyDescent="0.15">
      <c r="C3048" s="2" t="s">
        <v>5</v>
      </c>
      <c r="D3048" s="2" t="s">
        <v>683</v>
      </c>
      <c r="E3048" s="3">
        <v>15</v>
      </c>
      <c r="F3048" s="3">
        <f>10/3</f>
        <v>3.3333333333333335</v>
      </c>
      <c r="G3048" s="4">
        <v>44838</v>
      </c>
    </row>
    <row r="3049" spans="2:18" x14ac:dyDescent="0.15">
      <c r="C3049" s="2" t="s">
        <v>4</v>
      </c>
      <c r="D3049" s="2" t="s">
        <v>95</v>
      </c>
      <c r="E3049" s="3">
        <v>5</v>
      </c>
      <c r="F3049" s="3">
        <f>E3049/3</f>
        <v>1.6666666666666667</v>
      </c>
      <c r="G3049" s="4">
        <v>41940</v>
      </c>
    </row>
    <row r="3050" spans="2:18" x14ac:dyDescent="0.15">
      <c r="G3050" s="4"/>
    </row>
    <row r="3051" spans="2:18" s="12" customFormat="1" x14ac:dyDescent="0.15">
      <c r="B3051" s="12" t="s">
        <v>642</v>
      </c>
      <c r="C3051" s="13" t="s">
        <v>970</v>
      </c>
      <c r="D3051" s="13" t="s">
        <v>969</v>
      </c>
      <c r="E3051" s="15"/>
      <c r="F3051" s="15">
        <f>SUM(F3052:F3053)</f>
        <v>5</v>
      </c>
      <c r="G3051" s="14">
        <f>G3052</f>
        <v>44959</v>
      </c>
    </row>
    <row r="3052" spans="2:18" x14ac:dyDescent="0.15">
      <c r="C3052" s="2" t="s">
        <v>5</v>
      </c>
      <c r="D3052" s="2" t="s">
        <v>641</v>
      </c>
      <c r="E3052" s="3">
        <v>11</v>
      </c>
      <c r="F3052" s="3">
        <v>4</v>
      </c>
      <c r="G3052" s="4">
        <v>44959</v>
      </c>
      <c r="M3052" s="1"/>
      <c r="N3052" s="1"/>
      <c r="O3052" s="1"/>
      <c r="P3052" s="1"/>
      <c r="Q3052" s="1"/>
      <c r="R3052" s="1"/>
    </row>
    <row r="3053" spans="2:18" x14ac:dyDescent="0.15">
      <c r="C3053" s="2" t="s">
        <v>4</v>
      </c>
      <c r="D3053" s="2" t="s">
        <v>641</v>
      </c>
      <c r="E3053" s="3">
        <v>2.2000000000000002</v>
      </c>
      <c r="F3053" s="3">
        <v>1</v>
      </c>
      <c r="G3053" s="4">
        <v>44959</v>
      </c>
      <c r="M3053" s="1"/>
      <c r="N3053" s="1"/>
      <c r="O3053" s="1"/>
      <c r="P3053" s="1"/>
      <c r="Q3053" s="1"/>
      <c r="R3053" s="1"/>
    </row>
    <row r="3054" spans="2:18" x14ac:dyDescent="0.15">
      <c r="G3054" s="4"/>
      <c r="M3054" s="1"/>
      <c r="N3054" s="1"/>
      <c r="O3054" s="1"/>
      <c r="P3054" s="1"/>
      <c r="Q3054" s="1"/>
      <c r="R3054" s="1"/>
    </row>
    <row r="3055" spans="2:18" s="12" customFormat="1" x14ac:dyDescent="0.15">
      <c r="B3055" s="12" t="s">
        <v>982</v>
      </c>
      <c r="C3055" s="13" t="s">
        <v>970</v>
      </c>
      <c r="D3055" s="13" t="s">
        <v>969</v>
      </c>
      <c r="E3055" s="15"/>
      <c r="F3055" s="15">
        <f>SUM(F3056:F3057)</f>
        <v>4.833333333333333</v>
      </c>
      <c r="G3055" s="14">
        <f>G3056</f>
        <v>44893</v>
      </c>
      <c r="M3055" s="13"/>
      <c r="N3055" s="13"/>
      <c r="O3055" s="13"/>
      <c r="P3055" s="13"/>
      <c r="Q3055" s="13"/>
      <c r="R3055" s="13"/>
    </row>
    <row r="3056" spans="2:18" x14ac:dyDescent="0.15">
      <c r="C3056" s="2" t="s">
        <v>5</v>
      </c>
      <c r="D3056" s="2" t="s">
        <v>780</v>
      </c>
      <c r="E3056" s="3">
        <v>33</v>
      </c>
      <c r="F3056" s="3">
        <f>13/3</f>
        <v>4.333333333333333</v>
      </c>
      <c r="G3056" s="4">
        <v>44893</v>
      </c>
    </row>
    <row r="3057" spans="2:18" x14ac:dyDescent="0.15">
      <c r="C3057" s="2" t="s">
        <v>671</v>
      </c>
      <c r="D3057" s="2" t="s">
        <v>780</v>
      </c>
      <c r="E3057" s="3">
        <v>3</v>
      </c>
      <c r="F3057" s="3">
        <v>0.5</v>
      </c>
      <c r="G3057" s="4">
        <v>44183</v>
      </c>
    </row>
    <row r="3058" spans="2:18" x14ac:dyDescent="0.15">
      <c r="G3058" s="4"/>
    </row>
    <row r="3059" spans="2:18" s="12" customFormat="1" x14ac:dyDescent="0.15">
      <c r="B3059" s="12" t="s">
        <v>6423</v>
      </c>
      <c r="C3059" s="13" t="s">
        <v>970</v>
      </c>
      <c r="D3059" s="13" t="s">
        <v>969</v>
      </c>
      <c r="E3059" s="15"/>
      <c r="F3059" s="15">
        <f>SUM(F3060:F3062)</f>
        <v>5.25</v>
      </c>
      <c r="G3059" s="14">
        <f>G3060</f>
        <v>44252</v>
      </c>
      <c r="M3059" s="13"/>
      <c r="N3059" s="13"/>
      <c r="O3059" s="13"/>
      <c r="P3059" s="13"/>
      <c r="Q3059" s="13"/>
      <c r="R3059" s="13"/>
    </row>
    <row r="3060" spans="2:18" x14ac:dyDescent="0.15">
      <c r="B3060" s="168"/>
      <c r="C3060" s="169" t="s">
        <v>7</v>
      </c>
      <c r="D3060" s="169" t="s">
        <v>2051</v>
      </c>
      <c r="E3060" s="3">
        <v>50</v>
      </c>
      <c r="F3060" s="3">
        <v>4</v>
      </c>
      <c r="G3060" s="4">
        <v>44252</v>
      </c>
    </row>
    <row r="3061" spans="2:18" x14ac:dyDescent="0.15">
      <c r="B3061" s="168"/>
      <c r="C3061" s="193" t="s">
        <v>5</v>
      </c>
      <c r="D3061" s="193" t="s">
        <v>2035</v>
      </c>
      <c r="E3061" s="3">
        <v>9.3000000000000007</v>
      </c>
      <c r="F3061" s="3">
        <v>1</v>
      </c>
      <c r="G3061" s="4">
        <v>44229</v>
      </c>
    </row>
    <row r="3062" spans="2:18" x14ac:dyDescent="0.15">
      <c r="B3062" s="168"/>
      <c r="C3062" s="193" t="s">
        <v>4</v>
      </c>
      <c r="D3062" s="193" t="s">
        <v>2035</v>
      </c>
      <c r="E3062" s="3">
        <v>2</v>
      </c>
      <c r="F3062" s="3">
        <f>1.5/6</f>
        <v>0.25</v>
      </c>
      <c r="G3062" s="4">
        <v>43522</v>
      </c>
    </row>
    <row r="3063" spans="2:18" x14ac:dyDescent="0.15">
      <c r="B3063" s="168"/>
      <c r="C3063" s="193"/>
      <c r="D3063" s="193"/>
      <c r="G3063" s="4"/>
    </row>
    <row r="3064" spans="2:18" s="12" customFormat="1" x14ac:dyDescent="0.15">
      <c r="B3064" s="12" t="s">
        <v>469</v>
      </c>
      <c r="C3064" s="13" t="s">
        <v>970</v>
      </c>
      <c r="D3064" s="13" t="s">
        <v>969</v>
      </c>
      <c r="E3064" s="15"/>
      <c r="F3064" s="15">
        <f>SUM(F3065:F3066)</f>
        <v>4.625</v>
      </c>
      <c r="G3064" s="14">
        <f>G3065</f>
        <v>44727</v>
      </c>
    </row>
    <row r="3065" spans="2:18" x14ac:dyDescent="0.15">
      <c r="C3065" s="2" t="s">
        <v>5</v>
      </c>
      <c r="D3065" s="2" t="s">
        <v>466</v>
      </c>
      <c r="E3065" s="3">
        <v>15.5</v>
      </c>
      <c r="F3065" s="3">
        <v>1.625</v>
      </c>
      <c r="G3065" s="4">
        <v>44727</v>
      </c>
      <c r="M3065" s="1"/>
      <c r="N3065" s="1"/>
      <c r="O3065" s="1"/>
      <c r="P3065" s="1"/>
      <c r="Q3065" s="1"/>
      <c r="R3065" s="1"/>
    </row>
    <row r="3066" spans="2:18" x14ac:dyDescent="0.15">
      <c r="C3066" s="2" t="s">
        <v>5</v>
      </c>
      <c r="D3066" s="2" t="s">
        <v>466</v>
      </c>
      <c r="E3066" s="3">
        <v>12</v>
      </c>
      <c r="F3066" s="3">
        <v>3</v>
      </c>
      <c r="G3066" s="4">
        <v>43948</v>
      </c>
      <c r="M3066" s="1"/>
      <c r="N3066" s="1"/>
      <c r="O3066" s="1"/>
      <c r="P3066" s="1"/>
      <c r="Q3066" s="1"/>
      <c r="R3066" s="1"/>
    </row>
    <row r="3067" spans="2:18" x14ac:dyDescent="0.15">
      <c r="G3067" s="4"/>
      <c r="M3067" s="1"/>
      <c r="N3067" s="1"/>
      <c r="O3067" s="1"/>
      <c r="P3067" s="1"/>
      <c r="Q3067" s="1"/>
      <c r="R3067" s="1"/>
    </row>
    <row r="3068" spans="2:18" s="12" customFormat="1" x14ac:dyDescent="0.15">
      <c r="B3068" s="12" t="s">
        <v>981</v>
      </c>
      <c r="C3068" s="13" t="s">
        <v>970</v>
      </c>
      <c r="D3068" s="13" t="s">
        <v>969</v>
      </c>
      <c r="E3068" s="15"/>
      <c r="F3068" s="15">
        <f>SUM(F3069:F3070)</f>
        <v>5</v>
      </c>
      <c r="G3068" s="14">
        <f>G3069</f>
        <v>44522</v>
      </c>
      <c r="M3068" s="13"/>
      <c r="N3068" s="13"/>
      <c r="O3068" s="13"/>
      <c r="P3068" s="13"/>
      <c r="Q3068" s="13"/>
      <c r="R3068" s="13"/>
    </row>
    <row r="3069" spans="2:18" x14ac:dyDescent="0.15">
      <c r="C3069" s="2" t="s">
        <v>5</v>
      </c>
      <c r="D3069" s="2" t="s">
        <v>874</v>
      </c>
      <c r="E3069" s="3">
        <v>30</v>
      </c>
      <c r="F3069" s="3">
        <v>4</v>
      </c>
      <c r="G3069" s="4">
        <v>44522</v>
      </c>
    </row>
    <row r="3070" spans="2:18" x14ac:dyDescent="0.15">
      <c r="C3070" s="2" t="s">
        <v>4</v>
      </c>
      <c r="D3070" s="2" t="s">
        <v>874</v>
      </c>
      <c r="E3070" s="3">
        <v>5.5</v>
      </c>
      <c r="F3070" s="3">
        <v>1</v>
      </c>
      <c r="G3070" s="4">
        <v>44096</v>
      </c>
    </row>
    <row r="3072" spans="2:18" s="12" customFormat="1" x14ac:dyDescent="0.15">
      <c r="B3072" s="12" t="s">
        <v>980</v>
      </c>
      <c r="C3072" s="13" t="s">
        <v>970</v>
      </c>
      <c r="D3072" s="13" t="s">
        <v>969</v>
      </c>
      <c r="E3072" s="15"/>
      <c r="F3072" s="15">
        <f>SUM(F3073:F3074)</f>
        <v>4.833333333333333</v>
      </c>
      <c r="G3072" s="14">
        <f>G3073</f>
        <v>44893</v>
      </c>
      <c r="M3072" s="13"/>
      <c r="N3072" s="13"/>
      <c r="O3072" s="13"/>
      <c r="P3072" s="13"/>
      <c r="Q3072" s="13"/>
      <c r="R3072" s="13"/>
    </row>
    <row r="3073" spans="2:18" x14ac:dyDescent="0.15">
      <c r="C3073" s="2" t="s">
        <v>5</v>
      </c>
      <c r="D3073" s="2" t="s">
        <v>780</v>
      </c>
      <c r="E3073" s="3">
        <v>33</v>
      </c>
      <c r="F3073" s="3">
        <f>13/3</f>
        <v>4.333333333333333</v>
      </c>
      <c r="G3073" s="4">
        <v>44893</v>
      </c>
    </row>
    <row r="3074" spans="2:18" x14ac:dyDescent="0.15">
      <c r="C3074" s="2" t="s">
        <v>671</v>
      </c>
      <c r="D3074" s="2" t="s">
        <v>780</v>
      </c>
      <c r="E3074" s="3">
        <v>3</v>
      </c>
      <c r="F3074" s="3">
        <v>0.5</v>
      </c>
      <c r="G3074" s="4">
        <v>44183</v>
      </c>
    </row>
    <row r="3075" spans="2:18" x14ac:dyDescent="0.15">
      <c r="C3075" s="2" t="s">
        <v>4</v>
      </c>
      <c r="D3075" s="2" t="s">
        <v>302</v>
      </c>
      <c r="E3075" s="3">
        <v>1.8</v>
      </c>
      <c r="F3075" s="3">
        <v>0.2</v>
      </c>
      <c r="G3075" s="4">
        <v>42690</v>
      </c>
    </row>
    <row r="3076" spans="2:18" x14ac:dyDescent="0.15">
      <c r="G3076" s="4"/>
    </row>
    <row r="3077" spans="2:18" s="12" customFormat="1" x14ac:dyDescent="0.15">
      <c r="B3077" s="12" t="s">
        <v>816</v>
      </c>
      <c r="C3077" s="13" t="s">
        <v>970</v>
      </c>
      <c r="D3077" s="13" t="s">
        <v>969</v>
      </c>
      <c r="E3077" s="15"/>
      <c r="F3077" s="15">
        <f>SUM(F3078:F3079)</f>
        <v>5</v>
      </c>
      <c r="G3077" s="14">
        <f>G3079</f>
        <v>44866</v>
      </c>
      <c r="M3077" s="13"/>
      <c r="N3077" s="13"/>
      <c r="O3077" s="13"/>
      <c r="P3077" s="13"/>
      <c r="Q3077" s="13"/>
      <c r="R3077" s="13"/>
    </row>
    <row r="3078" spans="2:18" x14ac:dyDescent="0.15">
      <c r="C3078" s="2" t="s">
        <v>5</v>
      </c>
      <c r="D3078" s="2" t="s">
        <v>643</v>
      </c>
      <c r="E3078" s="3">
        <v>12</v>
      </c>
      <c r="F3078" s="3">
        <f>6/3</f>
        <v>2</v>
      </c>
      <c r="G3078" s="4">
        <v>44860</v>
      </c>
    </row>
    <row r="3079" spans="2:18" x14ac:dyDescent="0.15">
      <c r="C3079" s="2" t="s">
        <v>5</v>
      </c>
      <c r="D3079" s="2" t="s">
        <v>2030</v>
      </c>
      <c r="E3079" s="3">
        <v>18</v>
      </c>
      <c r="F3079" s="3">
        <v>3</v>
      </c>
      <c r="G3079" s="4">
        <v>44866</v>
      </c>
    </row>
    <row r="3080" spans="2:18" x14ac:dyDescent="0.15">
      <c r="G3080" s="4"/>
    </row>
    <row r="3081" spans="2:18" s="12" customFormat="1" x14ac:dyDescent="0.15">
      <c r="B3081" s="12" t="s">
        <v>488</v>
      </c>
      <c r="C3081" s="13" t="s">
        <v>970</v>
      </c>
      <c r="D3081" s="13" t="s">
        <v>969</v>
      </c>
      <c r="E3081" s="15"/>
      <c r="F3081" s="15">
        <f>SUM(F3082:F3084)</f>
        <v>4.9000000000000004</v>
      </c>
      <c r="G3081" s="14">
        <f>G3082</f>
        <v>44516</v>
      </c>
    </row>
    <row r="3082" spans="2:18" x14ac:dyDescent="0.15">
      <c r="C3082" s="2" t="s">
        <v>5</v>
      </c>
      <c r="D3082" s="2" t="s">
        <v>484</v>
      </c>
      <c r="E3082" s="3">
        <v>13</v>
      </c>
      <c r="F3082" s="3">
        <v>1.4</v>
      </c>
      <c r="G3082" s="4">
        <v>44516</v>
      </c>
      <c r="M3082" s="1"/>
      <c r="N3082" s="1"/>
      <c r="O3082" s="1"/>
      <c r="P3082" s="1"/>
      <c r="Q3082" s="1"/>
      <c r="R3082" s="1"/>
    </row>
    <row r="3083" spans="2:18" x14ac:dyDescent="0.15">
      <c r="C3083" s="2" t="s">
        <v>4</v>
      </c>
      <c r="D3083" s="2" t="s">
        <v>484</v>
      </c>
      <c r="E3083" s="3">
        <v>2.5</v>
      </c>
      <c r="F3083" s="3">
        <v>1.5</v>
      </c>
      <c r="G3083" s="4">
        <v>44305</v>
      </c>
      <c r="M3083" s="1"/>
      <c r="N3083" s="1"/>
      <c r="O3083" s="1"/>
      <c r="P3083" s="1"/>
      <c r="Q3083" s="1"/>
      <c r="R3083" s="1"/>
    </row>
    <row r="3084" spans="2:18" x14ac:dyDescent="0.15">
      <c r="C3084" s="2" t="s">
        <v>4</v>
      </c>
      <c r="D3084" s="2" t="s">
        <v>482</v>
      </c>
      <c r="E3084" s="3">
        <v>2</v>
      </c>
      <c r="F3084" s="3">
        <v>2</v>
      </c>
      <c r="G3084" s="4">
        <v>44332</v>
      </c>
      <c r="M3084" s="1"/>
      <c r="N3084" s="1"/>
      <c r="O3084" s="1"/>
      <c r="P3084" s="1"/>
      <c r="Q3084" s="1"/>
      <c r="R3084" s="1"/>
    </row>
    <row r="3086" spans="2:18" s="12" customFormat="1" x14ac:dyDescent="0.15">
      <c r="B3086" s="12" t="s">
        <v>646</v>
      </c>
      <c r="C3086" s="13" t="s">
        <v>970</v>
      </c>
      <c r="D3086" s="13" t="s">
        <v>969</v>
      </c>
      <c r="E3086" s="15"/>
      <c r="F3086" s="15">
        <f>SUM(F3087:F3088)</f>
        <v>5.166666666666667</v>
      </c>
      <c r="G3086" s="14">
        <f>G3087</f>
        <v>44825</v>
      </c>
    </row>
    <row r="3087" spans="2:18" x14ac:dyDescent="0.15">
      <c r="C3087" s="2" t="s">
        <v>5</v>
      </c>
      <c r="D3087" s="2" t="s">
        <v>645</v>
      </c>
      <c r="E3087" s="3">
        <v>12.5</v>
      </c>
      <c r="F3087" s="3">
        <f>E3087/3</f>
        <v>4.166666666666667</v>
      </c>
      <c r="G3087" s="4">
        <v>44825</v>
      </c>
      <c r="M3087" s="1"/>
      <c r="N3087" s="1"/>
      <c r="O3087" s="1"/>
      <c r="P3087" s="1"/>
      <c r="Q3087" s="1"/>
      <c r="R3087" s="1"/>
    </row>
    <row r="3088" spans="2:18" x14ac:dyDescent="0.15">
      <c r="C3088" s="2" t="s">
        <v>5</v>
      </c>
      <c r="D3088" s="2" t="s">
        <v>521</v>
      </c>
      <c r="E3088" s="3">
        <v>7</v>
      </c>
      <c r="F3088" s="3">
        <v>1</v>
      </c>
      <c r="G3088" s="4">
        <v>42885</v>
      </c>
      <c r="M3088" s="1"/>
      <c r="N3088" s="1"/>
      <c r="O3088" s="1"/>
      <c r="P3088" s="1"/>
      <c r="Q3088" s="1"/>
      <c r="R3088" s="1"/>
    </row>
    <row r="3089" spans="2:18" x14ac:dyDescent="0.15">
      <c r="G3089" s="4"/>
      <c r="M3089" s="1"/>
      <c r="N3089" s="1"/>
      <c r="O3089" s="1"/>
      <c r="P3089" s="1"/>
      <c r="Q3089" s="1"/>
      <c r="R3089" s="1"/>
    </row>
    <row r="3090" spans="2:18" s="12" customFormat="1" x14ac:dyDescent="0.15">
      <c r="B3090" s="12" t="s">
        <v>467</v>
      </c>
      <c r="C3090" s="13" t="s">
        <v>970</v>
      </c>
      <c r="D3090" s="13" t="s">
        <v>969</v>
      </c>
      <c r="E3090" s="15"/>
      <c r="F3090" s="15">
        <f>SUM(F3091:F3092)</f>
        <v>4.625</v>
      </c>
      <c r="G3090" s="14">
        <f>G3091</f>
        <v>44727</v>
      </c>
    </row>
    <row r="3091" spans="2:18" x14ac:dyDescent="0.15">
      <c r="C3091" s="2" t="s">
        <v>5</v>
      </c>
      <c r="D3091" s="2" t="s">
        <v>466</v>
      </c>
      <c r="E3091" s="3">
        <v>15.5</v>
      </c>
      <c r="F3091" s="3">
        <v>1.625</v>
      </c>
      <c r="G3091" s="4">
        <v>44727</v>
      </c>
      <c r="M3091" s="1"/>
      <c r="N3091" s="1"/>
      <c r="O3091" s="1"/>
      <c r="P3091" s="1"/>
      <c r="Q3091" s="1"/>
      <c r="R3091" s="1"/>
    </row>
    <row r="3092" spans="2:18" x14ac:dyDescent="0.15">
      <c r="C3092" s="2" t="s">
        <v>5</v>
      </c>
      <c r="D3092" s="2" t="s">
        <v>466</v>
      </c>
      <c r="E3092" s="3">
        <v>12</v>
      </c>
      <c r="F3092" s="3">
        <v>3</v>
      </c>
      <c r="G3092" s="4">
        <v>43948</v>
      </c>
      <c r="M3092" s="1"/>
      <c r="N3092" s="1"/>
      <c r="O3092" s="1"/>
      <c r="P3092" s="1"/>
      <c r="Q3092" s="1"/>
      <c r="R3092" s="1"/>
    </row>
    <row r="3094" spans="2:18" s="12" customFormat="1" x14ac:dyDescent="0.15">
      <c r="B3094" s="12" t="s">
        <v>554</v>
      </c>
      <c r="C3094" s="13" t="s">
        <v>970</v>
      </c>
      <c r="D3094" s="13" t="s">
        <v>969</v>
      </c>
      <c r="E3094" s="15"/>
      <c r="F3094" s="15">
        <f>SUM(F3095:F3097)</f>
        <v>5</v>
      </c>
      <c r="G3094" s="14">
        <f>G3095</f>
        <v>45077</v>
      </c>
    </row>
    <row r="3095" spans="2:18" x14ac:dyDescent="0.15">
      <c r="C3095" s="2" t="s">
        <v>7</v>
      </c>
      <c r="D3095" s="2" t="s">
        <v>549</v>
      </c>
      <c r="E3095" s="3">
        <v>20</v>
      </c>
      <c r="F3095" s="3">
        <f>12/6</f>
        <v>2</v>
      </c>
      <c r="G3095" s="4">
        <v>45077</v>
      </c>
      <c r="M3095" s="1"/>
      <c r="N3095" s="1"/>
      <c r="O3095" s="1"/>
      <c r="P3095" s="1"/>
      <c r="Q3095" s="1"/>
      <c r="R3095" s="1"/>
    </row>
    <row r="3096" spans="2:18" x14ac:dyDescent="0.15">
      <c r="C3096" s="2" t="s">
        <v>5</v>
      </c>
      <c r="D3096" s="2" t="s">
        <v>549</v>
      </c>
      <c r="E3096" s="3">
        <v>10.5</v>
      </c>
      <c r="F3096" s="3">
        <f>5/5</f>
        <v>1</v>
      </c>
      <c r="G3096" s="4">
        <v>44341</v>
      </c>
      <c r="M3096" s="1"/>
      <c r="N3096" s="1"/>
      <c r="O3096" s="1"/>
      <c r="P3096" s="1"/>
      <c r="Q3096" s="1"/>
      <c r="R3096" s="1"/>
    </row>
    <row r="3097" spans="2:18" x14ac:dyDescent="0.15">
      <c r="C3097" s="2" t="s">
        <v>4</v>
      </c>
      <c r="D3097" s="2" t="s">
        <v>549</v>
      </c>
      <c r="E3097" s="3">
        <v>4</v>
      </c>
      <c r="F3097" s="3">
        <v>2</v>
      </c>
      <c r="G3097" s="4">
        <v>43671</v>
      </c>
      <c r="M3097" s="1"/>
      <c r="N3097" s="1"/>
      <c r="O3097" s="1"/>
      <c r="P3097" s="1"/>
      <c r="Q3097" s="1"/>
      <c r="R3097" s="1"/>
    </row>
    <row r="3098" spans="2:18" x14ac:dyDescent="0.15">
      <c r="G3098" s="4"/>
      <c r="M3098" s="1"/>
      <c r="N3098" s="1"/>
      <c r="O3098" s="1"/>
      <c r="P3098" s="1"/>
      <c r="Q3098" s="1"/>
      <c r="R3098" s="1"/>
    </row>
    <row r="3099" spans="2:18" s="12" customFormat="1" x14ac:dyDescent="0.15">
      <c r="B3099" s="12" t="s">
        <v>145</v>
      </c>
      <c r="C3099" s="13" t="s">
        <v>970</v>
      </c>
      <c r="D3099" s="13" t="s">
        <v>969</v>
      </c>
      <c r="E3099" s="15"/>
      <c r="F3099" s="15">
        <f>SUM(F3100:F3101)</f>
        <v>5.4</v>
      </c>
      <c r="G3099" s="14">
        <f>G3101</f>
        <v>44165</v>
      </c>
      <c r="M3099" s="13"/>
      <c r="N3099" s="13"/>
      <c r="O3099" s="13"/>
      <c r="P3099" s="13"/>
      <c r="Q3099" s="13"/>
      <c r="R3099" s="13"/>
    </row>
    <row r="3100" spans="2:18" x14ac:dyDescent="0.15">
      <c r="C3100" s="2" t="s">
        <v>4</v>
      </c>
      <c r="D3100" s="2" t="s">
        <v>144</v>
      </c>
      <c r="E3100" s="3">
        <v>1.6</v>
      </c>
      <c r="F3100" s="3">
        <f>E3100/4</f>
        <v>0.4</v>
      </c>
      <c r="G3100" s="4">
        <v>43060</v>
      </c>
    </row>
    <row r="3101" spans="2:18" x14ac:dyDescent="0.15">
      <c r="C3101" s="2" t="s">
        <v>5</v>
      </c>
      <c r="D3101" s="2" t="s">
        <v>64</v>
      </c>
      <c r="E3101" s="3">
        <v>50</v>
      </c>
      <c r="F3101" s="3">
        <v>5</v>
      </c>
      <c r="G3101" s="4">
        <v>44165</v>
      </c>
    </row>
    <row r="3102" spans="2:18" x14ac:dyDescent="0.15">
      <c r="G3102" s="4"/>
    </row>
    <row r="3103" spans="2:18" s="12" customFormat="1" x14ac:dyDescent="0.15">
      <c r="B3103" s="12" t="s">
        <v>684</v>
      </c>
      <c r="C3103" s="13" t="s">
        <v>970</v>
      </c>
      <c r="D3103" s="13" t="s">
        <v>969</v>
      </c>
      <c r="E3103" s="15"/>
      <c r="F3103" s="15">
        <f>SUM(F3104:F3106)</f>
        <v>5.3333333333333339</v>
      </c>
      <c r="G3103" s="14">
        <f>G3104</f>
        <v>44838</v>
      </c>
      <c r="M3103" s="13"/>
      <c r="N3103" s="13"/>
      <c r="O3103" s="13"/>
      <c r="P3103" s="13"/>
      <c r="Q3103" s="13"/>
      <c r="R3103" s="13"/>
    </row>
    <row r="3104" spans="2:18" x14ac:dyDescent="0.15">
      <c r="C3104" s="2" t="s">
        <v>5</v>
      </c>
      <c r="D3104" s="2" t="s">
        <v>683</v>
      </c>
      <c r="E3104" s="3">
        <v>15</v>
      </c>
      <c r="F3104" s="3">
        <f>10/3</f>
        <v>3.3333333333333335</v>
      </c>
      <c r="G3104" s="4">
        <v>44838</v>
      </c>
    </row>
    <row r="3105" spans="2:18" x14ac:dyDescent="0.15">
      <c r="C3105" s="2" t="s">
        <v>4</v>
      </c>
      <c r="D3105" s="2" t="s">
        <v>597</v>
      </c>
      <c r="E3105" s="3">
        <v>6</v>
      </c>
      <c r="F3105" s="3">
        <v>1</v>
      </c>
      <c r="G3105" s="4">
        <v>44781</v>
      </c>
    </row>
    <row r="3106" spans="2:18" x14ac:dyDescent="0.15">
      <c r="C3106" s="2" t="s">
        <v>4</v>
      </c>
      <c r="D3106" s="2" t="s">
        <v>2022</v>
      </c>
      <c r="E3106" s="3">
        <v>4</v>
      </c>
      <c r="F3106" s="3">
        <v>1</v>
      </c>
      <c r="G3106" s="4">
        <v>44097</v>
      </c>
    </row>
    <row r="3107" spans="2:18" x14ac:dyDescent="0.15">
      <c r="G3107" s="4"/>
    </row>
    <row r="3108" spans="2:18" s="12" customFormat="1" x14ac:dyDescent="0.15">
      <c r="B3108" s="12" t="s">
        <v>979</v>
      </c>
      <c r="C3108" s="13" t="s">
        <v>970</v>
      </c>
      <c r="D3108" s="13" t="s">
        <v>969</v>
      </c>
      <c r="E3108" s="15"/>
      <c r="F3108" s="15">
        <f>SUM(F3109:F3110)</f>
        <v>5</v>
      </c>
      <c r="G3108" s="14">
        <f>G3109</f>
        <v>44636</v>
      </c>
      <c r="M3108" s="13"/>
      <c r="N3108" s="13"/>
      <c r="O3108" s="13"/>
      <c r="P3108" s="13"/>
      <c r="Q3108" s="13"/>
      <c r="R3108" s="13"/>
    </row>
    <row r="3109" spans="2:18" x14ac:dyDescent="0.15">
      <c r="C3109" s="2" t="s">
        <v>7</v>
      </c>
      <c r="D3109" s="2" t="s">
        <v>861</v>
      </c>
      <c r="E3109" s="3">
        <v>25</v>
      </c>
      <c r="F3109" s="3">
        <v>3</v>
      </c>
      <c r="G3109" s="4">
        <v>44636</v>
      </c>
    </row>
    <row r="3110" spans="2:18" x14ac:dyDescent="0.15">
      <c r="C3110" s="2" t="s">
        <v>5</v>
      </c>
      <c r="D3110" s="2" t="s">
        <v>861</v>
      </c>
      <c r="E3110" s="3">
        <v>12.2</v>
      </c>
      <c r="F3110" s="3">
        <v>2</v>
      </c>
      <c r="G3110" s="4">
        <v>44179</v>
      </c>
    </row>
    <row r="3111" spans="2:18" x14ac:dyDescent="0.15">
      <c r="G3111" s="4"/>
    </row>
    <row r="3112" spans="2:18" s="12" customFormat="1" x14ac:dyDescent="0.15">
      <c r="B3112" s="12" t="s">
        <v>855</v>
      </c>
      <c r="C3112" s="13" t="s">
        <v>970</v>
      </c>
      <c r="D3112" s="13" t="s">
        <v>969</v>
      </c>
      <c r="E3112" s="15"/>
      <c r="F3112" s="15">
        <f>SUM(F3113:F3114)</f>
        <v>3.5714285714285716</v>
      </c>
      <c r="G3112" s="14">
        <f>G3114</f>
        <v>44866</v>
      </c>
      <c r="M3112" s="13"/>
      <c r="N3112" s="13"/>
      <c r="O3112" s="13"/>
      <c r="P3112" s="13"/>
      <c r="Q3112" s="13"/>
      <c r="R3112" s="13"/>
    </row>
    <row r="3113" spans="2:18" x14ac:dyDescent="0.15">
      <c r="C3113" s="2" t="s">
        <v>5</v>
      </c>
      <c r="D3113" s="2" t="s">
        <v>731</v>
      </c>
      <c r="E3113" s="3">
        <v>25</v>
      </c>
      <c r="F3113" s="3">
        <f>18/7</f>
        <v>2.5714285714285716</v>
      </c>
      <c r="G3113" s="4">
        <v>44757</v>
      </c>
    </row>
    <row r="3114" spans="2:18" x14ac:dyDescent="0.15">
      <c r="C3114" s="193" t="s">
        <v>4</v>
      </c>
      <c r="D3114" s="193" t="s">
        <v>6821</v>
      </c>
      <c r="E3114" s="3">
        <v>10</v>
      </c>
      <c r="F3114" s="3">
        <v>1</v>
      </c>
      <c r="G3114" s="4">
        <v>44866</v>
      </c>
      <c r="I3114" s="1">
        <v>65</v>
      </c>
      <c r="J3114" s="1">
        <v>350</v>
      </c>
    </row>
    <row r="3115" spans="2:18" x14ac:dyDescent="0.15">
      <c r="G3115" s="4"/>
    </row>
    <row r="3116" spans="2:18" s="12" customFormat="1" x14ac:dyDescent="0.15">
      <c r="B3116" s="12" t="s">
        <v>519</v>
      </c>
      <c r="C3116" s="13" t="s">
        <v>970</v>
      </c>
      <c r="D3116" s="13" t="s">
        <v>969</v>
      </c>
      <c r="E3116" s="15"/>
      <c r="F3116" s="15">
        <f>SUM(F3117:F3118)</f>
        <v>3.5</v>
      </c>
      <c r="G3116" s="14">
        <f>G3117</f>
        <v>43389</v>
      </c>
    </row>
    <row r="3117" spans="2:18" x14ac:dyDescent="0.15">
      <c r="C3117" s="2" t="s">
        <v>5</v>
      </c>
      <c r="D3117" s="2" t="s">
        <v>517</v>
      </c>
      <c r="E3117" s="3">
        <v>14.5</v>
      </c>
      <c r="F3117" s="3">
        <v>1.5</v>
      </c>
      <c r="G3117" s="4">
        <v>43389</v>
      </c>
      <c r="M3117" s="1"/>
      <c r="N3117" s="1"/>
      <c r="O3117" s="1"/>
      <c r="P3117" s="1"/>
      <c r="Q3117" s="1"/>
      <c r="R3117" s="1"/>
    </row>
    <row r="3118" spans="2:18" x14ac:dyDescent="0.15">
      <c r="C3118" s="100" t="s">
        <v>5</v>
      </c>
      <c r="D3118" s="100" t="s">
        <v>5458</v>
      </c>
      <c r="E3118" s="3">
        <v>18.100000000000001</v>
      </c>
      <c r="F3118" s="3">
        <f>10/5</f>
        <v>2</v>
      </c>
      <c r="G3118" s="4">
        <v>42719</v>
      </c>
      <c r="J3118" s="1">
        <v>2000</v>
      </c>
      <c r="M3118" s="1"/>
      <c r="N3118" s="1"/>
      <c r="O3118" s="1"/>
      <c r="P3118" s="1"/>
      <c r="Q3118" s="1"/>
      <c r="R3118" s="1"/>
    </row>
    <row r="3119" spans="2:18" x14ac:dyDescent="0.15">
      <c r="G3119" s="4"/>
      <c r="M3119" s="1"/>
      <c r="N3119" s="1"/>
      <c r="O3119" s="1"/>
      <c r="P3119" s="1"/>
      <c r="Q3119" s="1"/>
      <c r="R3119" s="1"/>
    </row>
    <row r="3120" spans="2:18" s="12" customFormat="1" x14ac:dyDescent="0.15">
      <c r="B3120" s="12" t="s">
        <v>718</v>
      </c>
      <c r="C3120" s="13" t="s">
        <v>970</v>
      </c>
      <c r="D3120" s="13" t="s">
        <v>969</v>
      </c>
      <c r="E3120" s="15"/>
      <c r="F3120" s="15">
        <f>SUM(F3121:F3122)</f>
        <v>4</v>
      </c>
      <c r="G3120" s="14">
        <f>G3121</f>
        <v>44110</v>
      </c>
      <c r="M3120" s="13"/>
      <c r="N3120" s="13"/>
      <c r="O3120" s="13"/>
      <c r="P3120" s="13"/>
      <c r="Q3120" s="13"/>
      <c r="R3120" s="13"/>
    </row>
    <row r="3121" spans="2:18" x14ac:dyDescent="0.15">
      <c r="C3121" s="2" t="s">
        <v>5</v>
      </c>
      <c r="D3121" s="2" t="s">
        <v>717</v>
      </c>
      <c r="E3121" s="3">
        <v>10</v>
      </c>
      <c r="F3121" s="3">
        <v>2</v>
      </c>
      <c r="G3121" s="4">
        <v>44110</v>
      </c>
    </row>
    <row r="3122" spans="2:18" x14ac:dyDescent="0.15">
      <c r="C3122" s="2" t="s">
        <v>4</v>
      </c>
      <c r="D3122" s="2" t="s">
        <v>717</v>
      </c>
      <c r="E3122" s="3">
        <v>5</v>
      </c>
      <c r="F3122" s="3">
        <v>2</v>
      </c>
      <c r="G3122" s="4">
        <v>43423</v>
      </c>
    </row>
    <row r="3123" spans="2:18" x14ac:dyDescent="0.15">
      <c r="G3123" s="4"/>
    </row>
    <row r="3124" spans="2:18" s="12" customFormat="1" x14ac:dyDescent="0.15">
      <c r="B3124" s="12" t="s">
        <v>596</v>
      </c>
      <c r="C3124" s="13" t="s">
        <v>970</v>
      </c>
      <c r="D3124" s="13" t="s">
        <v>969</v>
      </c>
      <c r="E3124" s="15"/>
      <c r="F3124" s="15">
        <f>SUM(F3125:F3126)</f>
        <v>4.3999999999999995</v>
      </c>
      <c r="G3124" s="14">
        <f>G3125</f>
        <v>44964</v>
      </c>
    </row>
    <row r="3125" spans="2:18" x14ac:dyDescent="0.15">
      <c r="C3125" s="2" t="s">
        <v>4</v>
      </c>
      <c r="D3125" s="2" t="s">
        <v>594</v>
      </c>
      <c r="E3125" s="3">
        <v>6.8</v>
      </c>
      <c r="F3125" s="3">
        <v>3.8</v>
      </c>
      <c r="G3125" s="4">
        <v>44964</v>
      </c>
      <c r="M3125" s="1"/>
      <c r="N3125" s="1"/>
      <c r="O3125" s="1"/>
      <c r="P3125" s="1"/>
      <c r="Q3125" s="1"/>
      <c r="R3125" s="1"/>
    </row>
    <row r="3126" spans="2:18" x14ac:dyDescent="0.15">
      <c r="C3126" s="2" t="s">
        <v>4</v>
      </c>
      <c r="D3126" s="2" t="s">
        <v>594</v>
      </c>
      <c r="E3126" s="3">
        <v>1.6</v>
      </c>
      <c r="F3126" s="3">
        <v>0.6</v>
      </c>
      <c r="G3126" s="4">
        <v>44197</v>
      </c>
      <c r="M3126" s="1"/>
      <c r="N3126" s="1"/>
      <c r="O3126" s="1"/>
      <c r="P3126" s="1"/>
      <c r="Q3126" s="1"/>
      <c r="R3126" s="1"/>
    </row>
    <row r="3127" spans="2:18" x14ac:dyDescent="0.15">
      <c r="G3127" s="4"/>
      <c r="M3127" s="1"/>
      <c r="N3127" s="1"/>
      <c r="O3127" s="1"/>
      <c r="P3127" s="1"/>
      <c r="Q3127" s="1"/>
      <c r="R3127" s="1"/>
    </row>
    <row r="3128" spans="2:18" s="12" customFormat="1" x14ac:dyDescent="0.15">
      <c r="B3128" s="12" t="s">
        <v>648</v>
      </c>
      <c r="C3128" s="13" t="s">
        <v>970</v>
      </c>
      <c r="D3128" s="13" t="s">
        <v>969</v>
      </c>
      <c r="E3128" s="15"/>
      <c r="F3128" s="15">
        <f>SUM(F3129:F3130)</f>
        <v>3.5</v>
      </c>
      <c r="G3128" s="14">
        <f>G3129</f>
        <v>44642</v>
      </c>
    </row>
    <row r="3129" spans="2:18" x14ac:dyDescent="0.15">
      <c r="C3129" s="2" t="s">
        <v>5</v>
      </c>
      <c r="D3129" s="2" t="s">
        <v>647</v>
      </c>
      <c r="E3129" s="3">
        <v>13</v>
      </c>
      <c r="F3129" s="3">
        <f>8/4</f>
        <v>2</v>
      </c>
      <c r="G3129" s="4">
        <v>44642</v>
      </c>
      <c r="M3129" s="1"/>
      <c r="N3129" s="1"/>
      <c r="O3129" s="1"/>
      <c r="P3129" s="1"/>
      <c r="Q3129" s="1"/>
      <c r="R3129" s="1"/>
    </row>
    <row r="3130" spans="2:18" x14ac:dyDescent="0.15">
      <c r="C3130" s="2" t="s">
        <v>4</v>
      </c>
      <c r="D3130" s="2" t="s">
        <v>647</v>
      </c>
      <c r="E3130" s="3">
        <v>3.5</v>
      </c>
      <c r="F3130" s="3">
        <v>1.5</v>
      </c>
      <c r="G3130" s="4">
        <v>44124</v>
      </c>
      <c r="M3130" s="1"/>
      <c r="N3130" s="1"/>
      <c r="O3130" s="1"/>
      <c r="P3130" s="1"/>
      <c r="Q3130" s="1"/>
      <c r="R3130" s="1"/>
    </row>
    <row r="3131" spans="2:18" x14ac:dyDescent="0.15">
      <c r="G3131" s="4"/>
      <c r="M3131" s="1"/>
      <c r="N3131" s="1"/>
      <c r="O3131" s="1"/>
      <c r="P3131" s="1"/>
      <c r="Q3131" s="1"/>
      <c r="R3131" s="1"/>
    </row>
    <row r="3132" spans="2:18" s="12" customFormat="1" x14ac:dyDescent="0.15">
      <c r="B3132" s="12" t="s">
        <v>977</v>
      </c>
      <c r="C3132" s="13" t="s">
        <v>970</v>
      </c>
      <c r="D3132" s="13" t="s">
        <v>969</v>
      </c>
      <c r="E3132" s="15"/>
      <c r="F3132" s="15">
        <f>SUM(F3133:F3134)</f>
        <v>4.0999999999999996</v>
      </c>
      <c r="G3132" s="14">
        <f>G3133</f>
        <v>44796</v>
      </c>
      <c r="M3132" s="13"/>
      <c r="N3132" s="13"/>
      <c r="O3132" s="13"/>
      <c r="P3132" s="13"/>
      <c r="Q3132" s="13"/>
      <c r="R3132" s="13"/>
    </row>
    <row r="3133" spans="2:18" x14ac:dyDescent="0.15">
      <c r="C3133" s="2" t="s">
        <v>5</v>
      </c>
      <c r="D3133" s="2" t="s">
        <v>702</v>
      </c>
      <c r="E3133" s="3">
        <v>50</v>
      </c>
      <c r="F3133" s="3">
        <f>30/12</f>
        <v>2.5</v>
      </c>
      <c r="G3133" s="4">
        <v>44796</v>
      </c>
    </row>
    <row r="3134" spans="2:18" x14ac:dyDescent="0.15">
      <c r="C3134" s="2" t="s">
        <v>4</v>
      </c>
      <c r="D3134" s="2" t="s">
        <v>702</v>
      </c>
      <c r="E3134" s="3">
        <v>12.5</v>
      </c>
      <c r="F3134" s="3">
        <f>8/5</f>
        <v>1.6</v>
      </c>
      <c r="G3134" s="4">
        <v>44623</v>
      </c>
    </row>
    <row r="3136" spans="2:18" s="12" customFormat="1" x14ac:dyDescent="0.15">
      <c r="B3136" s="12" t="s">
        <v>4916</v>
      </c>
      <c r="C3136" s="13" t="s">
        <v>970</v>
      </c>
      <c r="D3136" s="13" t="s">
        <v>969</v>
      </c>
      <c r="E3136" s="15"/>
      <c r="F3136" s="15">
        <f>SUM(F3137:F3138)</f>
        <v>4.375</v>
      </c>
      <c r="G3136" s="14">
        <f>G3137</f>
        <v>43720</v>
      </c>
      <c r="M3136" s="13"/>
      <c r="N3136" s="13"/>
      <c r="O3136" s="13"/>
      <c r="P3136" s="13"/>
      <c r="Q3136" s="13"/>
      <c r="R3136" s="13"/>
    </row>
    <row r="3137" spans="2:18" x14ac:dyDescent="0.15">
      <c r="B3137" s="58"/>
      <c r="C3137" s="59" t="s">
        <v>7</v>
      </c>
      <c r="D3137" s="59" t="s">
        <v>2122</v>
      </c>
      <c r="E3137" s="3">
        <v>40</v>
      </c>
      <c r="F3137" s="3">
        <f>30/10</f>
        <v>3</v>
      </c>
      <c r="G3137" s="4">
        <v>43720</v>
      </c>
      <c r="J3137" s="1">
        <v>3400</v>
      </c>
    </row>
    <row r="3138" spans="2:18" x14ac:dyDescent="0.15">
      <c r="C3138" s="59" t="s">
        <v>5</v>
      </c>
      <c r="D3138" s="59" t="s">
        <v>2122</v>
      </c>
      <c r="E3138" s="3">
        <v>11.5</v>
      </c>
      <c r="F3138" s="3">
        <f>5.5/4</f>
        <v>1.375</v>
      </c>
      <c r="G3138" s="4">
        <v>43355</v>
      </c>
      <c r="J3138" s="1">
        <v>3400</v>
      </c>
    </row>
    <row r="3139" spans="2:18" x14ac:dyDescent="0.15">
      <c r="C3139" s="59"/>
      <c r="D3139" s="59"/>
      <c r="G3139" s="4"/>
    </row>
    <row r="3140" spans="2:18" s="12" customFormat="1" x14ac:dyDescent="0.15">
      <c r="B3140" s="12" t="s">
        <v>728</v>
      </c>
      <c r="C3140" s="13" t="s">
        <v>970</v>
      </c>
      <c r="D3140" s="13" t="s">
        <v>969</v>
      </c>
      <c r="E3140" s="15"/>
      <c r="F3140" s="15">
        <f>SUM(F3141:F3142)</f>
        <v>3.6666666666666665</v>
      </c>
      <c r="G3140" s="14">
        <f>G3141</f>
        <v>44676</v>
      </c>
    </row>
    <row r="3141" spans="2:18" x14ac:dyDescent="0.15">
      <c r="C3141" s="2" t="s">
        <v>5</v>
      </c>
      <c r="D3141" s="2" t="s">
        <v>726</v>
      </c>
      <c r="E3141" s="3">
        <v>20</v>
      </c>
      <c r="F3141" s="3">
        <f>13/6</f>
        <v>2.1666666666666665</v>
      </c>
      <c r="G3141" s="4">
        <v>44676</v>
      </c>
    </row>
    <row r="3142" spans="2:18" x14ac:dyDescent="0.15">
      <c r="C3142" s="2" t="s">
        <v>4</v>
      </c>
      <c r="D3142" s="2" t="s">
        <v>726</v>
      </c>
      <c r="E3142" s="3">
        <v>5</v>
      </c>
      <c r="F3142" s="3">
        <v>1.5</v>
      </c>
      <c r="G3142" s="4">
        <v>44060</v>
      </c>
    </row>
    <row r="3144" spans="2:18" s="12" customFormat="1" x14ac:dyDescent="0.15">
      <c r="B3144" s="12" t="s">
        <v>730</v>
      </c>
      <c r="C3144" s="13" t="s">
        <v>970</v>
      </c>
      <c r="D3144" s="13" t="s">
        <v>969</v>
      </c>
      <c r="E3144" s="15"/>
      <c r="F3144" s="15">
        <f>SUM(F3145:F3146)</f>
        <v>3.6666666666666665</v>
      </c>
      <c r="G3144" s="14">
        <f>G3145</f>
        <v>44676</v>
      </c>
    </row>
    <row r="3145" spans="2:18" x14ac:dyDescent="0.15">
      <c r="C3145" s="2" t="s">
        <v>5</v>
      </c>
      <c r="D3145" s="2" t="s">
        <v>726</v>
      </c>
      <c r="E3145" s="3">
        <v>20</v>
      </c>
      <c r="F3145" s="3">
        <f>13/6</f>
        <v>2.1666666666666665</v>
      </c>
      <c r="G3145" s="4">
        <v>44676</v>
      </c>
    </row>
    <row r="3146" spans="2:18" x14ac:dyDescent="0.15">
      <c r="C3146" s="2" t="s">
        <v>4</v>
      </c>
      <c r="D3146" s="2" t="s">
        <v>726</v>
      </c>
      <c r="E3146" s="3">
        <v>5</v>
      </c>
      <c r="F3146" s="3">
        <v>1.5</v>
      </c>
      <c r="G3146" s="4">
        <v>44060</v>
      </c>
    </row>
    <row r="3147" spans="2:18" x14ac:dyDescent="0.15">
      <c r="G3147" s="4"/>
    </row>
    <row r="3148" spans="2:18" s="12" customFormat="1" x14ac:dyDescent="0.15">
      <c r="B3148" s="12" t="s">
        <v>328</v>
      </c>
      <c r="C3148" s="13" t="s">
        <v>970</v>
      </c>
      <c r="D3148" s="13" t="s">
        <v>969</v>
      </c>
      <c r="E3148" s="15"/>
      <c r="F3148" s="15">
        <f>SUM(F3149:F3150)</f>
        <v>3.588888888888889</v>
      </c>
      <c r="G3148" s="14">
        <f>G3149</f>
        <v>43031</v>
      </c>
    </row>
    <row r="3149" spans="2:18" x14ac:dyDescent="0.15">
      <c r="C3149" s="2" t="s">
        <v>4</v>
      </c>
      <c r="D3149" s="2" t="s">
        <v>318</v>
      </c>
      <c r="E3149" s="3">
        <v>3.2</v>
      </c>
      <c r="F3149" s="3">
        <v>3.2</v>
      </c>
      <c r="G3149" s="4">
        <v>43031</v>
      </c>
      <c r="L3149" s="1">
        <f>+F3149*20</f>
        <v>64</v>
      </c>
      <c r="M3149" s="1"/>
      <c r="N3149" s="1"/>
      <c r="O3149" s="1"/>
      <c r="P3149" s="1"/>
      <c r="Q3149" s="1"/>
      <c r="R3149" s="1"/>
    </row>
    <row r="3150" spans="2:18" x14ac:dyDescent="0.15">
      <c r="C3150" s="2" t="s">
        <v>4</v>
      </c>
      <c r="D3150" s="2" t="s">
        <v>258</v>
      </c>
      <c r="E3150" s="3">
        <v>3.5</v>
      </c>
      <c r="F3150" s="3">
        <f>+E3150/9</f>
        <v>0.3888888888888889</v>
      </c>
      <c r="G3150" s="4">
        <v>42979</v>
      </c>
      <c r="M3150" s="1"/>
      <c r="N3150" s="1"/>
      <c r="O3150" s="1"/>
      <c r="P3150" s="1"/>
      <c r="Q3150" s="1"/>
      <c r="R3150" s="1"/>
    </row>
    <row r="3151" spans="2:18" x14ac:dyDescent="0.15">
      <c r="G3151" s="4"/>
      <c r="M3151" s="1"/>
      <c r="N3151" s="1"/>
      <c r="O3151" s="1"/>
      <c r="P3151" s="1"/>
      <c r="Q3151" s="1"/>
      <c r="R3151" s="1"/>
    </row>
    <row r="3152" spans="2:18" x14ac:dyDescent="0.15">
      <c r="B3152" s="12" t="s">
        <v>976</v>
      </c>
      <c r="C3152" s="13" t="s">
        <v>970</v>
      </c>
      <c r="D3152" s="13" t="s">
        <v>969</v>
      </c>
      <c r="F3152" s="15">
        <f>F3153+F3154</f>
        <v>3.5</v>
      </c>
      <c r="G3152" s="14">
        <f>G3154</f>
        <v>44392</v>
      </c>
    </row>
    <row r="3153" spans="2:18" x14ac:dyDescent="0.15">
      <c r="C3153" s="2" t="s">
        <v>5</v>
      </c>
      <c r="D3153" s="2" t="s">
        <v>963</v>
      </c>
      <c r="E3153" s="3">
        <v>5</v>
      </c>
      <c r="F3153" s="3">
        <v>1</v>
      </c>
      <c r="G3153" s="4">
        <v>43251</v>
      </c>
    </row>
    <row r="3154" spans="2:18" x14ac:dyDescent="0.15">
      <c r="C3154" s="2" t="s">
        <v>5</v>
      </c>
      <c r="D3154" s="2" t="s">
        <v>696</v>
      </c>
      <c r="E3154" s="3">
        <v>20</v>
      </c>
      <c r="F3154" s="3">
        <v>2.5</v>
      </c>
      <c r="G3154" s="4">
        <v>44392</v>
      </c>
    </row>
    <row r="3155" spans="2:18" x14ac:dyDescent="0.15">
      <c r="C3155" s="2" t="s">
        <v>5</v>
      </c>
      <c r="D3155" s="2" t="s">
        <v>693</v>
      </c>
      <c r="E3155" s="3">
        <v>8</v>
      </c>
      <c r="F3155" s="3">
        <v>1</v>
      </c>
      <c r="G3155" s="4">
        <v>43249</v>
      </c>
    </row>
    <row r="3156" spans="2:18" x14ac:dyDescent="0.15">
      <c r="G3156" s="4"/>
    </row>
    <row r="3157" spans="2:18" s="12" customFormat="1" x14ac:dyDescent="0.15">
      <c r="B3157" s="12" t="s">
        <v>732</v>
      </c>
      <c r="C3157" s="13" t="s">
        <v>970</v>
      </c>
      <c r="D3157" s="13" t="s">
        <v>969</v>
      </c>
      <c r="E3157" s="15"/>
      <c r="F3157" s="15">
        <f>SUM(F3158:F3160)</f>
        <v>4.3214285714285712</v>
      </c>
      <c r="G3157" s="14">
        <f>G3158</f>
        <v>44757</v>
      </c>
      <c r="M3157" s="13"/>
      <c r="N3157" s="13"/>
      <c r="O3157" s="13"/>
      <c r="P3157" s="13"/>
      <c r="Q3157" s="13"/>
      <c r="R3157" s="13"/>
    </row>
    <row r="3158" spans="2:18" x14ac:dyDescent="0.15">
      <c r="C3158" s="2" t="s">
        <v>5</v>
      </c>
      <c r="D3158" s="2" t="s">
        <v>731</v>
      </c>
      <c r="E3158" s="3">
        <v>25</v>
      </c>
      <c r="F3158" s="3">
        <f>18/7</f>
        <v>2.5714285714285716</v>
      </c>
      <c r="G3158" s="4">
        <v>44757</v>
      </c>
    </row>
    <row r="3159" spans="2:18" x14ac:dyDescent="0.15">
      <c r="C3159" s="2" t="s">
        <v>4</v>
      </c>
      <c r="D3159" s="2" t="s">
        <v>731</v>
      </c>
      <c r="E3159" s="3">
        <v>4</v>
      </c>
      <c r="F3159" s="3">
        <v>1</v>
      </c>
      <c r="G3159" s="4">
        <v>44340</v>
      </c>
    </row>
    <row r="3160" spans="2:18" x14ac:dyDescent="0.15">
      <c r="C3160" s="2" t="s">
        <v>4</v>
      </c>
      <c r="D3160" s="2" t="s">
        <v>731</v>
      </c>
      <c r="E3160" s="3">
        <v>1.5</v>
      </c>
      <c r="F3160" s="3">
        <v>0.75</v>
      </c>
      <c r="G3160" s="4">
        <v>43979</v>
      </c>
    </row>
    <row r="3161" spans="2:18" x14ac:dyDescent="0.15">
      <c r="G3161" s="4"/>
    </row>
    <row r="3162" spans="2:18" s="12" customFormat="1" x14ac:dyDescent="0.15">
      <c r="B3162" s="12" t="s">
        <v>975</v>
      </c>
      <c r="C3162" s="13" t="s">
        <v>970</v>
      </c>
      <c r="D3162" s="13" t="s">
        <v>969</v>
      </c>
      <c r="E3162" s="15"/>
      <c r="F3162" s="15">
        <f>SUM(F3163:F3164)</f>
        <v>4</v>
      </c>
      <c r="G3162" s="14">
        <f>G3163</f>
        <v>45070</v>
      </c>
      <c r="M3162" s="13"/>
      <c r="N3162" s="13"/>
      <c r="O3162" s="13"/>
      <c r="P3162" s="13"/>
      <c r="Q3162" s="13"/>
      <c r="R3162" s="13"/>
    </row>
    <row r="3163" spans="2:18" x14ac:dyDescent="0.15">
      <c r="C3163" s="2" t="s">
        <v>5</v>
      </c>
      <c r="D3163" s="2" t="s">
        <v>784</v>
      </c>
      <c r="E3163" s="3">
        <v>10.9</v>
      </c>
      <c r="F3163" s="3">
        <f>8/8</f>
        <v>1</v>
      </c>
      <c r="G3163" s="4">
        <v>45070</v>
      </c>
    </row>
    <row r="3164" spans="2:18" x14ac:dyDescent="0.15">
      <c r="C3164" s="2" t="s">
        <v>5</v>
      </c>
      <c r="D3164" s="2" t="s">
        <v>704</v>
      </c>
      <c r="E3164" s="3">
        <v>6</v>
      </c>
      <c r="F3164" s="3">
        <v>3</v>
      </c>
      <c r="G3164" s="4">
        <v>44917</v>
      </c>
    </row>
    <row r="3165" spans="2:18" x14ac:dyDescent="0.15">
      <c r="G3165" s="4"/>
    </row>
    <row r="3166" spans="2:18" s="12" customFormat="1" x14ac:dyDescent="0.15">
      <c r="B3166" s="12" t="s">
        <v>729</v>
      </c>
      <c r="C3166" s="13" t="s">
        <v>970</v>
      </c>
      <c r="D3166" s="13" t="s">
        <v>969</v>
      </c>
      <c r="E3166" s="15"/>
      <c r="F3166" s="15">
        <f>SUM(F3167:F3168)</f>
        <v>3.6666666666666665</v>
      </c>
      <c r="G3166" s="14">
        <f>G3167</f>
        <v>44676</v>
      </c>
    </row>
    <row r="3167" spans="2:18" x14ac:dyDescent="0.15">
      <c r="C3167" s="2" t="s">
        <v>5</v>
      </c>
      <c r="D3167" s="2" t="s">
        <v>726</v>
      </c>
      <c r="E3167" s="3">
        <v>20</v>
      </c>
      <c r="F3167" s="3">
        <f>13/6</f>
        <v>2.1666666666666665</v>
      </c>
      <c r="G3167" s="4">
        <v>44676</v>
      </c>
    </row>
    <row r="3168" spans="2:18" x14ac:dyDescent="0.15">
      <c r="C3168" s="2" t="s">
        <v>4</v>
      </c>
      <c r="D3168" s="2" t="s">
        <v>726</v>
      </c>
      <c r="E3168" s="3">
        <v>5</v>
      </c>
      <c r="F3168" s="3">
        <v>1.5</v>
      </c>
      <c r="G3168" s="4">
        <v>44060</v>
      </c>
    </row>
    <row r="3169" spans="2:18" x14ac:dyDescent="0.15">
      <c r="G3169" s="4"/>
    </row>
    <row r="3170" spans="2:18" s="12" customFormat="1" x14ac:dyDescent="0.15">
      <c r="B3170" s="12" t="s">
        <v>974</v>
      </c>
      <c r="C3170" s="13" t="s">
        <v>970</v>
      </c>
      <c r="D3170" s="13" t="s">
        <v>969</v>
      </c>
      <c r="E3170" s="15"/>
      <c r="F3170" s="15">
        <f>SUM(F3171:F3175)</f>
        <v>3.6749999999999998</v>
      </c>
      <c r="G3170" s="14">
        <f>G3171</f>
        <v>44341</v>
      </c>
      <c r="M3170" s="13"/>
      <c r="N3170" s="13"/>
      <c r="O3170" s="13"/>
      <c r="P3170" s="13"/>
      <c r="Q3170" s="13"/>
      <c r="R3170" s="13"/>
    </row>
    <row r="3171" spans="2:18" x14ac:dyDescent="0.15">
      <c r="C3171" s="2" t="s">
        <v>5</v>
      </c>
      <c r="D3171" s="2" t="s">
        <v>549</v>
      </c>
      <c r="E3171" s="3">
        <v>10.5</v>
      </c>
      <c r="F3171" s="3">
        <f>5/5</f>
        <v>1</v>
      </c>
      <c r="G3171" s="4">
        <v>44341</v>
      </c>
    </row>
    <row r="3172" spans="2:18" x14ac:dyDescent="0.15">
      <c r="C3172" s="2" t="s">
        <v>4</v>
      </c>
      <c r="D3172" s="2" t="s">
        <v>549</v>
      </c>
      <c r="E3172" s="3">
        <v>4</v>
      </c>
      <c r="F3172" s="3">
        <v>1</v>
      </c>
      <c r="G3172" s="4">
        <v>43671</v>
      </c>
    </row>
    <row r="3173" spans="2:18" x14ac:dyDescent="0.15">
      <c r="C3173" s="2" t="s">
        <v>278</v>
      </c>
      <c r="D3173" s="2" t="s">
        <v>549</v>
      </c>
      <c r="E3173" s="3">
        <v>0.5</v>
      </c>
      <c r="F3173" s="3">
        <v>0.1</v>
      </c>
      <c r="G3173" s="4">
        <v>43262</v>
      </c>
    </row>
    <row r="3174" spans="2:18" x14ac:dyDescent="0.15">
      <c r="C3174" s="2" t="s">
        <v>4</v>
      </c>
      <c r="D3174" s="2" t="s">
        <v>336</v>
      </c>
      <c r="E3174" s="3">
        <v>3</v>
      </c>
      <c r="F3174" s="3">
        <f>1.5/4</f>
        <v>0.375</v>
      </c>
      <c r="G3174" s="4">
        <v>44327</v>
      </c>
    </row>
    <row r="3175" spans="2:18" x14ac:dyDescent="0.15">
      <c r="C3175" s="2" t="s">
        <v>278</v>
      </c>
      <c r="D3175" s="2" t="s">
        <v>336</v>
      </c>
      <c r="E3175" s="3">
        <v>1.2</v>
      </c>
      <c r="F3175" s="3">
        <v>1.2</v>
      </c>
      <c r="G3175" s="4">
        <v>42744</v>
      </c>
    </row>
    <row r="3176" spans="2:18" x14ac:dyDescent="0.15">
      <c r="G3176" s="4"/>
    </row>
    <row r="3177" spans="2:18" s="12" customFormat="1" x14ac:dyDescent="0.15">
      <c r="B3177" s="12" t="s">
        <v>6356</v>
      </c>
      <c r="C3177" s="13" t="s">
        <v>970</v>
      </c>
      <c r="D3177" s="13" t="s">
        <v>969</v>
      </c>
      <c r="E3177" s="15"/>
      <c r="F3177" s="15">
        <f>SUM(F3178:F3179)</f>
        <v>3.5</v>
      </c>
      <c r="G3177" s="14">
        <f>G3178</f>
        <v>44594</v>
      </c>
      <c r="M3177" s="13"/>
      <c r="N3177" s="13"/>
      <c r="O3177" s="13"/>
      <c r="P3177" s="13"/>
      <c r="Q3177" s="13"/>
      <c r="R3177" s="13"/>
    </row>
    <row r="3178" spans="2:18" x14ac:dyDescent="0.15">
      <c r="B3178" s="143"/>
      <c r="C3178" s="149" t="s">
        <v>5</v>
      </c>
      <c r="D3178" s="149" t="s">
        <v>6354</v>
      </c>
      <c r="E3178" s="3">
        <v>25</v>
      </c>
      <c r="F3178" s="3">
        <v>3</v>
      </c>
      <c r="G3178" s="4">
        <v>44594</v>
      </c>
    </row>
    <row r="3179" spans="2:18" x14ac:dyDescent="0.15">
      <c r="B3179" s="143"/>
      <c r="C3179" s="149" t="s">
        <v>4</v>
      </c>
      <c r="D3179" s="149" t="s">
        <v>6354</v>
      </c>
      <c r="E3179" s="3">
        <v>5</v>
      </c>
      <c r="F3179" s="3">
        <v>0.5</v>
      </c>
      <c r="G3179" s="4">
        <v>43335</v>
      </c>
    </row>
    <row r="3180" spans="2:18" x14ac:dyDescent="0.15">
      <c r="B3180" s="143"/>
      <c r="C3180" s="149"/>
      <c r="D3180" s="149"/>
      <c r="G3180" s="4"/>
    </row>
    <row r="3181" spans="2:18" s="12" customFormat="1" x14ac:dyDescent="0.15">
      <c r="B3181" s="12" t="s">
        <v>6736</v>
      </c>
      <c r="C3181" s="13" t="s">
        <v>970</v>
      </c>
      <c r="D3181" s="13" t="s">
        <v>969</v>
      </c>
      <c r="E3181" s="15"/>
      <c r="F3181" s="15">
        <f>SUM(F3182:F3183)</f>
        <v>4</v>
      </c>
      <c r="G3181" s="14">
        <f>G3182</f>
        <v>44917</v>
      </c>
      <c r="M3181" s="13"/>
      <c r="N3181" s="13"/>
      <c r="O3181" s="13"/>
      <c r="P3181" s="13"/>
      <c r="Q3181" s="13"/>
      <c r="R3181" s="13"/>
    </row>
    <row r="3182" spans="2:18" x14ac:dyDescent="0.15">
      <c r="C3182" s="2" t="s">
        <v>5</v>
      </c>
      <c r="D3182" s="2" t="s">
        <v>704</v>
      </c>
      <c r="E3182" s="3">
        <v>6</v>
      </c>
      <c r="F3182" s="3">
        <v>1</v>
      </c>
      <c r="G3182" s="4">
        <v>44917</v>
      </c>
    </row>
    <row r="3183" spans="2:18" x14ac:dyDescent="0.15">
      <c r="C3183" s="2" t="s">
        <v>4</v>
      </c>
      <c r="D3183" s="2" t="s">
        <v>704</v>
      </c>
      <c r="E3183" s="3">
        <v>5.9</v>
      </c>
      <c r="F3183" s="3">
        <v>3</v>
      </c>
      <c r="G3183" s="4">
        <v>44180</v>
      </c>
    </row>
    <row r="3184" spans="2:18" x14ac:dyDescent="0.15">
      <c r="G3184" s="4"/>
    </row>
    <row r="3185" spans="2:18" s="12" customFormat="1" x14ac:dyDescent="0.15">
      <c r="B3185" s="12" t="s">
        <v>672</v>
      </c>
      <c r="C3185" s="13" t="s">
        <v>970</v>
      </c>
      <c r="D3185" s="13" t="s">
        <v>969</v>
      </c>
      <c r="E3185" s="15"/>
      <c r="F3185" s="15">
        <f>SUM(F3186:F3187)</f>
        <v>3.62</v>
      </c>
      <c r="G3185" s="14">
        <f>G3186</f>
        <v>44705</v>
      </c>
    </row>
    <row r="3186" spans="2:18" x14ac:dyDescent="0.15">
      <c r="C3186" s="2" t="s">
        <v>5</v>
      </c>
      <c r="D3186" s="2" t="s">
        <v>670</v>
      </c>
      <c r="E3186" s="3">
        <v>14</v>
      </c>
      <c r="F3186" s="3">
        <v>3</v>
      </c>
      <c r="G3186" s="4">
        <v>44705</v>
      </c>
      <c r="M3186" s="1"/>
      <c r="N3186" s="1"/>
      <c r="O3186" s="1"/>
      <c r="P3186" s="1"/>
      <c r="Q3186" s="1"/>
      <c r="R3186" s="1"/>
    </row>
    <row r="3187" spans="2:18" x14ac:dyDescent="0.15">
      <c r="C3187" s="2" t="s">
        <v>671</v>
      </c>
      <c r="D3187" s="2" t="s">
        <v>670</v>
      </c>
      <c r="E3187" s="3">
        <v>0.62</v>
      </c>
      <c r="F3187" s="3">
        <v>0.62</v>
      </c>
      <c r="G3187" s="4">
        <v>44105</v>
      </c>
      <c r="M3187" s="1"/>
      <c r="N3187" s="1"/>
      <c r="O3187" s="1"/>
      <c r="P3187" s="1"/>
      <c r="Q3187" s="1"/>
      <c r="R3187" s="1"/>
    </row>
    <row r="3188" spans="2:18" x14ac:dyDescent="0.15">
      <c r="G3188" s="4"/>
      <c r="M3188" s="1"/>
      <c r="N3188" s="1"/>
      <c r="O3188" s="1"/>
      <c r="P3188" s="1"/>
      <c r="Q3188" s="1"/>
      <c r="R3188" s="1"/>
    </row>
    <row r="3189" spans="2:18" x14ac:dyDescent="0.15">
      <c r="B3189" s="12" t="s">
        <v>791</v>
      </c>
      <c r="C3189" s="13" t="s">
        <v>970</v>
      </c>
      <c r="D3189" s="13" t="s">
        <v>969</v>
      </c>
      <c r="F3189" s="15">
        <f>SUM(F3190:F3191)</f>
        <v>4</v>
      </c>
      <c r="G3189" s="14">
        <f>G3191</f>
        <v>44515</v>
      </c>
      <c r="M3189" s="1"/>
      <c r="N3189" s="1"/>
      <c r="O3189" s="1"/>
      <c r="P3189" s="1"/>
      <c r="Q3189" s="1"/>
      <c r="R3189" s="1"/>
    </row>
    <row r="3190" spans="2:18" x14ac:dyDescent="0.15">
      <c r="B3190" s="12"/>
      <c r="C3190" s="2" t="s">
        <v>4</v>
      </c>
      <c r="D3190" s="2" t="s">
        <v>698</v>
      </c>
      <c r="E3190" s="3">
        <v>5.6</v>
      </c>
      <c r="F3190" s="3">
        <v>1</v>
      </c>
      <c r="G3190" s="4">
        <v>44292</v>
      </c>
      <c r="M3190" s="1"/>
      <c r="N3190" s="1"/>
      <c r="O3190" s="1"/>
      <c r="P3190" s="1"/>
      <c r="Q3190" s="1"/>
      <c r="R3190" s="1"/>
    </row>
    <row r="3191" spans="2:18" x14ac:dyDescent="0.15">
      <c r="C3191" s="193" t="s">
        <v>5</v>
      </c>
      <c r="D3191" s="193" t="s">
        <v>6743</v>
      </c>
      <c r="E3191" s="3">
        <v>21</v>
      </c>
      <c r="F3191" s="3">
        <v>3</v>
      </c>
      <c r="G3191" s="4">
        <v>44515</v>
      </c>
      <c r="M3191" s="1"/>
      <c r="N3191" s="1"/>
      <c r="O3191" s="1"/>
      <c r="P3191" s="1"/>
      <c r="Q3191" s="1"/>
      <c r="R3191" s="1"/>
    </row>
    <row r="3192" spans="2:18" x14ac:dyDescent="0.15">
      <c r="G3192" s="4"/>
      <c r="M3192" s="1"/>
      <c r="N3192" s="1"/>
      <c r="O3192" s="1"/>
      <c r="P3192" s="1"/>
      <c r="Q3192" s="1"/>
      <c r="R3192" s="1"/>
    </row>
    <row r="3193" spans="2:18" s="12" customFormat="1" x14ac:dyDescent="0.15">
      <c r="B3193" s="12" t="s">
        <v>675</v>
      </c>
      <c r="C3193" s="13" t="s">
        <v>970</v>
      </c>
      <c r="D3193" s="13" t="s">
        <v>969</v>
      </c>
      <c r="E3193" s="15"/>
      <c r="F3193" s="15">
        <f>SUM(F3194:F3195)</f>
        <v>3.5</v>
      </c>
      <c r="G3193" s="14">
        <f>G3194</f>
        <v>44389</v>
      </c>
      <c r="M3193" s="13"/>
      <c r="N3193" s="13"/>
      <c r="O3193" s="13"/>
      <c r="P3193" s="13"/>
      <c r="Q3193" s="13"/>
      <c r="R3193" s="13"/>
    </row>
    <row r="3194" spans="2:18" x14ac:dyDescent="0.15">
      <c r="C3194" s="2" t="s">
        <v>5</v>
      </c>
      <c r="D3194" s="2" t="s">
        <v>673</v>
      </c>
      <c r="E3194" s="3">
        <v>14.5</v>
      </c>
      <c r="F3194" s="3">
        <v>2.5</v>
      </c>
      <c r="G3194" s="4">
        <v>44389</v>
      </c>
      <c r="M3194" s="1"/>
      <c r="N3194" s="1"/>
      <c r="O3194" s="1"/>
      <c r="P3194" s="1"/>
      <c r="Q3194" s="1"/>
      <c r="R3194" s="1"/>
    </row>
    <row r="3195" spans="2:18" x14ac:dyDescent="0.15">
      <c r="C3195" s="2" t="s">
        <v>4</v>
      </c>
      <c r="D3195" s="2" t="s">
        <v>673</v>
      </c>
      <c r="E3195" s="3">
        <v>3</v>
      </c>
      <c r="F3195" s="3">
        <v>1</v>
      </c>
      <c r="G3195" s="4">
        <v>43993</v>
      </c>
      <c r="M3195" s="1"/>
      <c r="N3195" s="1"/>
      <c r="O3195" s="1"/>
      <c r="P3195" s="1"/>
      <c r="Q3195" s="1"/>
      <c r="R3195" s="1"/>
    </row>
    <row r="3196" spans="2:18" x14ac:dyDescent="0.15">
      <c r="G3196" s="4"/>
      <c r="M3196" s="1"/>
      <c r="N3196" s="1"/>
      <c r="O3196" s="1"/>
      <c r="P3196" s="1"/>
      <c r="Q3196" s="1"/>
      <c r="R3196" s="1"/>
    </row>
    <row r="3197" spans="2:18" s="12" customFormat="1" x14ac:dyDescent="0.15">
      <c r="B3197" s="12" t="s">
        <v>765</v>
      </c>
      <c r="C3197" s="13" t="s">
        <v>970</v>
      </c>
      <c r="D3197" s="13" t="s">
        <v>969</v>
      </c>
      <c r="E3197" s="15"/>
      <c r="F3197" s="15">
        <f>SUM(F3198:F3199)</f>
        <v>3.5</v>
      </c>
      <c r="G3197" s="14">
        <f>G3199</f>
        <v>44510</v>
      </c>
    </row>
    <row r="3198" spans="2:18" x14ac:dyDescent="0.15">
      <c r="C3198" s="2" t="s">
        <v>278</v>
      </c>
      <c r="D3198" s="2" t="s">
        <v>764</v>
      </c>
      <c r="E3198" s="3">
        <v>1</v>
      </c>
      <c r="F3198" s="3">
        <v>0.5</v>
      </c>
      <c r="G3198" s="4">
        <v>44287</v>
      </c>
      <c r="M3198" s="1"/>
      <c r="N3198" s="1"/>
      <c r="O3198" s="1"/>
      <c r="P3198" s="1"/>
      <c r="Q3198" s="1"/>
      <c r="R3198" s="1"/>
    </row>
    <row r="3199" spans="2:18" x14ac:dyDescent="0.15">
      <c r="C3199" s="2" t="s">
        <v>5</v>
      </c>
      <c r="D3199" s="2" t="s">
        <v>110</v>
      </c>
      <c r="E3199" s="3">
        <v>25</v>
      </c>
      <c r="F3199" s="3">
        <v>3</v>
      </c>
      <c r="G3199" s="4">
        <v>44510</v>
      </c>
      <c r="M3199" s="1"/>
      <c r="N3199" s="1"/>
      <c r="O3199" s="1"/>
      <c r="P3199" s="1"/>
      <c r="Q3199" s="1"/>
      <c r="R3199" s="1"/>
    </row>
    <row r="3200" spans="2:18" x14ac:dyDescent="0.15">
      <c r="G3200" s="4"/>
      <c r="M3200" s="1"/>
      <c r="N3200" s="1"/>
      <c r="O3200" s="1"/>
      <c r="P3200" s="1"/>
      <c r="Q3200" s="1"/>
      <c r="R3200" s="1"/>
    </row>
    <row r="3201" spans="2:19" s="12" customFormat="1" x14ac:dyDescent="0.15">
      <c r="B3201" s="12" t="s">
        <v>118</v>
      </c>
      <c r="C3201" s="13" t="s">
        <v>970</v>
      </c>
      <c r="D3201" s="13" t="s">
        <v>969</v>
      </c>
      <c r="E3201" s="15"/>
      <c r="F3201" s="15">
        <f>SUM(F3202:F3203)</f>
        <v>4.3333333333333339</v>
      </c>
      <c r="G3201" s="14">
        <f>G3202</f>
        <v>44510</v>
      </c>
      <c r="M3201" s="13"/>
      <c r="N3201" s="13"/>
      <c r="O3201" s="13"/>
      <c r="P3201" s="13"/>
      <c r="Q3201" s="13"/>
      <c r="R3201" s="13"/>
    </row>
    <row r="3202" spans="2:19" x14ac:dyDescent="0.15">
      <c r="C3202" s="2" t="s">
        <v>5</v>
      </c>
      <c r="D3202" s="2" t="s">
        <v>110</v>
      </c>
      <c r="E3202" s="3">
        <v>25</v>
      </c>
      <c r="F3202" s="3">
        <f>17/6</f>
        <v>2.8333333333333335</v>
      </c>
      <c r="G3202" s="4">
        <v>44510</v>
      </c>
    </row>
    <row r="3203" spans="2:19" x14ac:dyDescent="0.15">
      <c r="C3203" s="2" t="s">
        <v>4</v>
      </c>
      <c r="D3203" s="2" t="s">
        <v>110</v>
      </c>
      <c r="E3203" s="3">
        <v>8</v>
      </c>
      <c r="F3203" s="3">
        <v>1.5</v>
      </c>
      <c r="G3203" s="4">
        <v>44063</v>
      </c>
    </row>
    <row r="3204" spans="2:19" x14ac:dyDescent="0.15">
      <c r="G3204" s="4"/>
    </row>
    <row r="3205" spans="2:19" s="12" customFormat="1" x14ac:dyDescent="0.15">
      <c r="B3205" s="12" t="s">
        <v>6735</v>
      </c>
      <c r="C3205" s="13" t="s">
        <v>970</v>
      </c>
      <c r="D3205" s="13" t="s">
        <v>969</v>
      </c>
      <c r="E3205" s="15"/>
      <c r="F3205" s="15">
        <f>SUM(F3206:F3207)</f>
        <v>3.588888888888889</v>
      </c>
      <c r="G3205" s="14">
        <f>G3206</f>
        <v>43031</v>
      </c>
    </row>
    <row r="3206" spans="2:19" x14ac:dyDescent="0.15">
      <c r="C3206" s="2" t="s">
        <v>4</v>
      </c>
      <c r="D3206" s="2" t="s">
        <v>318</v>
      </c>
      <c r="E3206" s="3">
        <v>3.2</v>
      </c>
      <c r="F3206" s="3">
        <v>3.2</v>
      </c>
      <c r="G3206" s="4">
        <v>43031</v>
      </c>
      <c r="L3206" s="1">
        <f>+F3206*20</f>
        <v>64</v>
      </c>
      <c r="M3206" s="1"/>
      <c r="N3206" s="1"/>
      <c r="O3206" s="1"/>
      <c r="P3206" s="1"/>
      <c r="Q3206" s="1"/>
      <c r="R3206" s="1"/>
    </row>
    <row r="3207" spans="2:19" x14ac:dyDescent="0.15">
      <c r="C3207" s="2" t="s">
        <v>4</v>
      </c>
      <c r="D3207" s="2" t="s">
        <v>258</v>
      </c>
      <c r="E3207" s="3">
        <v>3.5</v>
      </c>
      <c r="F3207" s="3">
        <f>+E3207/9</f>
        <v>0.3888888888888889</v>
      </c>
      <c r="G3207" s="4">
        <v>42979</v>
      </c>
      <c r="M3207" s="1"/>
      <c r="N3207" s="1"/>
      <c r="O3207" s="1"/>
      <c r="P3207" s="1"/>
      <c r="Q3207" s="1"/>
      <c r="R3207" s="1"/>
    </row>
    <row r="3208" spans="2:19" x14ac:dyDescent="0.15">
      <c r="G3208" s="4"/>
      <c r="M3208" s="1"/>
      <c r="N3208" s="1"/>
      <c r="O3208" s="1"/>
      <c r="P3208" s="1"/>
      <c r="Q3208" s="1"/>
      <c r="R3208" s="1"/>
    </row>
    <row r="3209" spans="2:19" s="12" customFormat="1" x14ac:dyDescent="0.15">
      <c r="B3209" s="12" t="s">
        <v>555</v>
      </c>
      <c r="C3209" s="13" t="s">
        <v>970</v>
      </c>
      <c r="D3209" s="13" t="s">
        <v>969</v>
      </c>
      <c r="E3209" s="15"/>
      <c r="F3209" s="15">
        <f>SUM(F3210:F3211)</f>
        <v>3.75</v>
      </c>
      <c r="G3209" s="14">
        <f>G3210</f>
        <v>45077</v>
      </c>
    </row>
    <row r="3210" spans="2:19" x14ac:dyDescent="0.15">
      <c r="C3210" s="2" t="s">
        <v>7</v>
      </c>
      <c r="D3210" s="2" t="s">
        <v>549</v>
      </c>
      <c r="E3210" s="3">
        <v>20</v>
      </c>
      <c r="F3210" s="3">
        <f>12/6</f>
        <v>2</v>
      </c>
      <c r="G3210" s="4">
        <v>45077</v>
      </c>
      <c r="M3210" s="1"/>
      <c r="N3210" s="1"/>
      <c r="O3210" s="1"/>
      <c r="P3210" s="1"/>
      <c r="Q3210" s="1"/>
      <c r="R3210" s="1"/>
    </row>
    <row r="3211" spans="2:19" x14ac:dyDescent="0.15">
      <c r="C3211" s="2" t="s">
        <v>5</v>
      </c>
      <c r="D3211" s="2" t="s">
        <v>409</v>
      </c>
      <c r="E3211" s="3">
        <v>10</v>
      </c>
      <c r="F3211" s="3">
        <f>7/4</f>
        <v>1.75</v>
      </c>
      <c r="G3211" s="4">
        <v>44740</v>
      </c>
      <c r="M3211" s="1"/>
      <c r="N3211" s="1"/>
      <c r="O3211" s="1"/>
      <c r="P3211" s="1"/>
      <c r="Q3211" s="1"/>
      <c r="R3211" s="1"/>
    </row>
    <row r="3212" spans="2:19" x14ac:dyDescent="0.15">
      <c r="G3212" s="4"/>
      <c r="M3212" s="1"/>
      <c r="N3212" s="1"/>
      <c r="O3212" s="1"/>
      <c r="P3212" s="1"/>
      <c r="Q3212" s="1"/>
      <c r="R3212" s="1"/>
    </row>
    <row r="3213" spans="2:19" s="12" customFormat="1" x14ac:dyDescent="0.15">
      <c r="B3213" s="12" t="s">
        <v>299</v>
      </c>
      <c r="C3213" s="13" t="s">
        <v>970</v>
      </c>
      <c r="D3213" s="13" t="s">
        <v>969</v>
      </c>
      <c r="E3213" s="15"/>
      <c r="F3213" s="15">
        <f>SUM(F3214:F3215)</f>
        <v>2.625</v>
      </c>
      <c r="G3213" s="14">
        <f>G3214</f>
        <v>44314</v>
      </c>
      <c r="M3213" s="13"/>
      <c r="N3213" s="13"/>
      <c r="O3213" s="13"/>
      <c r="P3213" s="13"/>
      <c r="Q3213" s="13"/>
      <c r="R3213" s="13"/>
    </row>
    <row r="3214" spans="2:19" x14ac:dyDescent="0.15">
      <c r="C3214" s="2" t="s">
        <v>5</v>
      </c>
      <c r="D3214" s="2" t="s">
        <v>298</v>
      </c>
      <c r="E3214" s="3">
        <v>15</v>
      </c>
      <c r="F3214" s="3">
        <v>2</v>
      </c>
      <c r="G3214" s="4">
        <v>44314</v>
      </c>
      <c r="S3214" s="1" t="s">
        <v>297</v>
      </c>
    </row>
    <row r="3215" spans="2:19" x14ac:dyDescent="0.15">
      <c r="C3215" s="2" t="s">
        <v>4</v>
      </c>
      <c r="D3215" s="2" t="s">
        <v>110</v>
      </c>
      <c r="E3215" s="3">
        <v>8</v>
      </c>
      <c r="F3215" s="3">
        <f>5/8</f>
        <v>0.625</v>
      </c>
      <c r="G3215" s="4">
        <v>44063</v>
      </c>
    </row>
    <row r="3216" spans="2:19" x14ac:dyDescent="0.15">
      <c r="G3216" s="4"/>
    </row>
    <row r="3217" spans="2:18" s="12" customFormat="1" x14ac:dyDescent="0.15">
      <c r="B3217" s="12" t="s">
        <v>6721</v>
      </c>
      <c r="C3217" s="13" t="s">
        <v>970</v>
      </c>
      <c r="D3217" s="13" t="s">
        <v>969</v>
      </c>
      <c r="E3217" s="15"/>
      <c r="F3217" s="15">
        <f>SUM(F3218:F3220)</f>
        <v>3.25</v>
      </c>
      <c r="G3217" s="14">
        <f>G3218</f>
        <v>44825</v>
      </c>
      <c r="M3217" s="13"/>
      <c r="N3217" s="13"/>
      <c r="O3217" s="13"/>
      <c r="P3217" s="13"/>
      <c r="Q3217" s="13"/>
      <c r="R3217" s="13"/>
    </row>
    <row r="3218" spans="2:18" x14ac:dyDescent="0.15">
      <c r="B3218" s="189"/>
      <c r="C3218" s="190" t="s">
        <v>7</v>
      </c>
      <c r="D3218" s="190" t="s">
        <v>2035</v>
      </c>
      <c r="E3218" s="3">
        <v>16</v>
      </c>
      <c r="F3218" s="3">
        <v>2</v>
      </c>
      <c r="G3218" s="4">
        <v>44825</v>
      </c>
    </row>
    <row r="3219" spans="2:18" x14ac:dyDescent="0.15">
      <c r="B3219" s="189"/>
      <c r="C3219" s="193" t="s">
        <v>5</v>
      </c>
      <c r="D3219" s="190" t="s">
        <v>2035</v>
      </c>
      <c r="E3219" s="3">
        <v>9.3000000000000007</v>
      </c>
      <c r="F3219" s="194">
        <v>1</v>
      </c>
      <c r="G3219" s="4">
        <v>44229</v>
      </c>
    </row>
    <row r="3220" spans="2:18" x14ac:dyDescent="0.15">
      <c r="B3220" s="189"/>
      <c r="C3220" s="193" t="s">
        <v>4</v>
      </c>
      <c r="D3220" s="190" t="s">
        <v>2035</v>
      </c>
      <c r="E3220" s="3">
        <v>2</v>
      </c>
      <c r="F3220" s="3">
        <f>1.5/6</f>
        <v>0.25</v>
      </c>
      <c r="G3220" s="4">
        <v>43522</v>
      </c>
    </row>
    <row r="3221" spans="2:18" x14ac:dyDescent="0.15">
      <c r="B3221" s="189"/>
      <c r="C3221" s="193"/>
      <c r="D3221" s="190"/>
      <c r="G3221" s="4"/>
    </row>
    <row r="3222" spans="2:18" s="12" customFormat="1" x14ac:dyDescent="0.15">
      <c r="B3222" s="12" t="s">
        <v>776</v>
      </c>
      <c r="C3222" s="13" t="s">
        <v>970</v>
      </c>
      <c r="D3222" s="13" t="s">
        <v>969</v>
      </c>
      <c r="E3222" s="15"/>
      <c r="F3222" s="15">
        <f>SUM(F3223:F3225)</f>
        <v>2.86</v>
      </c>
      <c r="G3222" s="14">
        <f>G3223</f>
        <v>44677</v>
      </c>
    </row>
    <row r="3223" spans="2:18" x14ac:dyDescent="0.15">
      <c r="C3223" s="2" t="s">
        <v>4</v>
      </c>
      <c r="D3223" s="2" t="s">
        <v>650</v>
      </c>
      <c r="E3223" s="3">
        <v>8</v>
      </c>
      <c r="F3223" s="3">
        <v>1</v>
      </c>
      <c r="G3223" s="4">
        <v>44677</v>
      </c>
      <c r="M3223" s="1"/>
      <c r="N3223" s="1"/>
      <c r="O3223" s="1"/>
      <c r="P3223" s="1"/>
      <c r="Q3223" s="1"/>
      <c r="R3223" s="1"/>
    </row>
    <row r="3224" spans="2:18" x14ac:dyDescent="0.15">
      <c r="C3224" s="169" t="s">
        <v>5</v>
      </c>
      <c r="D3224" s="169" t="s">
        <v>2044</v>
      </c>
      <c r="E3224" s="3">
        <v>18</v>
      </c>
      <c r="F3224" s="3">
        <v>1</v>
      </c>
      <c r="G3224" s="4">
        <v>43445</v>
      </c>
      <c r="M3224" s="1"/>
      <c r="N3224" s="1"/>
      <c r="O3224" s="1"/>
      <c r="P3224" s="1"/>
      <c r="Q3224" s="1"/>
      <c r="R3224" s="1"/>
    </row>
    <row r="3225" spans="2:18" x14ac:dyDescent="0.15">
      <c r="C3225" s="169" t="s">
        <v>4</v>
      </c>
      <c r="D3225" s="169" t="s">
        <v>2044</v>
      </c>
      <c r="E3225" s="3">
        <v>4.3</v>
      </c>
      <c r="F3225" s="3">
        <f>E3225/5</f>
        <v>0.86</v>
      </c>
      <c r="G3225" s="4">
        <v>43157</v>
      </c>
      <c r="M3225" s="1"/>
      <c r="N3225" s="1"/>
      <c r="O3225" s="1"/>
      <c r="P3225" s="1"/>
      <c r="Q3225" s="1"/>
      <c r="R3225" s="1"/>
    </row>
    <row r="3226" spans="2:18" x14ac:dyDescent="0.15">
      <c r="G3226" s="4"/>
      <c r="M3226" s="1"/>
      <c r="N3226" s="1"/>
      <c r="O3226" s="1"/>
      <c r="P3226" s="1"/>
      <c r="Q3226" s="1"/>
      <c r="R3226" s="1"/>
    </row>
    <row r="3227" spans="2:18" s="12" customFormat="1" x14ac:dyDescent="0.15">
      <c r="B3227" s="12" t="s">
        <v>117</v>
      </c>
      <c r="C3227" s="13" t="s">
        <v>970</v>
      </c>
      <c r="D3227" s="13" t="s">
        <v>969</v>
      </c>
      <c r="E3227" s="15"/>
      <c r="F3227" s="15">
        <f>SUM(F3228:F3229)</f>
        <v>3.4583333333333335</v>
      </c>
      <c r="G3227" s="14">
        <f>G3228</f>
        <v>44510</v>
      </c>
      <c r="M3227" s="13"/>
      <c r="N3227" s="13"/>
      <c r="O3227" s="13"/>
      <c r="P3227" s="13"/>
      <c r="Q3227" s="13"/>
      <c r="R3227" s="13"/>
    </row>
    <row r="3228" spans="2:18" x14ac:dyDescent="0.15">
      <c r="C3228" s="2" t="s">
        <v>5</v>
      </c>
      <c r="D3228" s="2" t="s">
        <v>110</v>
      </c>
      <c r="E3228" s="3">
        <v>25</v>
      </c>
      <c r="F3228" s="3">
        <f>17/6</f>
        <v>2.8333333333333335</v>
      </c>
      <c r="G3228" s="4">
        <v>44510</v>
      </c>
    </row>
    <row r="3229" spans="2:18" x14ac:dyDescent="0.15">
      <c r="C3229" s="2" t="s">
        <v>4</v>
      </c>
      <c r="D3229" s="2" t="s">
        <v>110</v>
      </c>
      <c r="E3229" s="3">
        <v>8</v>
      </c>
      <c r="F3229" s="3">
        <f t="shared" ref="F3229" si="1">5/8</f>
        <v>0.625</v>
      </c>
      <c r="G3229" s="4">
        <v>44063</v>
      </c>
    </row>
    <row r="3230" spans="2:18" x14ac:dyDescent="0.15">
      <c r="G3230" s="4"/>
    </row>
    <row r="3231" spans="2:18" s="12" customFormat="1" x14ac:dyDescent="0.15">
      <c r="B3231" s="12" t="s">
        <v>705</v>
      </c>
      <c r="C3231" s="13" t="s">
        <v>970</v>
      </c>
      <c r="D3231" s="13" t="s">
        <v>969</v>
      </c>
      <c r="E3231" s="15"/>
      <c r="F3231" s="15">
        <f>SUM(F3232:F3233)</f>
        <v>2.8</v>
      </c>
      <c r="G3231" s="14">
        <f>G3232</f>
        <v>44917</v>
      </c>
      <c r="M3231" s="13"/>
      <c r="N3231" s="13"/>
      <c r="O3231" s="13"/>
      <c r="P3231" s="13"/>
      <c r="Q3231" s="13"/>
      <c r="R3231" s="13"/>
    </row>
    <row r="3232" spans="2:18" x14ac:dyDescent="0.15">
      <c r="C3232" s="2" t="s">
        <v>5</v>
      </c>
      <c r="D3232" s="2" t="s">
        <v>704</v>
      </c>
      <c r="E3232" s="3">
        <v>6</v>
      </c>
      <c r="F3232" s="3">
        <v>1</v>
      </c>
      <c r="G3232" s="4">
        <v>44917</v>
      </c>
    </row>
    <row r="3233" spans="2:18" x14ac:dyDescent="0.15">
      <c r="C3233" s="2" t="s">
        <v>4</v>
      </c>
      <c r="D3233" s="2" t="s">
        <v>704</v>
      </c>
      <c r="E3233" s="3">
        <v>3.6</v>
      </c>
      <c r="F3233" s="3">
        <v>1.8</v>
      </c>
      <c r="G3233" s="4">
        <v>43361</v>
      </c>
    </row>
    <row r="3234" spans="2:18" x14ac:dyDescent="0.15">
      <c r="G3234" s="4"/>
    </row>
    <row r="3235" spans="2:18" s="12" customFormat="1" x14ac:dyDescent="0.15">
      <c r="B3235" s="12" t="s">
        <v>545</v>
      </c>
      <c r="C3235" s="13" t="s">
        <v>970</v>
      </c>
      <c r="D3235" s="13" t="s">
        <v>969</v>
      </c>
      <c r="E3235" s="15"/>
      <c r="F3235" s="15">
        <f>SUM(F3236:F3237)</f>
        <v>3.2</v>
      </c>
      <c r="G3235" s="14">
        <f>G3236</f>
        <v>44447</v>
      </c>
    </row>
    <row r="3236" spans="2:18" x14ac:dyDescent="0.15">
      <c r="C3236" s="2" t="s">
        <v>5</v>
      </c>
      <c r="D3236" s="2" t="s">
        <v>543</v>
      </c>
      <c r="E3236" s="3">
        <v>14</v>
      </c>
      <c r="F3236" s="3">
        <f>8/5</f>
        <v>1.6</v>
      </c>
      <c r="G3236" s="4">
        <v>44447</v>
      </c>
      <c r="M3236" s="1"/>
      <c r="N3236" s="1"/>
      <c r="O3236" s="1"/>
      <c r="P3236" s="1"/>
      <c r="Q3236" s="1"/>
      <c r="R3236" s="1"/>
    </row>
    <row r="3237" spans="2:18" x14ac:dyDescent="0.15">
      <c r="C3237" s="2" t="s">
        <v>5</v>
      </c>
      <c r="D3237" s="2" t="s">
        <v>543</v>
      </c>
      <c r="E3237" s="3">
        <v>12</v>
      </c>
      <c r="F3237" s="3">
        <f>8/5</f>
        <v>1.6</v>
      </c>
      <c r="G3237" s="4">
        <v>43532</v>
      </c>
      <c r="M3237" s="1"/>
      <c r="N3237" s="1"/>
      <c r="O3237" s="1"/>
      <c r="P3237" s="1"/>
      <c r="Q3237" s="1"/>
      <c r="R3237" s="1"/>
    </row>
    <row r="3238" spans="2:18" x14ac:dyDescent="0.15">
      <c r="G3238" s="4"/>
      <c r="M3238" s="1"/>
      <c r="N3238" s="1"/>
      <c r="O3238" s="1"/>
      <c r="P3238" s="1"/>
      <c r="Q3238" s="1"/>
      <c r="R3238" s="1"/>
    </row>
    <row r="3239" spans="2:18" s="12" customFormat="1" x14ac:dyDescent="0.15">
      <c r="B3239" s="12" t="s">
        <v>676</v>
      </c>
      <c r="C3239" s="13" t="s">
        <v>970</v>
      </c>
      <c r="D3239" s="13" t="s">
        <v>969</v>
      </c>
      <c r="E3239" s="15"/>
      <c r="F3239" s="15">
        <f>SUM(F3240:F3241)</f>
        <v>3</v>
      </c>
      <c r="G3239" s="14">
        <f>G3240</f>
        <v>44389</v>
      </c>
      <c r="M3239" s="13"/>
      <c r="N3239" s="13"/>
      <c r="O3239" s="13"/>
      <c r="P3239" s="13"/>
      <c r="Q3239" s="13"/>
      <c r="R3239" s="13"/>
    </row>
    <row r="3240" spans="2:18" x14ac:dyDescent="0.15">
      <c r="C3240" s="2" t="s">
        <v>5</v>
      </c>
      <c r="D3240" s="2" t="s">
        <v>673</v>
      </c>
      <c r="E3240" s="3">
        <v>14.5</v>
      </c>
      <c r="F3240" s="3">
        <v>2.5</v>
      </c>
      <c r="G3240" s="4">
        <v>44389</v>
      </c>
      <c r="M3240" s="1"/>
      <c r="N3240" s="1"/>
      <c r="O3240" s="1"/>
      <c r="P3240" s="1"/>
      <c r="Q3240" s="1"/>
      <c r="R3240" s="1"/>
    </row>
    <row r="3241" spans="2:18" x14ac:dyDescent="0.15">
      <c r="C3241" s="2" t="s">
        <v>4</v>
      </c>
      <c r="D3241" s="2" t="s">
        <v>673</v>
      </c>
      <c r="E3241" s="3">
        <v>3</v>
      </c>
      <c r="F3241" s="3">
        <v>0.5</v>
      </c>
      <c r="G3241" s="4">
        <v>43993</v>
      </c>
      <c r="M3241" s="1"/>
      <c r="N3241" s="1"/>
      <c r="O3241" s="1"/>
      <c r="P3241" s="1"/>
      <c r="Q3241" s="1"/>
      <c r="R3241" s="1"/>
    </row>
    <row r="3242" spans="2:18" x14ac:dyDescent="0.15">
      <c r="G3242" s="4"/>
      <c r="M3242" s="1"/>
      <c r="N3242" s="1"/>
      <c r="O3242" s="1"/>
      <c r="P3242" s="1"/>
      <c r="Q3242" s="1"/>
      <c r="R3242" s="1"/>
    </row>
    <row r="3243" spans="2:18" s="12" customFormat="1" x14ac:dyDescent="0.15">
      <c r="B3243" s="12" t="s">
        <v>6720</v>
      </c>
      <c r="C3243" s="13" t="s">
        <v>970</v>
      </c>
      <c r="D3243" s="13" t="s">
        <v>969</v>
      </c>
      <c r="E3243" s="15"/>
      <c r="F3243" s="15">
        <f>SUM(F3244:F3245)</f>
        <v>3</v>
      </c>
      <c r="G3243" s="14">
        <f>G3244</f>
        <v>44825</v>
      </c>
      <c r="M3243" s="13"/>
      <c r="N3243" s="13"/>
      <c r="O3243" s="13"/>
      <c r="P3243" s="13"/>
      <c r="Q3243" s="13"/>
      <c r="R3243" s="13"/>
    </row>
    <row r="3244" spans="2:18" x14ac:dyDescent="0.15">
      <c r="B3244" s="189"/>
      <c r="C3244" s="190" t="s">
        <v>7</v>
      </c>
      <c r="D3244" s="190" t="s">
        <v>2035</v>
      </c>
      <c r="E3244" s="3">
        <v>16</v>
      </c>
      <c r="F3244" s="3">
        <v>2</v>
      </c>
      <c r="G3244" s="4">
        <v>44825</v>
      </c>
    </row>
    <row r="3245" spans="2:18" x14ac:dyDescent="0.15">
      <c r="B3245" s="189"/>
      <c r="C3245" s="193" t="s">
        <v>5</v>
      </c>
      <c r="D3245" s="190" t="s">
        <v>2035</v>
      </c>
      <c r="E3245" s="3">
        <v>9.3000000000000007</v>
      </c>
      <c r="F3245" s="194">
        <v>1</v>
      </c>
      <c r="G3245" s="4">
        <v>44229</v>
      </c>
    </row>
    <row r="3246" spans="2:18" x14ac:dyDescent="0.15">
      <c r="B3246" s="189"/>
      <c r="C3246" s="193"/>
      <c r="D3246" s="190"/>
      <c r="F3246" s="194"/>
      <c r="G3246" s="4"/>
    </row>
    <row r="3247" spans="2:18" s="12" customFormat="1" x14ac:dyDescent="0.15">
      <c r="B3247" s="12" t="s">
        <v>734</v>
      </c>
      <c r="C3247" s="13" t="s">
        <v>970</v>
      </c>
      <c r="D3247" s="13" t="s">
        <v>969</v>
      </c>
      <c r="E3247" s="15"/>
      <c r="F3247" s="15">
        <f>SUM(F3248:F3249)</f>
        <v>3.0714285714285716</v>
      </c>
      <c r="G3247" s="14">
        <f>G3248</f>
        <v>44757</v>
      </c>
    </row>
    <row r="3248" spans="2:18" x14ac:dyDescent="0.15">
      <c r="C3248" s="2" t="s">
        <v>5</v>
      </c>
      <c r="D3248" s="2" t="s">
        <v>731</v>
      </c>
      <c r="E3248" s="3">
        <v>25</v>
      </c>
      <c r="F3248" s="3">
        <f>18/7</f>
        <v>2.5714285714285716</v>
      </c>
      <c r="G3248" s="4">
        <v>44757</v>
      </c>
    </row>
    <row r="3249" spans="2:18" x14ac:dyDescent="0.15">
      <c r="C3249" s="2" t="s">
        <v>4</v>
      </c>
      <c r="D3249" s="2" t="s">
        <v>731</v>
      </c>
      <c r="E3249" s="3">
        <v>4</v>
      </c>
      <c r="F3249" s="3">
        <v>0.5</v>
      </c>
      <c r="G3249" s="4">
        <v>44340</v>
      </c>
    </row>
    <row r="3251" spans="2:18" s="12" customFormat="1" x14ac:dyDescent="0.15">
      <c r="B3251" s="12" t="s">
        <v>674</v>
      </c>
      <c r="C3251" s="13" t="s">
        <v>970</v>
      </c>
      <c r="D3251" s="13" t="s">
        <v>969</v>
      </c>
      <c r="E3251" s="15"/>
      <c r="F3251" s="15">
        <f>SUM(F3252:F3254)</f>
        <v>3.3</v>
      </c>
      <c r="G3251" s="14">
        <f>G3252</f>
        <v>44389</v>
      </c>
      <c r="M3251" s="13"/>
      <c r="N3251" s="13"/>
      <c r="O3251" s="13"/>
      <c r="P3251" s="13"/>
      <c r="Q3251" s="13"/>
      <c r="R3251" s="13"/>
    </row>
    <row r="3252" spans="2:18" x14ac:dyDescent="0.15">
      <c r="C3252" s="2" t="s">
        <v>5</v>
      </c>
      <c r="D3252" s="2" t="s">
        <v>673</v>
      </c>
      <c r="E3252" s="3">
        <v>14.5</v>
      </c>
      <c r="F3252" s="3">
        <v>2.5</v>
      </c>
      <c r="G3252" s="4">
        <v>44389</v>
      </c>
      <c r="M3252" s="1"/>
      <c r="N3252" s="1"/>
      <c r="O3252" s="1"/>
      <c r="P3252" s="1"/>
      <c r="Q3252" s="1"/>
      <c r="R3252" s="1"/>
    </row>
    <row r="3253" spans="2:18" x14ac:dyDescent="0.15">
      <c r="C3253" s="2" t="s">
        <v>4</v>
      </c>
      <c r="D3253" s="2" t="s">
        <v>673</v>
      </c>
      <c r="E3253" s="3">
        <v>3</v>
      </c>
      <c r="F3253" s="3">
        <v>0.5</v>
      </c>
      <c r="G3253" s="4">
        <v>43993</v>
      </c>
      <c r="M3253" s="1"/>
      <c r="N3253" s="1"/>
      <c r="O3253" s="1"/>
      <c r="P3253" s="1"/>
      <c r="Q3253" s="1"/>
      <c r="R3253" s="1"/>
    </row>
    <row r="3254" spans="2:18" x14ac:dyDescent="0.15">
      <c r="C3254" s="149" t="s">
        <v>4</v>
      </c>
      <c r="D3254" s="149" t="s">
        <v>2062</v>
      </c>
      <c r="E3254" s="3">
        <v>2.2999999999999998</v>
      </c>
      <c r="F3254" s="3">
        <v>0.3</v>
      </c>
      <c r="G3254" s="4">
        <v>43195</v>
      </c>
      <c r="M3254" s="1"/>
      <c r="N3254" s="1"/>
      <c r="O3254" s="1"/>
      <c r="P3254" s="1"/>
      <c r="Q3254" s="1"/>
      <c r="R3254" s="1"/>
    </row>
    <row r="3255" spans="2:18" x14ac:dyDescent="0.15">
      <c r="G3255" s="4"/>
      <c r="M3255" s="1"/>
      <c r="N3255" s="1"/>
      <c r="O3255" s="1"/>
      <c r="P3255" s="1"/>
      <c r="Q3255" s="1"/>
      <c r="R3255" s="1"/>
    </row>
    <row r="3256" spans="2:18" s="12" customFormat="1" x14ac:dyDescent="0.15">
      <c r="B3256" s="12" t="s">
        <v>640</v>
      </c>
      <c r="C3256" s="13" t="s">
        <v>970</v>
      </c>
      <c r="D3256" s="13" t="s">
        <v>969</v>
      </c>
      <c r="E3256" s="15"/>
      <c r="F3256" s="15">
        <f>SUM(F3257:F3262)</f>
        <v>2.52</v>
      </c>
      <c r="G3256" s="14">
        <f>G3261</f>
        <v>44152</v>
      </c>
    </row>
    <row r="3257" spans="2:18" x14ac:dyDescent="0.15">
      <c r="C3257" s="2" t="s">
        <v>278</v>
      </c>
      <c r="D3257" s="2" t="s">
        <v>639</v>
      </c>
      <c r="E3257" s="3">
        <v>0.1</v>
      </c>
      <c r="F3257" s="3">
        <v>0.1</v>
      </c>
      <c r="G3257" s="4">
        <v>43499</v>
      </c>
      <c r="M3257" s="1"/>
      <c r="N3257" s="1"/>
      <c r="O3257" s="1"/>
      <c r="P3257" s="1"/>
      <c r="Q3257" s="1"/>
      <c r="R3257" s="1"/>
    </row>
    <row r="3258" spans="2:18" x14ac:dyDescent="0.15">
      <c r="C3258" s="2" t="s">
        <v>278</v>
      </c>
      <c r="D3258" s="2" t="s">
        <v>638</v>
      </c>
      <c r="E3258" s="3">
        <v>0.12</v>
      </c>
      <c r="F3258" s="3">
        <v>0.12</v>
      </c>
      <c r="G3258" s="4">
        <v>44082</v>
      </c>
      <c r="M3258" s="1"/>
      <c r="N3258" s="1"/>
      <c r="O3258" s="1"/>
      <c r="P3258" s="1"/>
      <c r="Q3258" s="1"/>
      <c r="R3258" s="1"/>
    </row>
    <row r="3259" spans="2:18" x14ac:dyDescent="0.15">
      <c r="C3259" s="2" t="s">
        <v>278</v>
      </c>
      <c r="D3259" s="2" t="s">
        <v>341</v>
      </c>
      <c r="G3259" s="4"/>
      <c r="M3259" s="1"/>
      <c r="N3259" s="1"/>
      <c r="O3259" s="1"/>
      <c r="P3259" s="1"/>
      <c r="Q3259" s="1"/>
      <c r="R3259" s="1"/>
    </row>
    <row r="3260" spans="2:18" x14ac:dyDescent="0.15">
      <c r="C3260" s="149" t="s">
        <v>4</v>
      </c>
      <c r="D3260" s="149" t="s">
        <v>2062</v>
      </c>
      <c r="E3260" s="3">
        <v>2.2999999999999998</v>
      </c>
      <c r="F3260" s="3">
        <v>0.3</v>
      </c>
      <c r="G3260" s="4">
        <v>43195</v>
      </c>
      <c r="M3260" s="1"/>
      <c r="N3260" s="1"/>
      <c r="O3260" s="1"/>
      <c r="P3260" s="1"/>
      <c r="Q3260" s="1"/>
      <c r="R3260" s="1"/>
    </row>
    <row r="3261" spans="2:18" x14ac:dyDescent="0.15">
      <c r="C3261" s="261" t="s">
        <v>5</v>
      </c>
      <c r="D3261" s="261" t="s">
        <v>2017</v>
      </c>
      <c r="E3261" s="3">
        <v>9</v>
      </c>
      <c r="F3261" s="3">
        <v>1</v>
      </c>
      <c r="G3261" s="4">
        <v>44152</v>
      </c>
      <c r="M3261" s="1"/>
      <c r="N3261" s="1"/>
      <c r="O3261" s="1"/>
      <c r="P3261" s="1"/>
      <c r="Q3261" s="1"/>
      <c r="R3261" s="1"/>
    </row>
    <row r="3262" spans="2:18" x14ac:dyDescent="0.15">
      <c r="C3262" s="261" t="s">
        <v>4</v>
      </c>
      <c r="D3262" s="261" t="s">
        <v>2017</v>
      </c>
      <c r="E3262" s="3">
        <v>4</v>
      </c>
      <c r="F3262" s="3">
        <v>1</v>
      </c>
      <c r="G3262" s="4">
        <v>43481</v>
      </c>
      <c r="M3262" s="1"/>
      <c r="N3262" s="1"/>
      <c r="O3262" s="1"/>
      <c r="P3262" s="1"/>
      <c r="Q3262" s="1"/>
      <c r="R3262" s="1"/>
    </row>
    <row r="3263" spans="2:18" x14ac:dyDescent="0.15">
      <c r="G3263" s="4"/>
      <c r="M3263" s="1"/>
      <c r="N3263" s="1"/>
      <c r="O3263" s="1"/>
      <c r="P3263" s="1"/>
      <c r="Q3263" s="1"/>
      <c r="R3263" s="1"/>
    </row>
    <row r="3264" spans="2:18" s="12" customFormat="1" x14ac:dyDescent="0.15">
      <c r="B3264" s="12" t="s">
        <v>353</v>
      </c>
      <c r="C3264" s="13" t="s">
        <v>970</v>
      </c>
      <c r="D3264" s="13" t="s">
        <v>969</v>
      </c>
      <c r="E3264" s="15"/>
      <c r="F3264" s="15">
        <f>SUM(F3265:F3266)</f>
        <v>3</v>
      </c>
      <c r="G3264" s="14">
        <f>G3265</f>
        <v>44861</v>
      </c>
    </row>
    <row r="3265" spans="2:18" x14ac:dyDescent="0.15">
      <c r="C3265" s="2" t="s">
        <v>7</v>
      </c>
      <c r="D3265" s="2" t="s">
        <v>351</v>
      </c>
      <c r="E3265" s="3">
        <v>22</v>
      </c>
      <c r="F3265" s="3">
        <v>2</v>
      </c>
      <c r="G3265" s="4">
        <v>44861</v>
      </c>
      <c r="M3265" s="1"/>
      <c r="N3265" s="1"/>
      <c r="O3265" s="1"/>
      <c r="P3265" s="1"/>
      <c r="Q3265" s="1"/>
      <c r="R3265" s="1"/>
    </row>
    <row r="3266" spans="2:18" x14ac:dyDescent="0.15">
      <c r="C3266" s="2" t="s">
        <v>5</v>
      </c>
      <c r="D3266" s="2" t="s">
        <v>351</v>
      </c>
      <c r="E3266" s="3">
        <v>15</v>
      </c>
      <c r="F3266" s="3">
        <v>1</v>
      </c>
      <c r="G3266" s="4">
        <v>44487</v>
      </c>
      <c r="M3266" s="1"/>
      <c r="N3266" s="1"/>
      <c r="O3266" s="1"/>
      <c r="P3266" s="1"/>
      <c r="Q3266" s="1"/>
      <c r="R3266" s="1"/>
    </row>
    <row r="3267" spans="2:18" x14ac:dyDescent="0.15">
      <c r="G3267" s="4"/>
      <c r="M3267" s="1"/>
      <c r="N3267" s="1"/>
      <c r="O3267" s="1"/>
      <c r="P3267" s="1"/>
      <c r="Q3267" s="1"/>
      <c r="R3267" s="1"/>
    </row>
    <row r="3268" spans="2:18" s="12" customFormat="1" x14ac:dyDescent="0.15">
      <c r="B3268" s="12" t="s">
        <v>733</v>
      </c>
      <c r="C3268" s="13" t="s">
        <v>970</v>
      </c>
      <c r="D3268" s="13" t="s">
        <v>969</v>
      </c>
      <c r="E3268" s="15"/>
      <c r="F3268" s="15">
        <f>SUM(F3269:F3270)</f>
        <v>3.0714285714285716</v>
      </c>
      <c r="G3268" s="14">
        <f>G3269</f>
        <v>44757</v>
      </c>
    </row>
    <row r="3269" spans="2:18" x14ac:dyDescent="0.15">
      <c r="C3269" s="2" t="s">
        <v>5</v>
      </c>
      <c r="D3269" s="2" t="s">
        <v>731</v>
      </c>
      <c r="E3269" s="3">
        <v>25</v>
      </c>
      <c r="F3269" s="3">
        <f>18/7</f>
        <v>2.5714285714285716</v>
      </c>
      <c r="G3269" s="4">
        <v>44757</v>
      </c>
    </row>
    <row r="3270" spans="2:18" x14ac:dyDescent="0.15">
      <c r="C3270" s="2" t="s">
        <v>4</v>
      </c>
      <c r="D3270" s="2" t="s">
        <v>731</v>
      </c>
      <c r="E3270" s="3">
        <v>4</v>
      </c>
      <c r="F3270" s="3">
        <v>0.5</v>
      </c>
      <c r="G3270" s="4">
        <v>44340</v>
      </c>
    </row>
    <row r="3271" spans="2:18" x14ac:dyDescent="0.15">
      <c r="G3271" s="4"/>
    </row>
    <row r="3272" spans="2:18" s="12" customFormat="1" x14ac:dyDescent="0.15">
      <c r="B3272" s="12" t="s">
        <v>727</v>
      </c>
      <c r="C3272" s="13" t="s">
        <v>970</v>
      </c>
      <c r="D3272" s="13" t="s">
        <v>969</v>
      </c>
      <c r="E3272" s="15"/>
      <c r="F3272" s="15">
        <f>SUM(F3273:F3274)</f>
        <v>2.6666666666666665</v>
      </c>
      <c r="G3272" s="14">
        <f>G3273</f>
        <v>44676</v>
      </c>
      <c r="M3272" s="13"/>
      <c r="N3272" s="13"/>
      <c r="O3272" s="13"/>
      <c r="P3272" s="13"/>
      <c r="Q3272" s="13"/>
      <c r="R3272" s="13"/>
    </row>
    <row r="3273" spans="2:18" x14ac:dyDescent="0.15">
      <c r="C3273" s="2" t="s">
        <v>5</v>
      </c>
      <c r="D3273" s="2" t="s">
        <v>726</v>
      </c>
      <c r="E3273" s="3">
        <v>20</v>
      </c>
      <c r="F3273" s="3">
        <f>13/6</f>
        <v>2.1666666666666665</v>
      </c>
      <c r="G3273" s="4">
        <v>44676</v>
      </c>
    </row>
    <row r="3274" spans="2:18" x14ac:dyDescent="0.15">
      <c r="C3274" s="2" t="s">
        <v>4</v>
      </c>
      <c r="D3274" s="2" t="s">
        <v>726</v>
      </c>
      <c r="E3274" s="3">
        <v>5</v>
      </c>
      <c r="F3274" s="3">
        <v>0.5</v>
      </c>
      <c r="G3274" s="4">
        <v>44060</v>
      </c>
    </row>
    <row r="3275" spans="2:18" x14ac:dyDescent="0.15">
      <c r="G3275" s="4"/>
    </row>
    <row r="3276" spans="2:18" s="12" customFormat="1" x14ac:dyDescent="0.15">
      <c r="B3276" s="12" t="s">
        <v>6</v>
      </c>
      <c r="C3276" s="13" t="s">
        <v>970</v>
      </c>
      <c r="D3276" s="13" t="s">
        <v>969</v>
      </c>
      <c r="E3276" s="15"/>
      <c r="F3276" s="15">
        <f>SUM(F3277:F3278)</f>
        <v>2.6666666666666665</v>
      </c>
      <c r="G3276" s="14">
        <f>G3277</f>
        <v>42828</v>
      </c>
      <c r="M3276" s="13"/>
      <c r="N3276" s="13"/>
      <c r="O3276" s="13"/>
      <c r="P3276" s="13"/>
      <c r="Q3276" s="13"/>
      <c r="R3276" s="13"/>
    </row>
    <row r="3277" spans="2:18" x14ac:dyDescent="0.15">
      <c r="C3277" s="2" t="s">
        <v>5</v>
      </c>
      <c r="D3277" s="2" t="s">
        <v>3</v>
      </c>
      <c r="E3277" s="3">
        <v>10.5</v>
      </c>
      <c r="F3277" s="3">
        <v>2</v>
      </c>
      <c r="G3277" s="4">
        <v>42828</v>
      </c>
      <c r="J3277" s="1">
        <v>2200</v>
      </c>
    </row>
    <row r="3278" spans="2:18" x14ac:dyDescent="0.15">
      <c r="C3278" s="2" t="s">
        <v>4</v>
      </c>
      <c r="D3278" s="2" t="s">
        <v>3</v>
      </c>
      <c r="E3278" s="3">
        <v>2</v>
      </c>
      <c r="F3278" s="3">
        <f>+E3278/3</f>
        <v>0.66666666666666663</v>
      </c>
      <c r="G3278" s="4">
        <v>42521</v>
      </c>
      <c r="J3278" s="1">
        <v>2200</v>
      </c>
    </row>
    <row r="3279" spans="2:18" x14ac:dyDescent="0.15">
      <c r="G3279" s="4"/>
    </row>
    <row r="3280" spans="2:18" s="12" customFormat="1" x14ac:dyDescent="0.15">
      <c r="B3280" s="12" t="s">
        <v>973</v>
      </c>
      <c r="C3280" s="13" t="s">
        <v>970</v>
      </c>
      <c r="D3280" s="13" t="s">
        <v>969</v>
      </c>
      <c r="E3280" s="15"/>
      <c r="F3280" s="15">
        <f>SUM(F3281:F3282)</f>
        <v>2.7142857142857144</v>
      </c>
      <c r="G3280" s="14">
        <f>G3281</f>
        <v>43816</v>
      </c>
      <c r="M3280" s="13"/>
      <c r="N3280" s="13"/>
      <c r="O3280" s="13"/>
      <c r="P3280" s="13"/>
      <c r="Q3280" s="13"/>
      <c r="R3280" s="13"/>
    </row>
    <row r="3281" spans="2:18" x14ac:dyDescent="0.15">
      <c r="C3281" s="2" t="s">
        <v>5</v>
      </c>
      <c r="D3281" s="2" t="s">
        <v>833</v>
      </c>
      <c r="E3281" s="3">
        <v>20</v>
      </c>
      <c r="F3281" s="3">
        <f>12/6</f>
        <v>2</v>
      </c>
      <c r="G3281" s="4">
        <v>43816</v>
      </c>
    </row>
    <row r="3282" spans="2:18" x14ac:dyDescent="0.15">
      <c r="C3282" s="2" t="s">
        <v>4</v>
      </c>
      <c r="D3282" s="2" t="s">
        <v>425</v>
      </c>
      <c r="E3282" s="3">
        <v>7</v>
      </c>
      <c r="F3282" s="3">
        <v>0.7142857142857143</v>
      </c>
      <c r="G3282" s="4">
        <v>43046</v>
      </c>
    </row>
    <row r="3283" spans="2:18" x14ac:dyDescent="0.15">
      <c r="G3283" s="4"/>
    </row>
    <row r="3284" spans="2:18" s="12" customFormat="1" x14ac:dyDescent="0.15">
      <c r="B3284" s="12" t="s">
        <v>90</v>
      </c>
      <c r="C3284" s="13" t="s">
        <v>970</v>
      </c>
      <c r="D3284" s="13" t="s">
        <v>969</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6451</v>
      </c>
      <c r="C3288" s="13" t="s">
        <v>970</v>
      </c>
      <c r="D3288" s="13" t="s">
        <v>969</v>
      </c>
      <c r="E3288" s="15"/>
      <c r="F3288" s="15">
        <f>SUM(F3289:F3290)</f>
        <v>1.8599999999999999</v>
      </c>
      <c r="G3288" s="14">
        <f>G3289</f>
        <v>43445</v>
      </c>
      <c r="M3288" s="13"/>
      <c r="N3288" s="13"/>
      <c r="O3288" s="13"/>
      <c r="P3288" s="13"/>
      <c r="Q3288" s="13"/>
      <c r="R3288" s="13"/>
    </row>
    <row r="3289" spans="2:18" x14ac:dyDescent="0.15">
      <c r="B3289" s="168"/>
      <c r="C3289" s="2" t="s">
        <v>5</v>
      </c>
      <c r="D3289" s="2" t="s">
        <v>2044</v>
      </c>
      <c r="E3289" s="3">
        <v>18</v>
      </c>
      <c r="F3289" s="3">
        <v>1</v>
      </c>
      <c r="G3289" s="4">
        <v>43445</v>
      </c>
    </row>
    <row r="3290" spans="2:18" x14ac:dyDescent="0.15">
      <c r="B3290" s="168"/>
      <c r="C3290" s="169" t="s">
        <v>4</v>
      </c>
      <c r="D3290" s="2" t="s">
        <v>2044</v>
      </c>
      <c r="E3290" s="3">
        <v>4.3</v>
      </c>
      <c r="F3290" s="3">
        <f>E3290/5</f>
        <v>0.86</v>
      </c>
      <c r="G3290" s="4">
        <v>43157</v>
      </c>
    </row>
    <row r="3291" spans="2:18" x14ac:dyDescent="0.15">
      <c r="B3291" s="168"/>
      <c r="G3291" s="4"/>
    </row>
    <row r="3292" spans="2:18" s="12" customFormat="1" x14ac:dyDescent="0.15">
      <c r="B3292" s="12" t="s">
        <v>91</v>
      </c>
      <c r="C3292" s="13" t="s">
        <v>970</v>
      </c>
      <c r="D3292" s="13" t="s">
        <v>969</v>
      </c>
      <c r="E3292" s="15"/>
      <c r="F3292" s="15">
        <f>SUM(F3293:F3294)</f>
        <v>2.2380952380952381</v>
      </c>
      <c r="G3292" s="14">
        <f>G3293</f>
        <v>43978</v>
      </c>
      <c r="M3292" s="13"/>
      <c r="N3292" s="13"/>
      <c r="O3292" s="13"/>
      <c r="P3292" s="13"/>
      <c r="Q3292" s="13"/>
      <c r="R3292" s="13"/>
    </row>
    <row r="3293" spans="2:18" x14ac:dyDescent="0.15">
      <c r="C3293" s="2" t="s">
        <v>5</v>
      </c>
      <c r="D3293" s="2" t="s">
        <v>87</v>
      </c>
      <c r="E3293" s="3">
        <v>13.5</v>
      </c>
      <c r="F3293" s="3">
        <f>10/6</f>
        <v>1.6666666666666667</v>
      </c>
      <c r="G3293" s="4">
        <v>43978</v>
      </c>
    </row>
    <row r="3294" spans="2:18" x14ac:dyDescent="0.15">
      <c r="C3294" s="2" t="s">
        <v>4</v>
      </c>
      <c r="D3294" s="2" t="s">
        <v>87</v>
      </c>
      <c r="E3294" s="3">
        <v>5.3</v>
      </c>
      <c r="F3294" s="3">
        <f>4/7</f>
        <v>0.5714285714285714</v>
      </c>
      <c r="G3294" s="4">
        <v>43398</v>
      </c>
    </row>
    <row r="3295" spans="2:18" x14ac:dyDescent="0.15">
      <c r="G3295" s="4"/>
    </row>
    <row r="3296" spans="2:18" s="12" customFormat="1" x14ac:dyDescent="0.15">
      <c r="B3296" s="12" t="s">
        <v>263</v>
      </c>
      <c r="C3296" s="13" t="s">
        <v>970</v>
      </c>
      <c r="D3296" s="13" t="s">
        <v>969</v>
      </c>
      <c r="E3296" s="15"/>
      <c r="F3296" s="15">
        <f>SUM(F3297:F3298)</f>
        <v>2.0555555555555558</v>
      </c>
      <c r="G3296" s="14">
        <f>G3297</f>
        <v>43690</v>
      </c>
      <c r="M3296" s="13"/>
      <c r="N3296" s="13"/>
      <c r="O3296" s="13"/>
      <c r="P3296" s="13"/>
      <c r="Q3296" s="13"/>
      <c r="R3296" s="13"/>
    </row>
    <row r="3297" spans="2:18" x14ac:dyDescent="0.15">
      <c r="C3297" s="2" t="s">
        <v>5</v>
      </c>
      <c r="D3297" s="2" t="s">
        <v>258</v>
      </c>
      <c r="E3297" s="3">
        <v>14</v>
      </c>
      <c r="F3297" s="3">
        <v>1.6666666666666667</v>
      </c>
      <c r="G3297" s="4">
        <v>43690</v>
      </c>
    </row>
    <row r="3298" spans="2:18" x14ac:dyDescent="0.15">
      <c r="C3298" s="2" t="s">
        <v>4</v>
      </c>
      <c r="D3298" s="2" t="s">
        <v>258</v>
      </c>
      <c r="E3298" s="3">
        <v>3.5</v>
      </c>
      <c r="F3298" s="3">
        <f>+E3298/9</f>
        <v>0.3888888888888889</v>
      </c>
      <c r="G3298" s="4">
        <v>42979</v>
      </c>
    </row>
    <row r="3299" spans="2:18" x14ac:dyDescent="0.15">
      <c r="G3299" s="4"/>
    </row>
    <row r="3300" spans="2:18" s="12" customFormat="1" x14ac:dyDescent="0.15">
      <c r="B3300" s="12" t="s">
        <v>714</v>
      </c>
      <c r="C3300" s="13" t="s">
        <v>970</v>
      </c>
      <c r="D3300" s="13" t="s">
        <v>969</v>
      </c>
      <c r="E3300" s="15"/>
      <c r="F3300" s="15">
        <f>SUM(F3301:F3302)</f>
        <v>2</v>
      </c>
      <c r="G3300" s="14">
        <f>G3301</f>
        <v>44679</v>
      </c>
      <c r="M3300" s="13"/>
      <c r="N3300" s="13"/>
      <c r="O3300" s="13"/>
      <c r="P3300" s="13"/>
      <c r="Q3300" s="13"/>
      <c r="R3300" s="13"/>
    </row>
    <row r="3301" spans="2:18" x14ac:dyDescent="0.15">
      <c r="C3301" s="2" t="s">
        <v>5</v>
      </c>
      <c r="D3301" s="2" t="s">
        <v>664</v>
      </c>
      <c r="E3301" s="3">
        <v>17</v>
      </c>
      <c r="F3301" s="3">
        <v>1.5</v>
      </c>
      <c r="G3301" s="4">
        <v>44679</v>
      </c>
    </row>
    <row r="3302" spans="2:18" x14ac:dyDescent="0.15">
      <c r="C3302" s="2" t="s">
        <v>4</v>
      </c>
      <c r="D3302" s="2" t="s">
        <v>664</v>
      </c>
      <c r="E3302" s="3">
        <v>4.5</v>
      </c>
      <c r="F3302" s="3">
        <v>0.5</v>
      </c>
      <c r="G3302" s="4">
        <v>44415</v>
      </c>
    </row>
    <row r="3303" spans="2:18" x14ac:dyDescent="0.15">
      <c r="G3303" s="4"/>
    </row>
    <row r="3304" spans="2:18" s="12" customFormat="1" x14ac:dyDescent="0.15">
      <c r="B3304" s="12" t="s">
        <v>6267</v>
      </c>
      <c r="C3304" s="13" t="s">
        <v>970</v>
      </c>
      <c r="D3304" s="13" t="s">
        <v>969</v>
      </c>
      <c r="E3304" s="15"/>
      <c r="F3304" s="15">
        <f>SUM(F3305:F3306)</f>
        <v>1.8</v>
      </c>
      <c r="G3304" s="14">
        <f>G3305</f>
        <v>43943</v>
      </c>
      <c r="M3304" s="13"/>
      <c r="N3304" s="13"/>
      <c r="O3304" s="13"/>
      <c r="P3304" s="13"/>
      <c r="Q3304" s="13"/>
      <c r="R3304" s="13"/>
    </row>
    <row r="3305" spans="2:18" x14ac:dyDescent="0.15">
      <c r="B3305" s="143"/>
      <c r="C3305" s="149" t="s">
        <v>4</v>
      </c>
      <c r="D3305" s="149" t="s">
        <v>2062</v>
      </c>
      <c r="E3305" s="3">
        <v>4.5</v>
      </c>
      <c r="F3305" s="3">
        <v>1.5</v>
      </c>
      <c r="G3305" s="4">
        <v>43943</v>
      </c>
    </row>
    <row r="3306" spans="2:18" x14ac:dyDescent="0.15">
      <c r="B3306" s="143"/>
      <c r="C3306" s="149" t="s">
        <v>4</v>
      </c>
      <c r="D3306" s="149" t="s">
        <v>2062</v>
      </c>
      <c r="E3306" s="3">
        <v>2.2999999999999998</v>
      </c>
      <c r="F3306" s="3">
        <v>0.3</v>
      </c>
      <c r="G3306" s="4">
        <v>43195</v>
      </c>
    </row>
    <row r="3307" spans="2:18" x14ac:dyDescent="0.15">
      <c r="B3307" s="143"/>
      <c r="C3307" s="149"/>
      <c r="D3307" s="149"/>
      <c r="G3307" s="4"/>
    </row>
    <row r="3308" spans="2:18" s="12" customFormat="1" x14ac:dyDescent="0.15">
      <c r="B3308" s="12" t="s">
        <v>601</v>
      </c>
      <c r="C3308" s="13" t="s">
        <v>970</v>
      </c>
      <c r="D3308" s="13" t="s">
        <v>969</v>
      </c>
      <c r="E3308" s="15"/>
      <c r="F3308" s="15">
        <f>SUM(F3309:F3310)</f>
        <v>1.5</v>
      </c>
      <c r="G3308" s="14">
        <f>G3310</f>
        <v>43335</v>
      </c>
    </row>
    <row r="3309" spans="2:18" x14ac:dyDescent="0.15">
      <c r="C3309" s="2" t="s">
        <v>5</v>
      </c>
      <c r="D3309" s="2" t="s">
        <v>600</v>
      </c>
      <c r="E3309" s="3">
        <v>8</v>
      </c>
      <c r="F3309" s="3">
        <v>1</v>
      </c>
      <c r="G3309" s="4">
        <v>43249</v>
      </c>
      <c r="M3309" s="1"/>
      <c r="N3309" s="1"/>
      <c r="O3309" s="1"/>
      <c r="P3309" s="1"/>
      <c r="Q3309" s="1"/>
      <c r="R3309" s="1"/>
    </row>
    <row r="3310" spans="2:18" x14ac:dyDescent="0.15">
      <c r="C3310" s="149" t="s">
        <v>4</v>
      </c>
      <c r="D3310" s="149" t="s">
        <v>6362</v>
      </c>
      <c r="E3310" s="3">
        <v>5</v>
      </c>
      <c r="F3310" s="3">
        <v>0.5</v>
      </c>
      <c r="G3310" s="4">
        <v>43335</v>
      </c>
      <c r="M3310" s="1"/>
      <c r="N3310" s="1"/>
      <c r="O3310" s="1"/>
      <c r="P3310" s="1"/>
      <c r="Q3310" s="1"/>
      <c r="R3310" s="1"/>
    </row>
    <row r="3311" spans="2:18" x14ac:dyDescent="0.15">
      <c r="C3311" s="149"/>
      <c r="D3311" s="149"/>
      <c r="G3311" s="4"/>
      <c r="M3311" s="1"/>
      <c r="N3311" s="1"/>
      <c r="O3311" s="1"/>
      <c r="P3311" s="1"/>
      <c r="Q3311" s="1"/>
      <c r="R3311" s="1"/>
    </row>
    <row r="3312" spans="2:18" s="12" customFormat="1" x14ac:dyDescent="0.15">
      <c r="B3312" s="12" t="s">
        <v>441</v>
      </c>
      <c r="C3312" s="13" t="s">
        <v>970</v>
      </c>
      <c r="D3312" s="13" t="s">
        <v>969</v>
      </c>
      <c r="E3312" s="15"/>
      <c r="F3312" s="15">
        <f>SUM(F3313:F3314)</f>
        <v>1.6</v>
      </c>
      <c r="G3312" s="14">
        <f>G3313</f>
        <v>44602</v>
      </c>
    </row>
    <row r="3313" spans="2:18" x14ac:dyDescent="0.15">
      <c r="C3313" s="2" t="s">
        <v>4</v>
      </c>
      <c r="D3313" s="2" t="s">
        <v>440</v>
      </c>
      <c r="E3313" s="3">
        <v>7</v>
      </c>
      <c r="F3313" s="3">
        <v>0.5</v>
      </c>
      <c r="G3313" s="4">
        <v>44602</v>
      </c>
      <c r="M3313" s="1"/>
      <c r="N3313" s="1"/>
      <c r="O3313" s="1"/>
      <c r="P3313" s="1"/>
      <c r="Q3313" s="1"/>
      <c r="R3313" s="1"/>
    </row>
    <row r="3314" spans="2:18" x14ac:dyDescent="0.15">
      <c r="C3314" s="2" t="s">
        <v>278</v>
      </c>
      <c r="D3314" s="2" t="s">
        <v>440</v>
      </c>
      <c r="E3314" s="3">
        <v>1.1000000000000001</v>
      </c>
      <c r="F3314" s="3">
        <v>1.1000000000000001</v>
      </c>
      <c r="G3314" s="4">
        <v>44061</v>
      </c>
      <c r="M3314" s="1"/>
      <c r="N3314" s="1"/>
      <c r="O3314" s="1"/>
      <c r="P3314" s="1"/>
      <c r="Q3314" s="1"/>
      <c r="R3314" s="1"/>
    </row>
    <row r="3315" spans="2:18" x14ac:dyDescent="0.15">
      <c r="G3315" s="4"/>
      <c r="M3315" s="1"/>
      <c r="N3315" s="1"/>
      <c r="O3315" s="1"/>
      <c r="P3315" s="1"/>
      <c r="Q3315" s="1"/>
      <c r="R3315" s="1"/>
    </row>
    <row r="3316" spans="2:18" s="12" customFormat="1" x14ac:dyDescent="0.15">
      <c r="B3316" s="12" t="s">
        <v>578</v>
      </c>
      <c r="C3316" s="13" t="s">
        <v>970</v>
      </c>
      <c r="D3316" s="13" t="s">
        <v>969</v>
      </c>
      <c r="E3316" s="15"/>
      <c r="F3316" s="15">
        <f>SUM(F3317:F3318)</f>
        <v>1.5</v>
      </c>
      <c r="G3316" s="14">
        <f>G3318</f>
        <v>45037</v>
      </c>
    </row>
    <row r="3317" spans="2:18" x14ac:dyDescent="0.15">
      <c r="C3317" s="2" t="s">
        <v>4</v>
      </c>
      <c r="D3317" s="2" t="s">
        <v>574</v>
      </c>
      <c r="E3317" s="3">
        <v>10</v>
      </c>
      <c r="F3317" s="3">
        <v>1</v>
      </c>
      <c r="G3317" s="4">
        <v>44887</v>
      </c>
      <c r="M3317" s="1"/>
      <c r="N3317" s="1"/>
      <c r="O3317" s="1"/>
      <c r="P3317" s="1"/>
      <c r="Q3317" s="1"/>
      <c r="R3317" s="1"/>
    </row>
    <row r="3318" spans="2:18" x14ac:dyDescent="0.15">
      <c r="C3318" s="2" t="s">
        <v>4</v>
      </c>
      <c r="D3318" s="2" t="s">
        <v>510</v>
      </c>
      <c r="E3318" s="3">
        <v>3</v>
      </c>
      <c r="F3318" s="3">
        <v>0.5</v>
      </c>
      <c r="G3318" s="4">
        <v>45037</v>
      </c>
      <c r="M3318" s="1"/>
      <c r="N3318" s="1"/>
      <c r="O3318" s="1"/>
      <c r="P3318" s="1"/>
      <c r="Q3318" s="1"/>
      <c r="R3318" s="1"/>
    </row>
    <row r="3319" spans="2:18" x14ac:dyDescent="0.15">
      <c r="G3319" s="4"/>
      <c r="M3319" s="1"/>
      <c r="N3319" s="1"/>
      <c r="O3319" s="1"/>
      <c r="P3319" s="1"/>
      <c r="Q3319" s="1"/>
      <c r="R3319" s="1"/>
    </row>
    <row r="3320" spans="2:18" s="12" customFormat="1" x14ac:dyDescent="0.15">
      <c r="B3320" s="12" t="s">
        <v>487</v>
      </c>
      <c r="C3320" s="13" t="s">
        <v>970</v>
      </c>
      <c r="D3320" s="13" t="s">
        <v>969</v>
      </c>
      <c r="E3320" s="15"/>
      <c r="F3320" s="15">
        <f>SUM(F3321:F3324)</f>
        <v>7.0111111111111111</v>
      </c>
      <c r="G3320" s="14">
        <f>G3321</f>
        <v>44516</v>
      </c>
    </row>
    <row r="3321" spans="2:18" x14ac:dyDescent="0.15">
      <c r="C3321" s="2" t="s">
        <v>5</v>
      </c>
      <c r="D3321" s="2" t="s">
        <v>484</v>
      </c>
      <c r="E3321" s="3">
        <v>13</v>
      </c>
      <c r="F3321" s="3">
        <v>1.4</v>
      </c>
      <c r="G3321" s="4">
        <v>44516</v>
      </c>
      <c r="M3321" s="1"/>
      <c r="N3321" s="1"/>
      <c r="O3321" s="1"/>
      <c r="P3321" s="1"/>
      <c r="Q3321" s="1"/>
      <c r="R3321" s="1"/>
    </row>
    <row r="3322" spans="2:18" x14ac:dyDescent="0.15">
      <c r="C3322" s="62" t="s">
        <v>5</v>
      </c>
      <c r="D3322" s="62" t="s">
        <v>5044</v>
      </c>
      <c r="E3322" s="3">
        <v>3</v>
      </c>
      <c r="F3322" s="3">
        <f>2/3</f>
        <v>0.66666666666666663</v>
      </c>
      <c r="G3322" s="4">
        <v>42220</v>
      </c>
      <c r="M3322" s="1"/>
      <c r="N3322" s="1"/>
      <c r="O3322" s="1"/>
      <c r="P3322" s="1"/>
      <c r="Q3322" s="1"/>
      <c r="R3322" s="1"/>
    </row>
    <row r="3323" spans="2:18" x14ac:dyDescent="0.15">
      <c r="C3323" s="169" t="s">
        <v>7</v>
      </c>
      <c r="D3323" s="169" t="s">
        <v>2051</v>
      </c>
      <c r="E3323" s="3">
        <v>50</v>
      </c>
      <c r="F3323" s="3">
        <f>40/9</f>
        <v>4.4444444444444446</v>
      </c>
      <c r="G3323" s="4">
        <v>44252</v>
      </c>
      <c r="M3323" s="1"/>
      <c r="N3323" s="1"/>
      <c r="O3323" s="1"/>
      <c r="P3323" s="1"/>
      <c r="Q3323" s="1"/>
      <c r="R3323" s="1"/>
    </row>
    <row r="3324" spans="2:18" x14ac:dyDescent="0.15">
      <c r="C3324" s="169" t="s">
        <v>4</v>
      </c>
      <c r="D3324" s="169" t="s">
        <v>2051</v>
      </c>
      <c r="E3324" s="3">
        <v>3</v>
      </c>
      <c r="F3324" s="3">
        <f>2/4</f>
        <v>0.5</v>
      </c>
      <c r="G3324" s="4">
        <v>42628</v>
      </c>
      <c r="M3324" s="1"/>
      <c r="N3324" s="1"/>
      <c r="O3324" s="1"/>
      <c r="P3324" s="1"/>
      <c r="Q3324" s="1"/>
      <c r="R3324" s="1"/>
    </row>
    <row r="3325" spans="2:18" x14ac:dyDescent="0.15">
      <c r="G3325" s="4"/>
      <c r="M3325" s="1"/>
      <c r="N3325" s="1"/>
      <c r="O3325" s="1"/>
      <c r="P3325" s="1"/>
      <c r="Q3325" s="1"/>
      <c r="R3325" s="1"/>
    </row>
    <row r="3326" spans="2:18" s="12" customFormat="1" x14ac:dyDescent="0.15">
      <c r="B3326" s="12" t="s">
        <v>712</v>
      </c>
      <c r="C3326" s="13" t="s">
        <v>970</v>
      </c>
      <c r="D3326" s="13" t="s">
        <v>969</v>
      </c>
      <c r="E3326" s="15"/>
      <c r="F3326" s="15">
        <f>SUM(F3327:F3328)</f>
        <v>2</v>
      </c>
      <c r="G3326" s="14">
        <f>G3327</f>
        <v>44679</v>
      </c>
      <c r="M3326" s="13"/>
      <c r="N3326" s="13"/>
      <c r="O3326" s="13"/>
      <c r="P3326" s="13"/>
      <c r="Q3326" s="13"/>
      <c r="R3326" s="13"/>
    </row>
    <row r="3327" spans="2:18" x14ac:dyDescent="0.15">
      <c r="C3327" s="2" t="s">
        <v>5</v>
      </c>
      <c r="D3327" s="2" t="s">
        <v>664</v>
      </c>
      <c r="E3327" s="3">
        <v>17</v>
      </c>
      <c r="F3327" s="3">
        <v>1.5</v>
      </c>
      <c r="G3327" s="4">
        <v>44679</v>
      </c>
    </row>
    <row r="3328" spans="2:18" x14ac:dyDescent="0.15">
      <c r="C3328" s="2" t="s">
        <v>4</v>
      </c>
      <c r="D3328" s="2" t="s">
        <v>664</v>
      </c>
      <c r="E3328" s="3">
        <v>4.5</v>
      </c>
      <c r="F3328" s="3">
        <v>0.5</v>
      </c>
      <c r="G3328" s="4">
        <v>44415</v>
      </c>
    </row>
    <row r="3329" spans="2:18" x14ac:dyDescent="0.15">
      <c r="G3329" s="4"/>
    </row>
    <row r="3330" spans="2:18" s="12" customFormat="1" x14ac:dyDescent="0.15">
      <c r="B3330" s="12" t="s">
        <v>713</v>
      </c>
      <c r="C3330" s="13" t="s">
        <v>970</v>
      </c>
      <c r="D3330" s="13" t="s">
        <v>969</v>
      </c>
      <c r="E3330" s="15"/>
      <c r="F3330" s="15">
        <f>SUM(F3331:F3332)</f>
        <v>2</v>
      </c>
      <c r="G3330" s="14">
        <f>G3331</f>
        <v>44679</v>
      </c>
      <c r="M3330" s="13"/>
      <c r="N3330" s="13"/>
      <c r="O3330" s="13"/>
      <c r="P3330" s="13"/>
      <c r="Q3330" s="13"/>
      <c r="R3330" s="13"/>
    </row>
    <row r="3331" spans="2:18" x14ac:dyDescent="0.15">
      <c r="C3331" s="2" t="s">
        <v>5</v>
      </c>
      <c r="D3331" s="2" t="s">
        <v>664</v>
      </c>
      <c r="E3331" s="3">
        <v>17</v>
      </c>
      <c r="F3331" s="3">
        <v>1.5</v>
      </c>
      <c r="G3331" s="4">
        <v>44679</v>
      </c>
    </row>
    <row r="3332" spans="2:18" x14ac:dyDescent="0.15">
      <c r="C3332" s="2" t="s">
        <v>4</v>
      </c>
      <c r="D3332" s="2" t="s">
        <v>664</v>
      </c>
      <c r="E3332" s="3">
        <v>4.5</v>
      </c>
      <c r="F3332" s="3">
        <v>0.5</v>
      </c>
      <c r="G3332" s="4">
        <v>44415</v>
      </c>
    </row>
    <row r="3333" spans="2:18" x14ac:dyDescent="0.15">
      <c r="G3333" s="4"/>
    </row>
    <row r="3334" spans="2:18" s="12" customFormat="1" x14ac:dyDescent="0.15">
      <c r="B3334" s="12" t="s">
        <v>715</v>
      </c>
      <c r="C3334" s="13" t="s">
        <v>970</v>
      </c>
      <c r="D3334" s="13" t="s">
        <v>969</v>
      </c>
      <c r="E3334" s="15"/>
      <c r="F3334" s="15">
        <f>SUM(F3335:F3336)</f>
        <v>2</v>
      </c>
      <c r="G3334" s="14">
        <f>G3335</f>
        <v>44679</v>
      </c>
      <c r="M3334" s="13"/>
      <c r="N3334" s="13"/>
      <c r="O3334" s="13"/>
      <c r="P3334" s="13"/>
      <c r="Q3334" s="13"/>
      <c r="R3334" s="13"/>
    </row>
    <row r="3335" spans="2:18" x14ac:dyDescent="0.15">
      <c r="C3335" s="2" t="s">
        <v>5</v>
      </c>
      <c r="D3335" s="2" t="s">
        <v>664</v>
      </c>
      <c r="E3335" s="3">
        <v>17</v>
      </c>
      <c r="F3335" s="3">
        <v>1.5</v>
      </c>
      <c r="G3335" s="4">
        <v>44679</v>
      </c>
    </row>
    <row r="3336" spans="2:18" x14ac:dyDescent="0.15">
      <c r="C3336" s="2" t="s">
        <v>4</v>
      </c>
      <c r="D3336" s="2" t="s">
        <v>664</v>
      </c>
      <c r="E3336" s="3">
        <v>4.5</v>
      </c>
      <c r="F3336" s="3">
        <v>0.5</v>
      </c>
      <c r="G3336" s="4">
        <v>44415</v>
      </c>
    </row>
    <row r="3337" spans="2:18" x14ac:dyDescent="0.15">
      <c r="G3337" s="4"/>
    </row>
    <row r="3338" spans="2:18" s="12" customFormat="1" x14ac:dyDescent="0.15">
      <c r="B3338" s="12" t="s">
        <v>775</v>
      </c>
      <c r="C3338" s="13" t="s">
        <v>970</v>
      </c>
      <c r="D3338" s="13" t="s">
        <v>969</v>
      </c>
      <c r="E3338" s="15"/>
      <c r="F3338" s="15">
        <f>SUM(F3339:F3341)</f>
        <v>3</v>
      </c>
      <c r="G3338" s="14">
        <f>G3339</f>
        <v>44488</v>
      </c>
    </row>
    <row r="3339" spans="2:18" x14ac:dyDescent="0.15">
      <c r="C3339" s="2" t="s">
        <v>4</v>
      </c>
      <c r="D3339" s="2" t="s">
        <v>774</v>
      </c>
      <c r="E3339" s="3">
        <v>5.5</v>
      </c>
      <c r="F3339" s="3">
        <v>1</v>
      </c>
      <c r="G3339" s="4">
        <v>44488</v>
      </c>
      <c r="M3339" s="1"/>
      <c r="N3339" s="1"/>
      <c r="O3339" s="1"/>
      <c r="P3339" s="1"/>
      <c r="Q3339" s="1"/>
      <c r="R3339" s="1"/>
    </row>
    <row r="3340" spans="2:18" x14ac:dyDescent="0.15">
      <c r="C3340" s="149" t="s">
        <v>4</v>
      </c>
      <c r="D3340" s="149" t="s">
        <v>6332</v>
      </c>
      <c r="E3340" s="3">
        <v>3.5</v>
      </c>
      <c r="F3340" s="3">
        <v>1</v>
      </c>
      <c r="G3340" s="4">
        <v>43831</v>
      </c>
      <c r="M3340" s="1"/>
      <c r="N3340" s="1"/>
      <c r="O3340" s="1"/>
      <c r="P3340" s="1"/>
      <c r="Q3340" s="1"/>
      <c r="R3340" s="1"/>
    </row>
    <row r="3341" spans="2:18" x14ac:dyDescent="0.15">
      <c r="C3341" s="149" t="s">
        <v>4</v>
      </c>
      <c r="D3341" s="149" t="s">
        <v>2020</v>
      </c>
      <c r="E3341" s="3">
        <v>3</v>
      </c>
      <c r="F3341" s="3">
        <v>1</v>
      </c>
      <c r="G3341" s="4">
        <v>44452</v>
      </c>
      <c r="M3341" s="1"/>
      <c r="N3341" s="1"/>
      <c r="O3341" s="1"/>
      <c r="P3341" s="1"/>
      <c r="Q3341" s="1"/>
      <c r="R3341" s="1"/>
    </row>
    <row r="3342" spans="2:18" x14ac:dyDescent="0.15">
      <c r="C3342" s="149"/>
      <c r="D3342" s="149"/>
      <c r="G3342" s="4"/>
      <c r="M3342" s="1"/>
      <c r="N3342" s="1"/>
      <c r="O3342" s="1"/>
      <c r="P3342" s="1"/>
      <c r="Q3342" s="1"/>
      <c r="R3342" s="1"/>
    </row>
    <row r="3343" spans="2:18" s="12" customFormat="1" x14ac:dyDescent="0.15">
      <c r="B3343" s="12" t="s">
        <v>293</v>
      </c>
      <c r="C3343" s="13" t="s">
        <v>970</v>
      </c>
      <c r="D3343" s="13" t="s">
        <v>969</v>
      </c>
      <c r="E3343" s="15"/>
      <c r="F3343" s="15">
        <f>SUM(F3344:F3345)</f>
        <v>1.8050000000000002</v>
      </c>
      <c r="G3343" s="14">
        <f>G3344</f>
        <v>42458</v>
      </c>
      <c r="M3343" s="13"/>
      <c r="N3343" s="13"/>
      <c r="O3343" s="13"/>
      <c r="P3343" s="13"/>
      <c r="Q3343" s="13"/>
      <c r="R3343" s="13"/>
    </row>
    <row r="3344" spans="2:18" x14ac:dyDescent="0.15">
      <c r="C3344" s="2" t="s">
        <v>7</v>
      </c>
      <c r="D3344" s="2" t="s">
        <v>292</v>
      </c>
      <c r="E3344" s="3">
        <v>6.9</v>
      </c>
      <c r="F3344" s="3">
        <f>E3344/5</f>
        <v>1.3800000000000001</v>
      </c>
      <c r="G3344" s="4">
        <v>42458</v>
      </c>
    </row>
    <row r="3345" spans="2:18" x14ac:dyDescent="0.15">
      <c r="C3345" s="2" t="s">
        <v>5</v>
      </c>
      <c r="D3345" s="2" t="s">
        <v>292</v>
      </c>
      <c r="E3345" s="3">
        <v>2.7</v>
      </c>
      <c r="F3345" s="3">
        <f>1.7/4</f>
        <v>0.42499999999999999</v>
      </c>
      <c r="G3345" s="4">
        <v>42139</v>
      </c>
    </row>
    <row r="3346" spans="2:18" x14ac:dyDescent="0.15">
      <c r="G3346" s="4"/>
    </row>
    <row r="3347" spans="2:18" s="12" customFormat="1" x14ac:dyDescent="0.15">
      <c r="B3347" s="12" t="s">
        <v>716</v>
      </c>
      <c r="C3347" s="13" t="s">
        <v>970</v>
      </c>
      <c r="D3347" s="13" t="s">
        <v>969</v>
      </c>
      <c r="E3347" s="15"/>
      <c r="F3347" s="15">
        <f>SUM(F3348:F3349)</f>
        <v>2</v>
      </c>
      <c r="G3347" s="14">
        <f>G3348</f>
        <v>44679</v>
      </c>
      <c r="M3347" s="13"/>
      <c r="N3347" s="13"/>
      <c r="O3347" s="13"/>
      <c r="P3347" s="13"/>
      <c r="Q3347" s="13"/>
      <c r="R3347" s="13"/>
    </row>
    <row r="3348" spans="2:18" x14ac:dyDescent="0.15">
      <c r="C3348" s="2" t="s">
        <v>5</v>
      </c>
      <c r="D3348" s="2" t="s">
        <v>664</v>
      </c>
      <c r="E3348" s="3">
        <v>17</v>
      </c>
      <c r="F3348" s="3">
        <v>1.5</v>
      </c>
      <c r="G3348" s="4">
        <v>44679</v>
      </c>
    </row>
    <row r="3349" spans="2:18" x14ac:dyDescent="0.15">
      <c r="C3349" s="2" t="s">
        <v>4</v>
      </c>
      <c r="D3349" s="2" t="s">
        <v>664</v>
      </c>
      <c r="E3349" s="3">
        <v>4.5</v>
      </c>
      <c r="F3349" s="3">
        <v>0.5</v>
      </c>
      <c r="G3349" s="4">
        <v>44415</v>
      </c>
    </row>
    <row r="3350" spans="2:18" x14ac:dyDescent="0.15">
      <c r="G3350" s="4"/>
    </row>
    <row r="3351" spans="2:18" s="12" customFormat="1" x14ac:dyDescent="0.15">
      <c r="B3351" s="12" t="s">
        <v>6462</v>
      </c>
      <c r="C3351" s="13" t="s">
        <v>970</v>
      </c>
      <c r="D3351" s="13" t="s">
        <v>969</v>
      </c>
      <c r="E3351" s="15"/>
      <c r="F3351" s="15">
        <f>SUM(F3352:F3353)</f>
        <v>1.7</v>
      </c>
      <c r="G3351" s="14">
        <f>G3352</f>
        <v>44179</v>
      </c>
      <c r="M3351" s="13"/>
      <c r="N3351" s="13"/>
      <c r="O3351" s="13"/>
      <c r="P3351" s="13"/>
      <c r="Q3351" s="13"/>
      <c r="R3351" s="13"/>
    </row>
    <row r="3352" spans="2:18" x14ac:dyDescent="0.15">
      <c r="B3352" s="168"/>
      <c r="C3352" s="169" t="s">
        <v>5</v>
      </c>
      <c r="D3352" s="169" t="s">
        <v>6459</v>
      </c>
      <c r="E3352" s="3">
        <v>8</v>
      </c>
      <c r="F3352" s="3">
        <f>6/5</f>
        <v>1.2</v>
      </c>
      <c r="G3352" s="4">
        <v>44179</v>
      </c>
    </row>
    <row r="3353" spans="2:18" x14ac:dyDescent="0.15">
      <c r="B3353" s="168"/>
      <c r="C3353" s="169" t="s">
        <v>4</v>
      </c>
      <c r="D3353" s="169" t="s">
        <v>6459</v>
      </c>
      <c r="E3353" s="3">
        <v>2</v>
      </c>
      <c r="F3353" s="3">
        <f>E3353/4</f>
        <v>0.5</v>
      </c>
      <c r="G3353" s="4">
        <v>43430</v>
      </c>
    </row>
    <row r="3354" spans="2:18" x14ac:dyDescent="0.15">
      <c r="B3354" s="168"/>
      <c r="C3354" s="169"/>
      <c r="D3354" s="169"/>
      <c r="G3354" s="4"/>
    </row>
    <row r="3355" spans="2:18" s="12" customFormat="1" x14ac:dyDescent="0.15">
      <c r="B3355" s="12" t="s">
        <v>88</v>
      </c>
      <c r="C3355" s="13" t="s">
        <v>970</v>
      </c>
      <c r="D3355" s="13" t="s">
        <v>969</v>
      </c>
      <c r="E3355" s="15"/>
      <c r="F3355" s="15">
        <f>SUM(F3356:F3359)</f>
        <v>1.9464285714285714</v>
      </c>
      <c r="G3355" s="14">
        <f>G3359</f>
        <v>43522</v>
      </c>
      <c r="M3355" s="13"/>
      <c r="N3355" s="13"/>
      <c r="O3355" s="13"/>
      <c r="P3355" s="13"/>
      <c r="Q3355" s="13"/>
      <c r="R3355" s="13"/>
    </row>
    <row r="3356" spans="2:18" x14ac:dyDescent="0.15">
      <c r="C3356" s="2" t="s">
        <v>4</v>
      </c>
      <c r="D3356" s="2" t="s">
        <v>87</v>
      </c>
      <c r="E3356" s="3">
        <v>5.3</v>
      </c>
      <c r="F3356" s="3">
        <f>4/7</f>
        <v>0.5714285714285714</v>
      </c>
      <c r="G3356" s="4">
        <v>43398</v>
      </c>
    </row>
    <row r="3357" spans="2:18" x14ac:dyDescent="0.15">
      <c r="C3357" s="2" t="s">
        <v>4</v>
      </c>
      <c r="D3357" s="2" t="s">
        <v>87</v>
      </c>
      <c r="E3357" s="3">
        <v>4</v>
      </c>
      <c r="F3357" s="3">
        <f>2.5/4</f>
        <v>0.625</v>
      </c>
      <c r="G3357" s="4">
        <v>43122</v>
      </c>
    </row>
    <row r="3358" spans="2:18" x14ac:dyDescent="0.15">
      <c r="C3358" s="149" t="s">
        <v>4</v>
      </c>
      <c r="D3358" s="149" t="s">
        <v>6362</v>
      </c>
      <c r="E3358" s="3">
        <v>5</v>
      </c>
      <c r="F3358" s="3">
        <v>0.5</v>
      </c>
      <c r="G3358" s="4">
        <v>43335</v>
      </c>
    </row>
    <row r="3359" spans="2:18" x14ac:dyDescent="0.15">
      <c r="C3359" s="193" t="s">
        <v>4</v>
      </c>
      <c r="D3359" s="193" t="s">
        <v>2035</v>
      </c>
      <c r="E3359" s="3">
        <v>2</v>
      </c>
      <c r="F3359" s="3">
        <f>1.5/6</f>
        <v>0.25</v>
      </c>
      <c r="G3359" s="4">
        <v>43522</v>
      </c>
    </row>
    <row r="3360" spans="2:18" x14ac:dyDescent="0.15">
      <c r="G3360" s="4"/>
    </row>
    <row r="3361" spans="2:18" s="12" customFormat="1" x14ac:dyDescent="0.15">
      <c r="B3361" s="12" t="s">
        <v>756</v>
      </c>
      <c r="C3361" s="13" t="s">
        <v>970</v>
      </c>
      <c r="D3361" s="13" t="s">
        <v>969</v>
      </c>
      <c r="E3361" s="15"/>
      <c r="F3361" s="15">
        <f>SUM(F3362:F3363)</f>
        <v>1</v>
      </c>
      <c r="G3361" s="14">
        <f>G3363</f>
        <v>44434</v>
      </c>
    </row>
    <row r="3362" spans="2:18" x14ac:dyDescent="0.15">
      <c r="C3362" s="2" t="s">
        <v>4</v>
      </c>
      <c r="D3362" s="2" t="s">
        <v>673</v>
      </c>
      <c r="E3362" s="3">
        <v>3</v>
      </c>
      <c r="F3362" s="3">
        <v>0.5</v>
      </c>
      <c r="G3362" s="4">
        <v>43993</v>
      </c>
      <c r="M3362" s="1"/>
      <c r="N3362" s="1"/>
      <c r="O3362" s="1"/>
      <c r="P3362" s="1"/>
      <c r="Q3362" s="1"/>
      <c r="R3362" s="1"/>
    </row>
    <row r="3363" spans="2:18" x14ac:dyDescent="0.15">
      <c r="C3363" s="2" t="s">
        <v>4</v>
      </c>
      <c r="D3363" s="2" t="s">
        <v>122</v>
      </c>
      <c r="E3363" s="3">
        <v>4.5</v>
      </c>
      <c r="F3363" s="3">
        <v>0.5</v>
      </c>
      <c r="G3363" s="4">
        <v>44434</v>
      </c>
      <c r="M3363" s="1"/>
      <c r="N3363" s="1"/>
      <c r="O3363" s="1"/>
      <c r="P3363" s="1"/>
      <c r="Q3363" s="1"/>
      <c r="R3363" s="1"/>
    </row>
    <row r="3364" spans="2:18" x14ac:dyDescent="0.15">
      <c r="G3364" s="4"/>
      <c r="M3364" s="1"/>
      <c r="N3364" s="1"/>
      <c r="O3364" s="1"/>
      <c r="P3364" s="1"/>
      <c r="Q3364" s="1"/>
      <c r="R3364" s="1"/>
    </row>
    <row r="3365" spans="2:18" s="12" customFormat="1" x14ac:dyDescent="0.15">
      <c r="B3365" s="12" t="s">
        <v>155</v>
      </c>
      <c r="C3365" s="13" t="s">
        <v>970</v>
      </c>
      <c r="D3365" s="13" t="s">
        <v>969</v>
      </c>
      <c r="E3365" s="15"/>
      <c r="F3365" s="15">
        <f>SUM(F3366:F3368)</f>
        <v>1.2000000000000002</v>
      </c>
      <c r="G3365" s="14">
        <f>G3367</f>
        <v>42370</v>
      </c>
      <c r="M3365" s="13"/>
      <c r="N3365" s="13"/>
      <c r="O3365" s="13"/>
      <c r="P3365" s="13"/>
      <c r="Q3365" s="13"/>
      <c r="R3365" s="13"/>
    </row>
    <row r="3366" spans="2:18" x14ac:dyDescent="0.15">
      <c r="C3366" s="2" t="s">
        <v>4</v>
      </c>
      <c r="D3366" s="2" t="s">
        <v>154</v>
      </c>
      <c r="E3366" s="3">
        <v>4</v>
      </c>
      <c r="F3366" s="3">
        <v>1</v>
      </c>
      <c r="G3366" s="4">
        <v>42023</v>
      </c>
    </row>
    <row r="3367" spans="2:18" x14ac:dyDescent="0.15">
      <c r="C3367" s="2" t="s">
        <v>4</v>
      </c>
      <c r="D3367" s="2" t="s">
        <v>15</v>
      </c>
      <c r="E3367" s="3">
        <v>0.1</v>
      </c>
      <c r="F3367" s="3">
        <v>0.1</v>
      </c>
      <c r="G3367" s="4">
        <v>42370</v>
      </c>
    </row>
    <row r="3368" spans="2:18" x14ac:dyDescent="0.15">
      <c r="C3368" s="2" t="s">
        <v>4</v>
      </c>
      <c r="D3368" s="2" t="s">
        <v>15</v>
      </c>
      <c r="E3368" s="3">
        <v>0.1</v>
      </c>
      <c r="F3368" s="3">
        <v>0.1</v>
      </c>
      <c r="G3368" s="4">
        <v>41549</v>
      </c>
    </row>
    <row r="3369" spans="2:18" x14ac:dyDescent="0.15">
      <c r="G3369" s="4"/>
    </row>
    <row r="3370" spans="2:18" s="12" customFormat="1" x14ac:dyDescent="0.15">
      <c r="B3370" s="12" t="s">
        <v>971</v>
      </c>
      <c r="C3370" s="13" t="s">
        <v>970</v>
      </c>
      <c r="D3370" s="13" t="s">
        <v>969</v>
      </c>
      <c r="E3370" s="15"/>
      <c r="F3370" s="15">
        <f>SUM(F3371:F3372)</f>
        <v>1.4</v>
      </c>
      <c r="G3370" s="14">
        <f>G3371</f>
        <v>44994</v>
      </c>
      <c r="M3370" s="13"/>
      <c r="N3370" s="13"/>
      <c r="O3370" s="13"/>
      <c r="P3370" s="13"/>
      <c r="Q3370" s="13"/>
      <c r="R3370" s="13"/>
    </row>
    <row r="3371" spans="2:18" x14ac:dyDescent="0.15">
      <c r="C3371" s="2" t="s">
        <v>4</v>
      </c>
      <c r="D3371" s="2" t="s">
        <v>746</v>
      </c>
      <c r="E3371" s="3">
        <v>2.8</v>
      </c>
      <c r="F3371" s="3">
        <v>1</v>
      </c>
      <c r="G3371" s="4">
        <v>44994</v>
      </c>
    </row>
    <row r="3372" spans="2:18" x14ac:dyDescent="0.15">
      <c r="C3372" s="2" t="s">
        <v>4</v>
      </c>
      <c r="D3372" s="2" t="s">
        <v>746</v>
      </c>
      <c r="E3372" s="3">
        <v>2.6</v>
      </c>
      <c r="F3372" s="3">
        <f>1.6/4</f>
        <v>0.4</v>
      </c>
      <c r="G3372" s="4">
        <v>44147</v>
      </c>
    </row>
    <row r="3374" spans="2:18" s="12" customFormat="1" x14ac:dyDescent="0.15">
      <c r="B3374" s="12" t="s">
        <v>388</v>
      </c>
      <c r="C3374" s="13" t="s">
        <v>970</v>
      </c>
      <c r="D3374" s="13" t="s">
        <v>969</v>
      </c>
      <c r="E3374" s="15"/>
      <c r="F3374" s="15">
        <f>SUM(F3375:F3376)</f>
        <v>1.355</v>
      </c>
      <c r="G3374" s="14">
        <f>G3375</f>
        <v>42156</v>
      </c>
    </row>
    <row r="3375" spans="2:18" x14ac:dyDescent="0.15">
      <c r="C3375" s="2" t="s">
        <v>5</v>
      </c>
      <c r="D3375" s="2" t="s">
        <v>386</v>
      </c>
      <c r="E3375" s="3">
        <v>5.5</v>
      </c>
      <c r="F3375" s="3">
        <v>1</v>
      </c>
      <c r="G3375" s="4">
        <v>42156</v>
      </c>
      <c r="M3375" s="1"/>
      <c r="N3375" s="1"/>
      <c r="O3375" s="1"/>
      <c r="P3375" s="1"/>
      <c r="Q3375" s="1"/>
      <c r="R3375" s="1"/>
    </row>
    <row r="3376" spans="2:18" x14ac:dyDescent="0.15">
      <c r="C3376" s="2" t="s">
        <v>4</v>
      </c>
      <c r="D3376" s="2" t="s">
        <v>386</v>
      </c>
      <c r="E3376" s="3">
        <v>0.71</v>
      </c>
      <c r="F3376" s="3">
        <f>+E3376/2</f>
        <v>0.35499999999999998</v>
      </c>
      <c r="G3376" s="4">
        <v>41730</v>
      </c>
      <c r="M3376" s="1"/>
      <c r="N3376" s="1"/>
      <c r="O3376" s="1"/>
      <c r="P3376" s="1"/>
      <c r="Q3376" s="1"/>
      <c r="R3376" s="1"/>
    </row>
    <row r="3377" spans="2:18" x14ac:dyDescent="0.15">
      <c r="G3377" s="4"/>
      <c r="M3377" s="1"/>
      <c r="N3377" s="1"/>
      <c r="O3377" s="1"/>
      <c r="P3377" s="1"/>
      <c r="Q3377" s="1"/>
      <c r="R3377" s="1"/>
    </row>
    <row r="3378" spans="2:18" s="12" customFormat="1" x14ac:dyDescent="0.15">
      <c r="B3378" s="12" t="s">
        <v>622</v>
      </c>
      <c r="C3378" s="13" t="s">
        <v>970</v>
      </c>
      <c r="D3378" s="13" t="s">
        <v>969</v>
      </c>
      <c r="E3378" s="15"/>
      <c r="F3378" s="15">
        <f>SUM(F3379:F3381)</f>
        <v>1.25</v>
      </c>
      <c r="G3378" s="14">
        <f>G3379</f>
        <v>45021</v>
      </c>
    </row>
    <row r="3379" spans="2:18" x14ac:dyDescent="0.15">
      <c r="C3379" s="2" t="s">
        <v>278</v>
      </c>
      <c r="D3379" s="2" t="s">
        <v>621</v>
      </c>
      <c r="E3379" s="3">
        <v>0.5</v>
      </c>
      <c r="F3379" s="3">
        <v>0.5</v>
      </c>
      <c r="G3379" s="4">
        <v>45021</v>
      </c>
      <c r="M3379" s="1"/>
      <c r="N3379" s="1"/>
      <c r="O3379" s="1"/>
      <c r="P3379" s="1"/>
      <c r="Q3379" s="1"/>
      <c r="R3379" s="1"/>
    </row>
    <row r="3380" spans="2:18" x14ac:dyDescent="0.15">
      <c r="C3380" s="2" t="s">
        <v>278</v>
      </c>
      <c r="D3380" s="2" t="s">
        <v>341</v>
      </c>
      <c r="E3380" s="3">
        <v>0.75</v>
      </c>
      <c r="F3380" s="3">
        <f>E3380/3</f>
        <v>0.25</v>
      </c>
      <c r="G3380" s="4">
        <v>44043</v>
      </c>
      <c r="M3380" s="1"/>
      <c r="N3380" s="1"/>
      <c r="O3380" s="1"/>
      <c r="P3380" s="1"/>
      <c r="Q3380" s="1"/>
      <c r="R3380" s="1"/>
    </row>
    <row r="3381" spans="2:18" x14ac:dyDescent="0.15">
      <c r="C3381" s="169" t="s">
        <v>4</v>
      </c>
      <c r="D3381" s="169" t="s">
        <v>2051</v>
      </c>
      <c r="E3381" s="3">
        <v>3</v>
      </c>
      <c r="F3381" s="3">
        <f>2/4</f>
        <v>0.5</v>
      </c>
      <c r="G3381" s="4">
        <v>42628</v>
      </c>
      <c r="M3381" s="1"/>
      <c r="N3381" s="1"/>
      <c r="O3381" s="1"/>
      <c r="P3381" s="1"/>
      <c r="Q3381" s="1"/>
      <c r="R3381" s="1"/>
    </row>
    <row r="3382" spans="2:18" x14ac:dyDescent="0.15">
      <c r="G3382" s="4"/>
      <c r="M3382" s="1"/>
      <c r="N3382" s="1"/>
      <c r="O3382" s="1"/>
      <c r="P3382" s="1"/>
      <c r="Q3382" s="1"/>
      <c r="R3382" s="1"/>
    </row>
    <row r="3383" spans="2:18" s="12" customFormat="1" x14ac:dyDescent="0.15">
      <c r="B3383" s="12" t="s">
        <v>701</v>
      </c>
      <c r="C3383" s="13" t="s">
        <v>970</v>
      </c>
      <c r="D3383" s="13" t="s">
        <v>969</v>
      </c>
      <c r="E3383" s="15"/>
      <c r="F3383" s="15">
        <f>SUM(F3384:F3385)</f>
        <v>0.68333333333333335</v>
      </c>
      <c r="G3383" s="14">
        <f>G3384</f>
        <v>44469</v>
      </c>
      <c r="M3383" s="13"/>
      <c r="N3383" s="13"/>
      <c r="O3383" s="13"/>
      <c r="P3383" s="13"/>
      <c r="Q3383" s="13"/>
      <c r="R3383" s="13"/>
    </row>
    <row r="3384" spans="2:18" x14ac:dyDescent="0.15">
      <c r="C3384" s="2" t="s">
        <v>4</v>
      </c>
      <c r="D3384" s="2" t="s">
        <v>700</v>
      </c>
      <c r="E3384" s="3">
        <v>2.5</v>
      </c>
      <c r="F3384" s="3">
        <f>2/6</f>
        <v>0.33333333333333331</v>
      </c>
      <c r="G3384" s="4">
        <v>44469</v>
      </c>
    </row>
    <row r="3385" spans="2:18" x14ac:dyDescent="0.15">
      <c r="C3385" s="2" t="s">
        <v>4</v>
      </c>
      <c r="D3385" s="2" t="s">
        <v>347</v>
      </c>
      <c r="E3385" s="3">
        <v>3.5</v>
      </c>
      <c r="F3385" s="3">
        <f>E3385/10</f>
        <v>0.35</v>
      </c>
      <c r="G3385" s="4">
        <v>43046</v>
      </c>
      <c r="L3385" s="1">
        <v>0</v>
      </c>
    </row>
    <row r="3386" spans="2:18" x14ac:dyDescent="0.15">
      <c r="C3386" s="149" t="s">
        <v>4</v>
      </c>
      <c r="D3386" s="149" t="s">
        <v>6362</v>
      </c>
      <c r="E3386" s="3">
        <v>5</v>
      </c>
      <c r="F3386" s="3">
        <v>0.5</v>
      </c>
      <c r="G3386" s="4">
        <v>43335</v>
      </c>
    </row>
    <row r="3387" spans="2:18" x14ac:dyDescent="0.15">
      <c r="G3387" s="4"/>
    </row>
    <row r="3388" spans="2:18" s="12" customFormat="1" x14ac:dyDescent="0.15">
      <c r="B3388" s="12" t="s">
        <v>515</v>
      </c>
      <c r="C3388" s="13" t="s">
        <v>970</v>
      </c>
      <c r="D3388" s="13" t="s">
        <v>969</v>
      </c>
      <c r="E3388" s="15"/>
      <c r="F3388" s="15">
        <f>SUM(F3389:F3390)</f>
        <v>0.8</v>
      </c>
      <c r="G3388" s="14">
        <f>G3389</f>
        <v>45037</v>
      </c>
    </row>
    <row r="3389" spans="2:18" x14ac:dyDescent="0.15">
      <c r="C3389" s="2" t="s">
        <v>4</v>
      </c>
      <c r="D3389" s="2" t="s">
        <v>510</v>
      </c>
      <c r="E3389" s="3">
        <v>3</v>
      </c>
      <c r="F3389" s="3">
        <v>0.5</v>
      </c>
      <c r="G3389" s="4">
        <v>45037</v>
      </c>
      <c r="M3389" s="1"/>
      <c r="N3389" s="1"/>
      <c r="O3389" s="1"/>
      <c r="P3389" s="1"/>
      <c r="Q3389" s="1"/>
      <c r="R3389" s="1"/>
    </row>
    <row r="3390" spans="2:18" x14ac:dyDescent="0.15">
      <c r="C3390" s="2" t="s">
        <v>278</v>
      </c>
      <c r="D3390" s="2" t="s">
        <v>510</v>
      </c>
      <c r="E3390" s="3">
        <v>1.2</v>
      </c>
      <c r="F3390" s="3">
        <v>0.3</v>
      </c>
      <c r="G3390" s="4">
        <v>44545</v>
      </c>
      <c r="M3390" s="1"/>
      <c r="N3390" s="1"/>
      <c r="O3390" s="1"/>
      <c r="P3390" s="1"/>
      <c r="Q3390" s="1"/>
      <c r="R3390" s="1"/>
    </row>
    <row r="3391" spans="2:18" x14ac:dyDescent="0.15">
      <c r="G3391" s="4"/>
      <c r="M3391" s="1"/>
      <c r="N3391" s="1"/>
      <c r="O3391" s="1"/>
      <c r="P3391" s="1"/>
      <c r="Q3391" s="1"/>
      <c r="R3391" s="1"/>
    </row>
    <row r="3392" spans="2:18" s="12" customFormat="1" x14ac:dyDescent="0.15">
      <c r="B3392" s="12" t="s">
        <v>382</v>
      </c>
      <c r="C3392" s="13" t="s">
        <v>970</v>
      </c>
      <c r="D3392" s="13" t="s">
        <v>969</v>
      </c>
      <c r="E3392" s="15"/>
      <c r="F3392" s="15">
        <f>SUM(F3393:F3394)</f>
        <v>1.1000000000000001</v>
      </c>
      <c r="G3392" s="14">
        <f>G3394</f>
        <v>44054</v>
      </c>
    </row>
    <row r="3393" spans="2:18" x14ac:dyDescent="0.15">
      <c r="C3393" s="2" t="s">
        <v>4</v>
      </c>
      <c r="D3393" s="2" t="s">
        <v>381</v>
      </c>
      <c r="E3393" s="3">
        <v>8.5</v>
      </c>
      <c r="F3393" s="3">
        <v>1</v>
      </c>
      <c r="G3393" s="4">
        <v>43796</v>
      </c>
      <c r="M3393" s="1"/>
      <c r="N3393" s="1"/>
      <c r="O3393" s="1"/>
      <c r="P3393" s="1"/>
      <c r="Q3393" s="1"/>
      <c r="R3393" s="1"/>
    </row>
    <row r="3394" spans="2:18" x14ac:dyDescent="0.15">
      <c r="C3394" s="2" t="s">
        <v>278</v>
      </c>
      <c r="D3394" s="2" t="s">
        <v>277</v>
      </c>
      <c r="E3394" s="3">
        <v>0.2</v>
      </c>
      <c r="F3394" s="3">
        <v>0.1</v>
      </c>
      <c r="G3394" s="4">
        <v>44054</v>
      </c>
      <c r="M3394" s="1"/>
      <c r="N3394" s="1"/>
      <c r="O3394" s="1"/>
      <c r="P3394" s="1"/>
      <c r="Q3394" s="1"/>
      <c r="R3394" s="1"/>
    </row>
    <row r="3395" spans="2:18" x14ac:dyDescent="0.15">
      <c r="G3395" s="4"/>
      <c r="M3395" s="1"/>
      <c r="N3395" s="1"/>
      <c r="O3395" s="1"/>
      <c r="P3395" s="1"/>
      <c r="Q3395" s="1"/>
      <c r="R3395" s="1"/>
    </row>
    <row r="3396" spans="2:18" s="12" customFormat="1" x14ac:dyDescent="0.15">
      <c r="B3396" s="12" t="s">
        <v>6731</v>
      </c>
      <c r="C3396" s="13" t="s">
        <v>970</v>
      </c>
      <c r="D3396" s="13" t="s">
        <v>969</v>
      </c>
      <c r="E3396" s="15"/>
      <c r="F3396" s="15">
        <f>SUM(F3397:F3398)</f>
        <v>1.25</v>
      </c>
      <c r="G3396" s="14">
        <f>G3397</f>
        <v>44229</v>
      </c>
      <c r="M3396" s="13"/>
      <c r="N3396" s="13"/>
      <c r="O3396" s="13"/>
      <c r="P3396" s="13"/>
      <c r="Q3396" s="13"/>
      <c r="R3396" s="13"/>
    </row>
    <row r="3397" spans="2:18" x14ac:dyDescent="0.15">
      <c r="B3397" s="192"/>
      <c r="C3397" s="193" t="s">
        <v>5</v>
      </c>
      <c r="D3397" s="190" t="s">
        <v>2035</v>
      </c>
      <c r="E3397" s="3">
        <v>9.3000000000000007</v>
      </c>
      <c r="F3397" s="194">
        <v>1</v>
      </c>
      <c r="G3397" s="4">
        <v>44229</v>
      </c>
    </row>
    <row r="3398" spans="2:18" x14ac:dyDescent="0.15">
      <c r="B3398" s="192"/>
      <c r="C3398" s="193" t="s">
        <v>4</v>
      </c>
      <c r="D3398" s="190" t="s">
        <v>2035</v>
      </c>
      <c r="E3398" s="3">
        <v>2</v>
      </c>
      <c r="F3398" s="3">
        <f>1.5/6</f>
        <v>0.25</v>
      </c>
      <c r="G3398" s="4">
        <v>43522</v>
      </c>
    </row>
    <row r="3399" spans="2:18" x14ac:dyDescent="0.15">
      <c r="B3399" s="192"/>
      <c r="C3399" s="193"/>
      <c r="D3399" s="190"/>
      <c r="G3399" s="4"/>
    </row>
    <row r="3400" spans="2:18" s="12" customFormat="1" x14ac:dyDescent="0.15">
      <c r="B3400" s="12" t="s">
        <v>750</v>
      </c>
      <c r="C3400" s="13" t="s">
        <v>970</v>
      </c>
      <c r="D3400" s="13" t="s">
        <v>969</v>
      </c>
      <c r="E3400" s="15"/>
      <c r="F3400" s="15">
        <f>SUM(F3401:F3402)</f>
        <v>1</v>
      </c>
      <c r="G3400" s="14">
        <f>G3401</f>
        <v>43580</v>
      </c>
    </row>
    <row r="3401" spans="2:18" x14ac:dyDescent="0.15">
      <c r="C3401" s="2" t="s">
        <v>4</v>
      </c>
      <c r="D3401" s="2" t="s">
        <v>404</v>
      </c>
      <c r="E3401" s="3">
        <v>3.1</v>
      </c>
      <c r="F3401" s="3">
        <v>0.5</v>
      </c>
      <c r="G3401" s="4">
        <v>43580</v>
      </c>
      <c r="M3401" s="1"/>
      <c r="N3401" s="1"/>
      <c r="O3401" s="1"/>
      <c r="P3401" s="1"/>
      <c r="Q3401" s="1"/>
      <c r="R3401" s="1"/>
    </row>
    <row r="3402" spans="2:18" x14ac:dyDescent="0.15">
      <c r="C3402" s="2" t="s">
        <v>4</v>
      </c>
      <c r="D3402" s="2" t="s">
        <v>2136</v>
      </c>
      <c r="E3402" s="3">
        <v>3</v>
      </c>
      <c r="F3402" s="3">
        <f>0.5</f>
        <v>0.5</v>
      </c>
      <c r="G3402" s="4">
        <v>42979</v>
      </c>
      <c r="M3402" s="1"/>
      <c r="N3402" s="1"/>
      <c r="O3402" s="1"/>
      <c r="P3402" s="1"/>
      <c r="Q3402" s="1"/>
      <c r="R3402" s="1"/>
    </row>
    <row r="3403" spans="2:18" x14ac:dyDescent="0.15">
      <c r="G3403" s="4"/>
      <c r="M3403" s="1"/>
      <c r="N3403" s="1"/>
      <c r="O3403" s="1"/>
      <c r="P3403" s="1"/>
      <c r="Q3403" s="1"/>
      <c r="R3403" s="1"/>
    </row>
    <row r="3404" spans="2:18" s="12" customFormat="1" x14ac:dyDescent="0.15">
      <c r="B3404" s="12" t="s">
        <v>552</v>
      </c>
      <c r="C3404" s="13" t="s">
        <v>970</v>
      </c>
      <c r="D3404" s="13" t="s">
        <v>969</v>
      </c>
      <c r="E3404" s="15"/>
      <c r="F3404" s="15">
        <f>SUM(F3405:F3406)</f>
        <v>0.69499999999999995</v>
      </c>
      <c r="G3404" s="14">
        <f>G3405</f>
        <v>43262</v>
      </c>
    </row>
    <row r="3405" spans="2:18" x14ac:dyDescent="0.15">
      <c r="C3405" s="2" t="s">
        <v>278</v>
      </c>
      <c r="D3405" s="2" t="s">
        <v>549</v>
      </c>
      <c r="E3405" s="3">
        <v>0.5</v>
      </c>
      <c r="F3405" s="3">
        <v>0.1</v>
      </c>
      <c r="G3405" s="4">
        <v>43262</v>
      </c>
      <c r="M3405" s="1"/>
      <c r="N3405" s="1"/>
      <c r="O3405" s="1"/>
      <c r="P3405" s="1"/>
      <c r="Q3405" s="1"/>
      <c r="R3405" s="1"/>
    </row>
    <row r="3406" spans="2:18" x14ac:dyDescent="0.15">
      <c r="C3406" s="2" t="s">
        <v>551</v>
      </c>
      <c r="D3406" s="2" t="s">
        <v>3</v>
      </c>
      <c r="E3406" s="3">
        <v>0.59499999999999997</v>
      </c>
      <c r="F3406" s="3">
        <v>0.59499999999999997</v>
      </c>
      <c r="G3406" s="4">
        <v>42278</v>
      </c>
      <c r="M3406" s="1"/>
      <c r="N3406" s="1"/>
      <c r="O3406" s="1"/>
      <c r="P3406" s="1"/>
      <c r="Q3406" s="1"/>
      <c r="R3406" s="1"/>
    </row>
    <row r="3407" spans="2:18" x14ac:dyDescent="0.15">
      <c r="G3407" s="4"/>
      <c r="M3407" s="1"/>
      <c r="N3407" s="1"/>
      <c r="O3407" s="1"/>
      <c r="P3407" s="1"/>
      <c r="Q3407" s="1"/>
      <c r="R3407" s="1"/>
    </row>
    <row r="3408" spans="2:18" x14ac:dyDescent="0.15">
      <c r="B3408" s="1" t="s">
        <v>968</v>
      </c>
      <c r="C3408" s="2" t="s">
        <v>7</v>
      </c>
      <c r="D3408" s="2" t="s">
        <v>965</v>
      </c>
      <c r="E3408" s="3">
        <v>580</v>
      </c>
      <c r="F3408" s="3">
        <v>580</v>
      </c>
      <c r="G3408" s="4">
        <v>44680</v>
      </c>
      <c r="I3408" s="258" t="s">
        <v>7483</v>
      </c>
    </row>
    <row r="3409" spans="2:11" x14ac:dyDescent="0.15">
      <c r="B3409" s="1" t="s">
        <v>243</v>
      </c>
      <c r="C3409" s="2" t="s">
        <v>8</v>
      </c>
      <c r="D3409" s="2" t="s">
        <v>232</v>
      </c>
      <c r="E3409" s="3">
        <v>750</v>
      </c>
      <c r="F3409" s="3">
        <v>300</v>
      </c>
      <c r="G3409" s="4">
        <v>43593</v>
      </c>
    </row>
    <row r="3410" spans="2:11" x14ac:dyDescent="0.15">
      <c r="B3410" s="192" t="s">
        <v>6869</v>
      </c>
      <c r="C3410" s="2" t="s">
        <v>18</v>
      </c>
      <c r="D3410" s="2" t="s">
        <v>197</v>
      </c>
      <c r="E3410" s="3">
        <v>300</v>
      </c>
      <c r="F3410" s="3">
        <v>300</v>
      </c>
      <c r="G3410" s="4">
        <v>44462</v>
      </c>
      <c r="I3410" s="5"/>
      <c r="J3410" s="5"/>
    </row>
    <row r="3411" spans="2:11" x14ac:dyDescent="0.15">
      <c r="B3411" s="1" t="s">
        <v>31</v>
      </c>
      <c r="C3411" s="2" t="s">
        <v>5</v>
      </c>
      <c r="D3411" s="2" t="s">
        <v>29</v>
      </c>
      <c r="E3411" s="3">
        <f>1600/7</f>
        <v>228.57142857142858</v>
      </c>
      <c r="F3411" s="3">
        <v>160</v>
      </c>
      <c r="G3411" s="4">
        <v>45078</v>
      </c>
      <c r="I3411" s="5">
        <v>1000</v>
      </c>
      <c r="J3411" s="5">
        <v>1000</v>
      </c>
    </row>
    <row r="3412" spans="2:11" x14ac:dyDescent="0.15">
      <c r="B3412" s="1" t="s">
        <v>79</v>
      </c>
      <c r="C3412" s="2" t="s">
        <v>53</v>
      </c>
      <c r="D3412" s="2" t="s">
        <v>74</v>
      </c>
      <c r="E3412" s="3">
        <v>250</v>
      </c>
      <c r="F3412" s="3">
        <v>150</v>
      </c>
      <c r="G3412" s="4">
        <v>44510</v>
      </c>
      <c r="I3412" s="5">
        <v>3800</v>
      </c>
      <c r="J3412" s="5">
        <v>3800</v>
      </c>
      <c r="K3412" s="5">
        <f>(E3412/(I3412+E3412))*J3412*(F3412/E3412)</f>
        <v>140.74074074074073</v>
      </c>
    </row>
    <row r="3413" spans="2:11" x14ac:dyDescent="0.15">
      <c r="B3413" s="1" t="s">
        <v>244</v>
      </c>
      <c r="C3413" s="2" t="s">
        <v>8</v>
      </c>
      <c r="D3413" s="2" t="s">
        <v>232</v>
      </c>
      <c r="E3413" s="3">
        <v>750</v>
      </c>
      <c r="F3413" s="3">
        <f>450/4</f>
        <v>112.5</v>
      </c>
      <c r="G3413" s="4">
        <v>43593</v>
      </c>
      <c r="I3413" s="5"/>
      <c r="J3413" s="5"/>
    </row>
    <row r="3414" spans="2:11" x14ac:dyDescent="0.15">
      <c r="B3414" s="99" t="s">
        <v>5693</v>
      </c>
      <c r="C3414" s="100" t="s">
        <v>5</v>
      </c>
      <c r="D3414" s="100" t="s">
        <v>2088</v>
      </c>
      <c r="E3414" s="3">
        <v>110</v>
      </c>
      <c r="F3414" s="3">
        <v>110</v>
      </c>
      <c r="G3414" s="4">
        <v>44509</v>
      </c>
      <c r="I3414" s="5"/>
      <c r="J3414" s="5"/>
    </row>
    <row r="3415" spans="2:11" x14ac:dyDescent="0.15">
      <c r="B3415" s="1" t="s">
        <v>252</v>
      </c>
      <c r="C3415" s="2" t="s">
        <v>18</v>
      </c>
      <c r="D3415" s="2" t="s">
        <v>245</v>
      </c>
      <c r="E3415" s="3">
        <v>820</v>
      </c>
      <c r="F3415" s="3">
        <f>600/6</f>
        <v>100</v>
      </c>
      <c r="G3415" s="4">
        <v>43223</v>
      </c>
      <c r="I3415" s="5"/>
      <c r="J3415" s="5"/>
    </row>
    <row r="3416" spans="2:11" x14ac:dyDescent="0.15">
      <c r="B3416" s="1" t="s">
        <v>251</v>
      </c>
      <c r="C3416" s="2" t="s">
        <v>18</v>
      </c>
      <c r="D3416" s="2" t="s">
        <v>245</v>
      </c>
      <c r="E3416" s="3">
        <v>820</v>
      </c>
      <c r="F3416" s="3">
        <f>600/6</f>
        <v>100</v>
      </c>
      <c r="G3416" s="4">
        <v>43223</v>
      </c>
      <c r="I3416" s="5"/>
      <c r="J3416" s="5"/>
    </row>
    <row r="3417" spans="2:11" x14ac:dyDescent="0.15">
      <c r="B3417" s="1" t="s">
        <v>250</v>
      </c>
      <c r="C3417" s="2" t="s">
        <v>18</v>
      </c>
      <c r="D3417" s="2" t="s">
        <v>245</v>
      </c>
      <c r="E3417" s="3">
        <v>820</v>
      </c>
      <c r="F3417" s="3">
        <f>600/6</f>
        <v>100</v>
      </c>
      <c r="G3417" s="4">
        <v>43223</v>
      </c>
      <c r="I3417" s="5"/>
      <c r="J3417" s="5"/>
    </row>
    <row r="3418" spans="2:11" x14ac:dyDescent="0.15">
      <c r="B3418" s="1" t="s">
        <v>230</v>
      </c>
      <c r="C3418" s="2" t="s">
        <v>8</v>
      </c>
      <c r="D3418" s="2" t="s">
        <v>211</v>
      </c>
      <c r="E3418" s="3">
        <v>700</v>
      </c>
      <c r="F3418" s="3">
        <v>100</v>
      </c>
      <c r="G3418" s="4">
        <v>44218</v>
      </c>
      <c r="I3418" s="5"/>
      <c r="J3418" s="5"/>
    </row>
    <row r="3419" spans="2:11" x14ac:dyDescent="0.15">
      <c r="B3419" s="1" t="s">
        <v>229</v>
      </c>
      <c r="C3419" s="2" t="s">
        <v>8</v>
      </c>
      <c r="D3419" s="2" t="s">
        <v>211</v>
      </c>
      <c r="E3419" s="3">
        <v>700</v>
      </c>
      <c r="F3419" s="3">
        <v>100</v>
      </c>
      <c r="G3419" s="4">
        <v>44218</v>
      </c>
      <c r="I3419" s="5"/>
      <c r="J3419" s="5"/>
    </row>
    <row r="3420" spans="2:11" x14ac:dyDescent="0.15">
      <c r="B3420" s="1" t="s">
        <v>63</v>
      </c>
      <c r="C3420" s="2" t="s">
        <v>8</v>
      </c>
      <c r="D3420" s="2" t="s">
        <v>57</v>
      </c>
      <c r="E3420" s="3">
        <v>250</v>
      </c>
      <c r="F3420" s="3">
        <v>100</v>
      </c>
      <c r="G3420" s="4">
        <v>45069</v>
      </c>
      <c r="I3420" s="5"/>
      <c r="J3420" s="5"/>
    </row>
    <row r="3421" spans="2:11" x14ac:dyDescent="0.15">
      <c r="B3421" s="1" t="s">
        <v>188</v>
      </c>
      <c r="C3421" s="2" t="s">
        <v>9</v>
      </c>
      <c r="D3421" s="2" t="s">
        <v>176</v>
      </c>
      <c r="E3421" s="3">
        <v>392</v>
      </c>
      <c r="F3421" s="3">
        <f>E3421/5</f>
        <v>78.400000000000006</v>
      </c>
      <c r="G3421" s="4">
        <v>43280</v>
      </c>
      <c r="I3421" s="5">
        <v>1200</v>
      </c>
      <c r="J3421" s="5"/>
    </row>
    <row r="3422" spans="2:11" x14ac:dyDescent="0.15">
      <c r="B3422" s="1" t="s">
        <v>187</v>
      </c>
      <c r="C3422" s="2" t="s">
        <v>9</v>
      </c>
      <c r="D3422" s="2" t="s">
        <v>176</v>
      </c>
      <c r="E3422" s="3">
        <v>392</v>
      </c>
      <c r="F3422" s="3">
        <f>E3422/5</f>
        <v>78.400000000000006</v>
      </c>
      <c r="G3422" s="4">
        <v>43280</v>
      </c>
      <c r="I3422" s="5">
        <v>1200</v>
      </c>
      <c r="J3422" s="5"/>
    </row>
    <row r="3423" spans="2:11" x14ac:dyDescent="0.15">
      <c r="B3423" s="1" t="s">
        <v>186</v>
      </c>
      <c r="C3423" s="2" t="s">
        <v>9</v>
      </c>
      <c r="D3423" s="2" t="s">
        <v>176</v>
      </c>
      <c r="E3423" s="3">
        <v>392</v>
      </c>
      <c r="F3423" s="3">
        <f>E3423/5</f>
        <v>78.400000000000006</v>
      </c>
      <c r="G3423" s="4">
        <v>43280</v>
      </c>
      <c r="I3423" s="5">
        <v>1200</v>
      </c>
      <c r="J3423" s="5"/>
    </row>
    <row r="3424" spans="2:11" x14ac:dyDescent="0.15">
      <c r="B3424" s="1" t="s">
        <v>185</v>
      </c>
      <c r="C3424" s="2" t="s">
        <v>9</v>
      </c>
      <c r="D3424" s="2" t="s">
        <v>176</v>
      </c>
      <c r="E3424" s="3">
        <v>392</v>
      </c>
      <c r="F3424" s="3">
        <f>E3424/5</f>
        <v>78.400000000000006</v>
      </c>
      <c r="G3424" s="4">
        <v>43280</v>
      </c>
      <c r="I3424" s="5">
        <v>1200</v>
      </c>
      <c r="J3424" s="5"/>
    </row>
    <row r="3425" spans="2:10" x14ac:dyDescent="0.15">
      <c r="B3425" s="1" t="s">
        <v>254</v>
      </c>
      <c r="C3425" s="2" t="s">
        <v>18</v>
      </c>
      <c r="D3425" s="2" t="s">
        <v>253</v>
      </c>
      <c r="E3425" s="3">
        <v>500</v>
      </c>
      <c r="F3425" s="3">
        <v>75</v>
      </c>
      <c r="G3425" s="4">
        <v>44144</v>
      </c>
      <c r="I3425" s="5"/>
      <c r="J3425" s="5"/>
    </row>
    <row r="3426" spans="2:10" x14ac:dyDescent="0.15">
      <c r="B3426" s="1" t="s">
        <v>967</v>
      </c>
      <c r="C3426" s="2" t="s">
        <v>9</v>
      </c>
      <c r="D3426" s="2" t="s">
        <v>804</v>
      </c>
      <c r="E3426" s="3">
        <v>325</v>
      </c>
      <c r="F3426" s="3">
        <v>65</v>
      </c>
      <c r="G3426" s="4">
        <v>44299</v>
      </c>
      <c r="I3426" s="5"/>
      <c r="J3426" s="5"/>
    </row>
    <row r="3427" spans="2:10" x14ac:dyDescent="0.15">
      <c r="B3427" s="1" t="s">
        <v>256</v>
      </c>
      <c r="C3427" s="2" t="s">
        <v>8</v>
      </c>
      <c r="D3427" s="2" t="s">
        <v>253</v>
      </c>
      <c r="E3427" s="3">
        <v>600</v>
      </c>
      <c r="F3427" s="3">
        <f>500/8</f>
        <v>62.5</v>
      </c>
      <c r="G3427" s="4">
        <v>44502</v>
      </c>
      <c r="I3427" s="5"/>
      <c r="J3427" s="5"/>
    </row>
    <row r="3428" spans="2:10" x14ac:dyDescent="0.15">
      <c r="B3428" s="1" t="s">
        <v>966</v>
      </c>
      <c r="C3428" s="2" t="s">
        <v>18</v>
      </c>
      <c r="D3428" s="2" t="s">
        <v>965</v>
      </c>
      <c r="E3428" s="3">
        <v>450</v>
      </c>
      <c r="F3428" s="3">
        <f>300/5</f>
        <v>60</v>
      </c>
      <c r="G3428" s="4">
        <v>45069</v>
      </c>
      <c r="I3428" s="5"/>
      <c r="J3428" s="5"/>
    </row>
    <row r="3429" spans="2:10" x14ac:dyDescent="0.15">
      <c r="B3429" s="1" t="s">
        <v>30</v>
      </c>
      <c r="C3429" s="2" t="s">
        <v>5</v>
      </c>
      <c r="D3429" s="2" t="s">
        <v>29</v>
      </c>
      <c r="E3429" s="3">
        <f>1600/7</f>
        <v>228.57142857142858</v>
      </c>
      <c r="F3429" s="3">
        <f>109/2</f>
        <v>54.5</v>
      </c>
      <c r="G3429" s="4">
        <v>45078</v>
      </c>
      <c r="I3429" s="5">
        <v>1000</v>
      </c>
      <c r="J3429" s="5">
        <v>1000</v>
      </c>
    </row>
    <row r="3430" spans="2:10" x14ac:dyDescent="0.15">
      <c r="B3430" s="1" t="s">
        <v>86</v>
      </c>
      <c r="C3430" s="2" t="s">
        <v>18</v>
      </c>
      <c r="D3430" s="2" t="s">
        <v>80</v>
      </c>
      <c r="E3430" s="3">
        <v>257</v>
      </c>
      <c r="F3430" s="3">
        <v>50</v>
      </c>
      <c r="G3430" s="4">
        <v>44201</v>
      </c>
      <c r="I3430" s="5">
        <v>1286</v>
      </c>
      <c r="J3430" s="5"/>
    </row>
    <row r="3431" spans="2:10" x14ac:dyDescent="0.15">
      <c r="B3431" s="1" t="s">
        <v>2</v>
      </c>
      <c r="C3431" s="2" t="s">
        <v>1</v>
      </c>
      <c r="D3431" s="2" t="s">
        <v>0</v>
      </c>
      <c r="E3431" s="3">
        <v>300</v>
      </c>
      <c r="F3431" s="3">
        <v>50</v>
      </c>
      <c r="G3431" s="4">
        <v>45044</v>
      </c>
      <c r="I3431" s="5">
        <v>28700</v>
      </c>
      <c r="J3431" s="5">
        <v>28700</v>
      </c>
    </row>
    <row r="3432" spans="2:10" x14ac:dyDescent="0.15">
      <c r="B3432" s="1" t="s">
        <v>4394</v>
      </c>
      <c r="C3432" s="2" t="s">
        <v>9</v>
      </c>
      <c r="D3432" s="2" t="s">
        <v>3962</v>
      </c>
      <c r="E3432" s="3">
        <v>50</v>
      </c>
      <c r="F3432" s="3">
        <v>50</v>
      </c>
      <c r="G3432" s="4">
        <v>44321</v>
      </c>
      <c r="I3432" s="5"/>
      <c r="J3432" s="5"/>
    </row>
    <row r="3433" spans="2:10" x14ac:dyDescent="0.15">
      <c r="B3433" s="1" t="s">
        <v>238</v>
      </c>
      <c r="C3433" s="2" t="s">
        <v>18</v>
      </c>
      <c r="D3433" s="2" t="s">
        <v>232</v>
      </c>
      <c r="E3433" s="3">
        <v>460</v>
      </c>
      <c r="F3433" s="3">
        <f>160/4</f>
        <v>40</v>
      </c>
      <c r="G3433" s="4">
        <v>43040</v>
      </c>
      <c r="I3433" s="5"/>
      <c r="J3433" s="5"/>
    </row>
    <row r="3434" spans="2:10" x14ac:dyDescent="0.15">
      <c r="B3434" s="1" t="s">
        <v>237</v>
      </c>
      <c r="C3434" s="2" t="s">
        <v>18</v>
      </c>
      <c r="D3434" s="2" t="s">
        <v>232</v>
      </c>
      <c r="E3434" s="3">
        <v>460</v>
      </c>
      <c r="F3434" s="3">
        <f>160/4</f>
        <v>40</v>
      </c>
      <c r="G3434" s="4">
        <v>43040</v>
      </c>
      <c r="I3434" s="5"/>
      <c r="J3434" s="5"/>
    </row>
    <row r="3435" spans="2:10" x14ac:dyDescent="0.15">
      <c r="B3435" s="1" t="s">
        <v>235</v>
      </c>
      <c r="C3435" s="2" t="s">
        <v>18</v>
      </c>
      <c r="D3435" s="2" t="s">
        <v>232</v>
      </c>
      <c r="E3435" s="3">
        <v>100</v>
      </c>
      <c r="F3435" s="3">
        <v>40</v>
      </c>
      <c r="G3435" s="4">
        <v>42735</v>
      </c>
      <c r="I3435" s="5"/>
      <c r="J3435" s="5"/>
    </row>
    <row r="3436" spans="2:10" x14ac:dyDescent="0.15">
      <c r="B3436" s="1" t="s">
        <v>4360</v>
      </c>
      <c r="C3436" s="2" t="s">
        <v>8</v>
      </c>
      <c r="D3436" s="2" t="s">
        <v>2141</v>
      </c>
      <c r="E3436" s="3">
        <v>200</v>
      </c>
      <c r="F3436" s="3">
        <v>40</v>
      </c>
      <c r="G3436" s="4">
        <v>44237</v>
      </c>
      <c r="I3436" s="5"/>
      <c r="J3436" s="5"/>
    </row>
    <row r="3437" spans="2:10" x14ac:dyDescent="0.15">
      <c r="B3437" s="1" t="s">
        <v>196</v>
      </c>
      <c r="C3437" s="2" t="s">
        <v>53</v>
      </c>
      <c r="D3437" s="2" t="s">
        <v>176</v>
      </c>
      <c r="E3437" s="3">
        <v>475</v>
      </c>
      <c r="F3437" s="3">
        <f t="shared" ref="F3437:F3443" si="2">E3437/12</f>
        <v>39.583333333333336</v>
      </c>
      <c r="G3437" s="4">
        <v>44278</v>
      </c>
      <c r="I3437" s="5"/>
      <c r="J3437" s="5"/>
    </row>
    <row r="3438" spans="2:10" x14ac:dyDescent="0.15">
      <c r="B3438" s="1" t="s">
        <v>195</v>
      </c>
      <c r="C3438" s="2" t="s">
        <v>53</v>
      </c>
      <c r="D3438" s="2" t="s">
        <v>176</v>
      </c>
      <c r="E3438" s="3">
        <v>475</v>
      </c>
      <c r="F3438" s="3">
        <f t="shared" si="2"/>
        <v>39.583333333333336</v>
      </c>
      <c r="G3438" s="4">
        <v>44278</v>
      </c>
      <c r="I3438" s="5"/>
      <c r="J3438" s="5"/>
    </row>
    <row r="3439" spans="2:10" x14ac:dyDescent="0.15">
      <c r="B3439" s="192" t="s">
        <v>6870</v>
      </c>
      <c r="C3439" s="2" t="s">
        <v>53</v>
      </c>
      <c r="D3439" s="2" t="s">
        <v>176</v>
      </c>
      <c r="E3439" s="3">
        <v>475</v>
      </c>
      <c r="F3439" s="3">
        <f t="shared" si="2"/>
        <v>39.583333333333336</v>
      </c>
      <c r="G3439" s="4">
        <v>44278</v>
      </c>
      <c r="I3439" s="5"/>
      <c r="J3439" s="5"/>
    </row>
    <row r="3440" spans="2:10" x14ac:dyDescent="0.15">
      <c r="B3440" s="1" t="s">
        <v>194</v>
      </c>
      <c r="C3440" s="2" t="s">
        <v>53</v>
      </c>
      <c r="D3440" s="2" t="s">
        <v>176</v>
      </c>
      <c r="E3440" s="3">
        <v>475</v>
      </c>
      <c r="F3440" s="3">
        <f t="shared" si="2"/>
        <v>39.583333333333336</v>
      </c>
      <c r="G3440" s="4">
        <v>44278</v>
      </c>
      <c r="I3440" s="5"/>
      <c r="J3440" s="5"/>
    </row>
    <row r="3441" spans="2:18" x14ac:dyDescent="0.15">
      <c r="B3441" s="1" t="s">
        <v>191</v>
      </c>
      <c r="C3441" s="2" t="s">
        <v>53</v>
      </c>
      <c r="D3441" s="2" t="s">
        <v>176</v>
      </c>
      <c r="E3441" s="3">
        <v>475</v>
      </c>
      <c r="F3441" s="3">
        <f t="shared" si="2"/>
        <v>39.583333333333336</v>
      </c>
      <c r="G3441" s="4">
        <v>44278</v>
      </c>
      <c r="I3441" s="5"/>
      <c r="J3441" s="5"/>
    </row>
    <row r="3442" spans="2:18" x14ac:dyDescent="0.15">
      <c r="B3442" s="1" t="s">
        <v>190</v>
      </c>
      <c r="C3442" s="2" t="s">
        <v>53</v>
      </c>
      <c r="D3442" s="2" t="s">
        <v>176</v>
      </c>
      <c r="E3442" s="3">
        <v>475</v>
      </c>
      <c r="F3442" s="3">
        <f t="shared" si="2"/>
        <v>39.583333333333336</v>
      </c>
      <c r="G3442" s="4">
        <v>44278</v>
      </c>
      <c r="I3442" s="5"/>
      <c r="J3442" s="5"/>
    </row>
    <row r="3443" spans="2:18" x14ac:dyDescent="0.15">
      <c r="B3443" s="1" t="s">
        <v>189</v>
      </c>
      <c r="C3443" s="2" t="s">
        <v>53</v>
      </c>
      <c r="D3443" s="2" t="s">
        <v>176</v>
      </c>
      <c r="E3443" s="3">
        <v>475</v>
      </c>
      <c r="F3443" s="3">
        <f t="shared" si="2"/>
        <v>39.583333333333336</v>
      </c>
      <c r="G3443" s="4">
        <v>44278</v>
      </c>
      <c r="I3443" s="5"/>
      <c r="J3443" s="5"/>
    </row>
    <row r="3444" spans="2:18" x14ac:dyDescent="0.15">
      <c r="B3444" s="1" t="s">
        <v>221</v>
      </c>
      <c r="C3444" s="2" t="s">
        <v>18</v>
      </c>
      <c r="D3444" s="2" t="s">
        <v>211</v>
      </c>
      <c r="E3444" s="3">
        <v>230</v>
      </c>
      <c r="F3444" s="3">
        <f>E3444/6</f>
        <v>38.333333333333336</v>
      </c>
      <c r="G3444" s="4">
        <v>43923</v>
      </c>
      <c r="I3444" s="5"/>
      <c r="J3444" s="5"/>
    </row>
    <row r="3445" spans="2:18" x14ac:dyDescent="0.15">
      <c r="B3445" s="1" t="s">
        <v>219</v>
      </c>
      <c r="C3445" s="2" t="s">
        <v>18</v>
      </c>
      <c r="D3445" s="2" t="s">
        <v>211</v>
      </c>
      <c r="E3445" s="3">
        <v>230</v>
      </c>
      <c r="F3445" s="3">
        <f>E3445/6</f>
        <v>38.333333333333336</v>
      </c>
      <c r="G3445" s="4">
        <v>43923</v>
      </c>
      <c r="I3445" s="5"/>
      <c r="J3445" s="5"/>
    </row>
    <row r="3446" spans="2:18" x14ac:dyDescent="0.15">
      <c r="B3446" s="1" t="s">
        <v>67</v>
      </c>
      <c r="C3446" s="2" t="s">
        <v>5</v>
      </c>
      <c r="D3446" s="2" t="s">
        <v>64</v>
      </c>
      <c r="E3446" s="3">
        <f>500/7</f>
        <v>71.428571428571431</v>
      </c>
      <c r="F3446" s="3">
        <f>E3446/2</f>
        <v>35.714285714285715</v>
      </c>
      <c r="G3446" s="4">
        <v>44315</v>
      </c>
      <c r="I3446" s="5"/>
      <c r="J3446" s="5"/>
    </row>
    <row r="3447" spans="2:18" x14ac:dyDescent="0.15">
      <c r="B3447" s="1" t="s">
        <v>159</v>
      </c>
      <c r="C3447" s="2" t="s">
        <v>9</v>
      </c>
      <c r="D3447" s="2" t="s">
        <v>154</v>
      </c>
      <c r="E3447" s="3">
        <v>400</v>
      </c>
      <c r="F3447" s="3">
        <f>320/9</f>
        <v>35.555555555555557</v>
      </c>
      <c r="G3447" s="4">
        <v>44413</v>
      </c>
      <c r="I3447" s="5">
        <v>4200</v>
      </c>
      <c r="J3447" s="5"/>
    </row>
    <row r="3448" spans="2:18" x14ac:dyDescent="0.15">
      <c r="B3448" s="1" t="s">
        <v>171</v>
      </c>
      <c r="C3448" s="2" t="s">
        <v>18</v>
      </c>
      <c r="D3448" s="2" t="s">
        <v>161</v>
      </c>
      <c r="E3448" s="3">
        <v>267</v>
      </c>
      <c r="F3448" s="3">
        <f>167/5</f>
        <v>33.4</v>
      </c>
      <c r="G3448" s="4">
        <v>44140</v>
      </c>
      <c r="I3448" s="5">
        <v>5000</v>
      </c>
      <c r="J3448" s="5"/>
    </row>
    <row r="3449" spans="2:18" x14ac:dyDescent="0.15">
      <c r="B3449" s="1" t="s">
        <v>228</v>
      </c>
      <c r="C3449" s="2" t="s">
        <v>8</v>
      </c>
      <c r="D3449" s="2" t="s">
        <v>211</v>
      </c>
      <c r="E3449" s="3">
        <v>700</v>
      </c>
      <c r="F3449" s="3">
        <f t="shared" ref="F3449:F3454" si="3">400/12</f>
        <v>33.333333333333336</v>
      </c>
      <c r="G3449" s="4">
        <v>44218</v>
      </c>
      <c r="I3449" s="5"/>
      <c r="J3449" s="5"/>
    </row>
    <row r="3450" spans="2:18" x14ac:dyDescent="0.15">
      <c r="B3450" s="1" t="s">
        <v>227</v>
      </c>
      <c r="C3450" s="2" t="s">
        <v>8</v>
      </c>
      <c r="D3450" s="2" t="s">
        <v>211</v>
      </c>
      <c r="E3450" s="3">
        <v>700</v>
      </c>
      <c r="F3450" s="3">
        <f t="shared" si="3"/>
        <v>33.333333333333336</v>
      </c>
      <c r="G3450" s="4">
        <v>44218</v>
      </c>
      <c r="I3450" s="5"/>
      <c r="J3450" s="5"/>
    </row>
    <row r="3451" spans="2:18" x14ac:dyDescent="0.15">
      <c r="B3451" s="1" t="s">
        <v>226</v>
      </c>
      <c r="C3451" s="2" t="s">
        <v>8</v>
      </c>
      <c r="D3451" s="2" t="s">
        <v>211</v>
      </c>
      <c r="E3451" s="3">
        <v>700</v>
      </c>
      <c r="F3451" s="3">
        <f t="shared" si="3"/>
        <v>33.333333333333336</v>
      </c>
      <c r="G3451" s="4">
        <v>44218</v>
      </c>
      <c r="I3451" s="5"/>
      <c r="J3451" s="5"/>
    </row>
    <row r="3452" spans="2:18" x14ac:dyDescent="0.15">
      <c r="B3452" s="1" t="s">
        <v>224</v>
      </c>
      <c r="C3452" s="2" t="s">
        <v>8</v>
      </c>
      <c r="D3452" s="2" t="s">
        <v>211</v>
      </c>
      <c r="E3452" s="3">
        <v>700</v>
      </c>
      <c r="F3452" s="3">
        <f t="shared" si="3"/>
        <v>33.333333333333336</v>
      </c>
      <c r="G3452" s="4">
        <v>44218</v>
      </c>
      <c r="I3452" s="5"/>
      <c r="J3452" s="5"/>
    </row>
    <row r="3453" spans="2:18" x14ac:dyDescent="0.15">
      <c r="B3453" s="1" t="s">
        <v>223</v>
      </c>
      <c r="C3453" s="2" t="s">
        <v>8</v>
      </c>
      <c r="D3453" s="2" t="s">
        <v>211</v>
      </c>
      <c r="E3453" s="3">
        <v>700</v>
      </c>
      <c r="F3453" s="3">
        <f t="shared" si="3"/>
        <v>33.333333333333336</v>
      </c>
      <c r="G3453" s="4">
        <v>44218</v>
      </c>
      <c r="I3453" s="5"/>
      <c r="J3453" s="5"/>
    </row>
    <row r="3454" spans="2:18" x14ac:dyDescent="0.15">
      <c r="B3454" s="1" t="s">
        <v>222</v>
      </c>
      <c r="C3454" s="2" t="s">
        <v>8</v>
      </c>
      <c r="D3454" s="2" t="s">
        <v>211</v>
      </c>
      <c r="E3454" s="3">
        <v>700</v>
      </c>
      <c r="F3454" s="3">
        <f t="shared" si="3"/>
        <v>33.333333333333336</v>
      </c>
      <c r="G3454" s="4">
        <v>44218</v>
      </c>
      <c r="I3454" s="5"/>
      <c r="J3454" s="5"/>
    </row>
    <row r="3455" spans="2:18" x14ac:dyDescent="0.15">
      <c r="B3455" s="1" t="s">
        <v>416</v>
      </c>
      <c r="C3455" s="2" t="s">
        <v>18</v>
      </c>
      <c r="D3455" s="2" t="s">
        <v>415</v>
      </c>
      <c r="E3455" s="3">
        <v>65</v>
      </c>
      <c r="F3455" s="3">
        <v>32.5</v>
      </c>
      <c r="G3455" s="4">
        <v>43789</v>
      </c>
      <c r="M3455" s="1"/>
      <c r="N3455" s="1"/>
      <c r="O3455" s="1"/>
      <c r="P3455" s="1"/>
      <c r="Q3455" s="1"/>
      <c r="R3455" s="1"/>
    </row>
    <row r="3456" spans="2:18" x14ac:dyDescent="0.15">
      <c r="B3456" s="1" t="s">
        <v>508</v>
      </c>
      <c r="C3456" s="2" t="s">
        <v>505</v>
      </c>
      <c r="D3456" s="2" t="s">
        <v>490</v>
      </c>
      <c r="E3456" s="3">
        <v>250</v>
      </c>
      <c r="F3456" s="3">
        <f>150/5</f>
        <v>30</v>
      </c>
      <c r="G3456" s="4">
        <v>44376</v>
      </c>
      <c r="M3456" s="1"/>
      <c r="N3456" s="1"/>
      <c r="O3456" s="1"/>
      <c r="P3456" s="1"/>
      <c r="Q3456" s="1"/>
      <c r="R3456" s="1"/>
    </row>
    <row r="3457" spans="2:18" x14ac:dyDescent="0.15">
      <c r="B3457" s="1" t="s">
        <v>507</v>
      </c>
      <c r="C3457" s="2" t="s">
        <v>505</v>
      </c>
      <c r="D3457" s="2" t="s">
        <v>490</v>
      </c>
      <c r="E3457" s="3">
        <v>250</v>
      </c>
      <c r="F3457" s="3">
        <f>150/5</f>
        <v>30</v>
      </c>
      <c r="G3457" s="4">
        <v>44376</v>
      </c>
      <c r="M3457" s="1"/>
      <c r="N3457" s="1"/>
      <c r="O3457" s="1"/>
      <c r="P3457" s="1"/>
      <c r="Q3457" s="1"/>
      <c r="R3457" s="1"/>
    </row>
    <row r="3458" spans="2:18" x14ac:dyDescent="0.15">
      <c r="B3458" s="1" t="s">
        <v>506</v>
      </c>
      <c r="C3458" s="2" t="s">
        <v>505</v>
      </c>
      <c r="D3458" s="2" t="s">
        <v>490</v>
      </c>
      <c r="E3458" s="3">
        <v>250</v>
      </c>
      <c r="F3458" s="3">
        <f>150/5</f>
        <v>30</v>
      </c>
      <c r="G3458" s="4">
        <v>44376</v>
      </c>
      <c r="M3458" s="1"/>
      <c r="N3458" s="1"/>
      <c r="O3458" s="1"/>
      <c r="P3458" s="1"/>
      <c r="Q3458" s="1"/>
      <c r="R3458" s="1"/>
    </row>
    <row r="3459" spans="2:18" x14ac:dyDescent="0.15">
      <c r="B3459" s="1" t="s">
        <v>373</v>
      </c>
      <c r="C3459" s="2" t="s">
        <v>7</v>
      </c>
      <c r="D3459" s="2" t="s">
        <v>363</v>
      </c>
      <c r="E3459" s="3">
        <v>120</v>
      </c>
      <c r="F3459" s="3">
        <v>30</v>
      </c>
      <c r="G3459" s="4">
        <v>44602</v>
      </c>
      <c r="M3459" s="1"/>
      <c r="N3459" s="1"/>
      <c r="O3459" s="1"/>
      <c r="P3459" s="1"/>
      <c r="Q3459" s="1"/>
      <c r="R3459" s="1"/>
    </row>
    <row r="3460" spans="2:18" x14ac:dyDescent="0.15">
      <c r="B3460" s="1" t="s">
        <v>203</v>
      </c>
      <c r="C3460" s="2" t="s">
        <v>7</v>
      </c>
      <c r="D3460" s="2" t="s">
        <v>197</v>
      </c>
      <c r="E3460" s="3">
        <v>120</v>
      </c>
      <c r="F3460" s="3">
        <v>30</v>
      </c>
      <c r="G3460" s="4">
        <v>43391</v>
      </c>
    </row>
    <row r="3461" spans="2:18" x14ac:dyDescent="0.15">
      <c r="B3461" s="1" t="s">
        <v>201</v>
      </c>
      <c r="C3461" s="2" t="s">
        <v>7</v>
      </c>
      <c r="D3461" s="2" t="s">
        <v>197</v>
      </c>
      <c r="E3461" s="3">
        <v>120</v>
      </c>
      <c r="F3461" s="3">
        <v>30</v>
      </c>
      <c r="G3461" s="4">
        <v>43391</v>
      </c>
    </row>
    <row r="3462" spans="2:18" x14ac:dyDescent="0.15">
      <c r="B3462" s="1" t="s">
        <v>73</v>
      </c>
      <c r="C3462" s="2" t="s">
        <v>7</v>
      </c>
      <c r="D3462" s="2" t="s">
        <v>64</v>
      </c>
      <c r="E3462" s="3">
        <f>1600/7</f>
        <v>228.57142857142858</v>
      </c>
      <c r="F3462" s="3">
        <v>30</v>
      </c>
      <c r="G3462" s="4">
        <v>44550</v>
      </c>
    </row>
    <row r="3463" spans="2:18" x14ac:dyDescent="0.15">
      <c r="B3463" s="1" t="s">
        <v>70</v>
      </c>
      <c r="C3463" s="2" t="s">
        <v>7</v>
      </c>
      <c r="D3463" s="2" t="s">
        <v>64</v>
      </c>
      <c r="E3463" s="3">
        <f>1600/7</f>
        <v>228.57142857142858</v>
      </c>
      <c r="F3463" s="3">
        <v>30</v>
      </c>
      <c r="G3463" s="4">
        <v>44550</v>
      </c>
    </row>
    <row r="3464" spans="2:18" x14ac:dyDescent="0.15">
      <c r="B3464" s="1" t="s">
        <v>68</v>
      </c>
      <c r="C3464" s="2" t="s">
        <v>7</v>
      </c>
      <c r="D3464" s="2" t="s">
        <v>64</v>
      </c>
      <c r="E3464" s="3">
        <f>1600/7</f>
        <v>228.57142857142858</v>
      </c>
      <c r="F3464" s="3">
        <v>30</v>
      </c>
      <c r="G3464" s="4">
        <v>44550</v>
      </c>
    </row>
    <row r="3465" spans="2:18" x14ac:dyDescent="0.15">
      <c r="B3465" s="1" t="s">
        <v>21</v>
      </c>
      <c r="C3465" s="2" t="s">
        <v>8</v>
      </c>
      <c r="D3465" s="2" t="s">
        <v>15</v>
      </c>
      <c r="E3465" s="3">
        <v>220</v>
      </c>
      <c r="F3465" s="3">
        <v>30</v>
      </c>
      <c r="G3465" s="4">
        <v>44502</v>
      </c>
      <c r="I3465" s="1">
        <v>794</v>
      </c>
      <c r="J3465" s="1">
        <v>794</v>
      </c>
    </row>
    <row r="3466" spans="2:18" x14ac:dyDescent="0.15">
      <c r="B3466" s="1" t="s">
        <v>4413</v>
      </c>
      <c r="C3466" s="2" t="s">
        <v>7</v>
      </c>
      <c r="D3466" s="2" t="s">
        <v>2137</v>
      </c>
      <c r="E3466" s="3">
        <f>1300/7</f>
        <v>185.71428571428572</v>
      </c>
      <c r="F3466" s="3">
        <v>30</v>
      </c>
      <c r="G3466" s="4">
        <v>44648</v>
      </c>
    </row>
    <row r="3467" spans="2:18" x14ac:dyDescent="0.15">
      <c r="B3467" s="1" t="s">
        <v>4414</v>
      </c>
      <c r="C3467" s="2" t="s">
        <v>7</v>
      </c>
      <c r="D3467" s="2" t="s">
        <v>2137</v>
      </c>
      <c r="E3467" s="3">
        <f>1300/7</f>
        <v>185.71428571428572</v>
      </c>
      <c r="F3467" s="3">
        <v>30</v>
      </c>
      <c r="G3467" s="4">
        <v>44648</v>
      </c>
    </row>
    <row r="3468" spans="2:18" x14ac:dyDescent="0.15">
      <c r="B3468" s="61" t="s">
        <v>5048</v>
      </c>
      <c r="C3468" s="62" t="s">
        <v>53</v>
      </c>
      <c r="D3468" s="62" t="s">
        <v>5044</v>
      </c>
      <c r="E3468" s="3">
        <v>100</v>
      </c>
      <c r="F3468" s="3">
        <v>30</v>
      </c>
      <c r="G3468" s="4">
        <v>44474</v>
      </c>
    </row>
    <row r="3469" spans="2:18" x14ac:dyDescent="0.15">
      <c r="B3469" s="1" t="s">
        <v>4398</v>
      </c>
      <c r="C3469" s="2" t="s">
        <v>505</v>
      </c>
      <c r="D3469" s="2" t="s">
        <v>3962</v>
      </c>
      <c r="E3469" s="3">
        <v>56</v>
      </c>
      <c r="F3469" s="3">
        <f>E3469/2</f>
        <v>28</v>
      </c>
      <c r="G3469" s="4">
        <v>41183</v>
      </c>
    </row>
    <row r="3470" spans="2:18" x14ac:dyDescent="0.15">
      <c r="B3470" s="1" t="s">
        <v>961</v>
      </c>
      <c r="C3470" s="2" t="s">
        <v>7</v>
      </c>
      <c r="D3470" s="2" t="s">
        <v>431</v>
      </c>
      <c r="E3470" s="3">
        <v>26</v>
      </c>
      <c r="F3470" s="3">
        <v>26</v>
      </c>
      <c r="G3470" s="4">
        <v>44594</v>
      </c>
    </row>
    <row r="3471" spans="2:18" x14ac:dyDescent="0.15">
      <c r="B3471" s="1" t="s">
        <v>960</v>
      </c>
      <c r="C3471" s="2" t="s">
        <v>4</v>
      </c>
      <c r="D3471" s="2" t="s">
        <v>937</v>
      </c>
      <c r="E3471" s="3">
        <v>100</v>
      </c>
      <c r="F3471" s="3">
        <v>25</v>
      </c>
      <c r="G3471" s="4">
        <v>44846</v>
      </c>
    </row>
    <row r="3472" spans="2:18" x14ac:dyDescent="0.15">
      <c r="B3472" s="1" t="s">
        <v>959</v>
      </c>
      <c r="C3472" s="2" t="s">
        <v>8</v>
      </c>
      <c r="D3472" s="2" t="s">
        <v>958</v>
      </c>
      <c r="E3472" s="3">
        <v>100</v>
      </c>
      <c r="F3472" s="3">
        <v>25</v>
      </c>
      <c r="G3472" s="4">
        <v>45051</v>
      </c>
    </row>
    <row r="3473" spans="2:18" x14ac:dyDescent="0.15">
      <c r="B3473" s="1" t="s">
        <v>533</v>
      </c>
      <c r="C3473" s="2" t="s">
        <v>8</v>
      </c>
      <c r="D3473" s="2" t="s">
        <v>521</v>
      </c>
      <c r="E3473" s="3">
        <v>100</v>
      </c>
      <c r="F3473" s="3">
        <v>25</v>
      </c>
      <c r="G3473" s="4">
        <v>44419</v>
      </c>
      <c r="M3473" s="1"/>
      <c r="N3473" s="1"/>
      <c r="O3473" s="1"/>
      <c r="P3473" s="1"/>
      <c r="Q3473" s="1"/>
      <c r="R3473" s="1"/>
    </row>
    <row r="3474" spans="2:18" x14ac:dyDescent="0.15">
      <c r="B3474" s="61" t="s">
        <v>5026</v>
      </c>
      <c r="C3474" s="62" t="s">
        <v>9</v>
      </c>
      <c r="D3474" s="62" t="s">
        <v>2117</v>
      </c>
      <c r="E3474" s="3">
        <v>100</v>
      </c>
      <c r="F3474" s="3">
        <v>25</v>
      </c>
      <c r="G3474" s="4">
        <v>44507</v>
      </c>
      <c r="I3474" s="1">
        <v>1600</v>
      </c>
      <c r="J3474" s="1">
        <v>1600</v>
      </c>
    </row>
    <row r="3475" spans="2:18" x14ac:dyDescent="0.15">
      <c r="B3475" s="1" t="s">
        <v>44</v>
      </c>
      <c r="C3475" s="2" t="s">
        <v>9</v>
      </c>
      <c r="D3475" s="2" t="s">
        <v>39</v>
      </c>
      <c r="E3475" s="3">
        <v>230</v>
      </c>
      <c r="F3475" s="3">
        <f>170/7</f>
        <v>24.285714285714285</v>
      </c>
      <c r="G3475" s="4">
        <v>44984</v>
      </c>
      <c r="I3475" s="1">
        <v>2000</v>
      </c>
      <c r="J3475" s="1">
        <v>2000</v>
      </c>
    </row>
    <row r="3476" spans="2:18" x14ac:dyDescent="0.15">
      <c r="B3476" s="1" t="s">
        <v>43</v>
      </c>
      <c r="C3476" s="2" t="s">
        <v>9</v>
      </c>
      <c r="D3476" s="2" t="s">
        <v>39</v>
      </c>
      <c r="E3476" s="3">
        <v>230</v>
      </c>
      <c r="F3476" s="3">
        <f>170/7</f>
        <v>24.285714285714285</v>
      </c>
      <c r="G3476" s="4">
        <v>44984</v>
      </c>
      <c r="I3476" s="1">
        <v>2000</v>
      </c>
      <c r="J3476" s="1">
        <v>2000</v>
      </c>
    </row>
    <row r="3477" spans="2:18" x14ac:dyDescent="0.15">
      <c r="B3477" s="1" t="s">
        <v>957</v>
      </c>
      <c r="C3477" s="2" t="s">
        <v>18</v>
      </c>
      <c r="D3477" s="2" t="s">
        <v>953</v>
      </c>
      <c r="E3477" s="3">
        <v>270</v>
      </c>
      <c r="F3477" s="3">
        <v>24</v>
      </c>
      <c r="G3477" s="4">
        <v>45048</v>
      </c>
    </row>
    <row r="3478" spans="2:18" x14ac:dyDescent="0.15">
      <c r="B3478" s="1" t="s">
        <v>955</v>
      </c>
      <c r="C3478" s="2" t="s">
        <v>18</v>
      </c>
      <c r="D3478" s="2" t="s">
        <v>953</v>
      </c>
      <c r="E3478" s="3">
        <v>270</v>
      </c>
      <c r="F3478" s="3">
        <v>24</v>
      </c>
      <c r="G3478" s="4">
        <v>45048</v>
      </c>
    </row>
    <row r="3479" spans="2:18" x14ac:dyDescent="0.15">
      <c r="B3479" s="1" t="s">
        <v>954</v>
      </c>
      <c r="C3479" s="2" t="s">
        <v>18</v>
      </c>
      <c r="D3479" s="2" t="s">
        <v>953</v>
      </c>
      <c r="E3479" s="3">
        <v>270</v>
      </c>
      <c r="F3479" s="3">
        <v>24</v>
      </c>
      <c r="G3479" s="4">
        <v>45048</v>
      </c>
    </row>
    <row r="3480" spans="2:18" x14ac:dyDescent="0.15">
      <c r="B3480" s="1" t="s">
        <v>206</v>
      </c>
      <c r="C3480" s="2" t="s">
        <v>18</v>
      </c>
      <c r="D3480" s="2" t="s">
        <v>197</v>
      </c>
      <c r="E3480" s="3">
        <v>500</v>
      </c>
      <c r="F3480" s="3">
        <f>200/9</f>
        <v>22.222222222222221</v>
      </c>
      <c r="G3480" s="4">
        <v>44274</v>
      </c>
    </row>
    <row r="3481" spans="2:18" x14ac:dyDescent="0.15">
      <c r="B3481" s="1" t="s">
        <v>502</v>
      </c>
      <c r="C3481" s="2" t="s">
        <v>53</v>
      </c>
      <c r="D3481" s="2" t="s">
        <v>490</v>
      </c>
      <c r="E3481" s="3">
        <v>270</v>
      </c>
      <c r="F3481" s="3">
        <v>22</v>
      </c>
      <c r="G3481" s="4">
        <v>44152</v>
      </c>
      <c r="M3481" s="1"/>
      <c r="N3481" s="1"/>
      <c r="O3481" s="1"/>
      <c r="P3481" s="1"/>
      <c r="Q3481" s="1"/>
      <c r="R3481" s="1"/>
    </row>
    <row r="3482" spans="2:18" x14ac:dyDescent="0.15">
      <c r="B3482" s="1" t="s">
        <v>952</v>
      </c>
      <c r="C3482" s="2" t="s">
        <v>7</v>
      </c>
      <c r="D3482" s="2" t="s">
        <v>950</v>
      </c>
      <c r="E3482" s="3">
        <v>350</v>
      </c>
      <c r="F3482" s="3">
        <v>20</v>
      </c>
      <c r="G3482" s="4">
        <v>44999</v>
      </c>
    </row>
    <row r="3483" spans="2:18" x14ac:dyDescent="0.15">
      <c r="B3483" s="1" t="s">
        <v>951</v>
      </c>
      <c r="C3483" s="2" t="s">
        <v>7</v>
      </c>
      <c r="D3483" s="2" t="s">
        <v>950</v>
      </c>
      <c r="E3483" s="3">
        <v>350</v>
      </c>
      <c r="F3483" s="3">
        <v>20</v>
      </c>
      <c r="G3483" s="4">
        <v>44999</v>
      </c>
    </row>
    <row r="3484" spans="2:18" x14ac:dyDescent="0.15">
      <c r="B3484" s="1" t="s">
        <v>949</v>
      </c>
      <c r="C3484" s="2" t="s">
        <v>4</v>
      </c>
      <c r="D3484" s="2" t="s">
        <v>913</v>
      </c>
      <c r="E3484" s="3">
        <v>42</v>
      </c>
      <c r="F3484" s="3">
        <v>20</v>
      </c>
      <c r="G3484" s="4">
        <v>44882</v>
      </c>
    </row>
    <row r="3485" spans="2:18" x14ac:dyDescent="0.15">
      <c r="B3485" s="1" t="s">
        <v>548</v>
      </c>
      <c r="C3485" s="2" t="s">
        <v>5</v>
      </c>
      <c r="D3485" s="2" t="s">
        <v>547</v>
      </c>
      <c r="E3485" s="3">
        <v>58</v>
      </c>
      <c r="F3485" s="3">
        <v>20</v>
      </c>
      <c r="G3485" s="4">
        <v>45104</v>
      </c>
      <c r="M3485" s="1"/>
      <c r="N3485" s="1"/>
      <c r="O3485" s="1"/>
      <c r="P3485" s="1"/>
      <c r="Q3485" s="1"/>
      <c r="R3485" s="1"/>
    </row>
    <row r="3486" spans="2:18" x14ac:dyDescent="0.15">
      <c r="B3486" s="1" t="s">
        <v>392</v>
      </c>
      <c r="C3486" s="2" t="s">
        <v>18</v>
      </c>
      <c r="D3486" s="2" t="s">
        <v>386</v>
      </c>
      <c r="E3486" s="3">
        <v>110</v>
      </c>
      <c r="F3486" s="3">
        <v>20</v>
      </c>
      <c r="G3486" s="4">
        <v>43690</v>
      </c>
      <c r="M3486" s="1"/>
      <c r="N3486" s="1"/>
      <c r="O3486" s="1"/>
      <c r="P3486" s="1"/>
      <c r="Q3486" s="1"/>
      <c r="R3486" s="1"/>
    </row>
    <row r="3487" spans="2:18" x14ac:dyDescent="0.15">
      <c r="B3487" s="1" t="s">
        <v>4354</v>
      </c>
      <c r="C3487" s="2" t="s">
        <v>8</v>
      </c>
      <c r="D3487" s="2" t="s">
        <v>2141</v>
      </c>
      <c r="E3487" s="3">
        <v>220</v>
      </c>
      <c r="F3487" s="3">
        <v>20</v>
      </c>
      <c r="G3487" s="4">
        <v>44287</v>
      </c>
    </row>
    <row r="3488" spans="2:18" x14ac:dyDescent="0.15">
      <c r="B3488" s="1" t="s">
        <v>166</v>
      </c>
      <c r="C3488" s="2" t="s">
        <v>5</v>
      </c>
      <c r="D3488" s="2" t="s">
        <v>161</v>
      </c>
      <c r="E3488" s="3">
        <v>112</v>
      </c>
      <c r="F3488" s="3">
        <v>20</v>
      </c>
      <c r="G3488" s="4">
        <v>43115</v>
      </c>
    </row>
    <row r="3489" spans="2:10" x14ac:dyDescent="0.15">
      <c r="B3489" s="1" t="s">
        <v>143</v>
      </c>
      <c r="C3489" s="2" t="s">
        <v>8</v>
      </c>
      <c r="D3489" s="2" t="s">
        <v>131</v>
      </c>
      <c r="E3489" s="3">
        <v>135</v>
      </c>
      <c r="F3489" s="3">
        <v>20</v>
      </c>
      <c r="G3489" s="4">
        <v>44880</v>
      </c>
    </row>
    <row r="3490" spans="2:10" x14ac:dyDescent="0.15">
      <c r="B3490" s="1" t="s">
        <v>137</v>
      </c>
      <c r="C3490" s="2" t="s">
        <v>18</v>
      </c>
      <c r="D3490" s="2" t="s">
        <v>131</v>
      </c>
      <c r="E3490" s="3">
        <v>73</v>
      </c>
      <c r="F3490" s="3">
        <v>20</v>
      </c>
      <c r="G3490" s="4">
        <v>44565</v>
      </c>
      <c r="J3490" s="1">
        <v>615</v>
      </c>
    </row>
    <row r="3491" spans="2:10" x14ac:dyDescent="0.15">
      <c r="B3491" s="1" t="s">
        <v>136</v>
      </c>
      <c r="C3491" s="2" t="s">
        <v>18</v>
      </c>
      <c r="D3491" s="2" t="s">
        <v>131</v>
      </c>
      <c r="E3491" s="3">
        <v>73</v>
      </c>
      <c r="F3491" s="3">
        <v>20</v>
      </c>
      <c r="G3491" s="4">
        <v>44565</v>
      </c>
    </row>
    <row r="3492" spans="2:10" x14ac:dyDescent="0.15">
      <c r="B3492" s="1" t="s">
        <v>4353</v>
      </c>
      <c r="C3492" s="2" t="s">
        <v>8</v>
      </c>
      <c r="D3492" s="2" t="s">
        <v>2141</v>
      </c>
      <c r="E3492" s="3">
        <v>220</v>
      </c>
      <c r="F3492" s="3">
        <f>140/7</f>
        <v>20</v>
      </c>
      <c r="G3492" s="4">
        <v>44287</v>
      </c>
    </row>
    <row r="3493" spans="2:10" x14ac:dyDescent="0.15">
      <c r="B3493" s="1" t="s">
        <v>4355</v>
      </c>
      <c r="C3493" s="2" t="s">
        <v>8</v>
      </c>
      <c r="D3493" s="2" t="s">
        <v>2141</v>
      </c>
      <c r="E3493" s="3">
        <v>220</v>
      </c>
      <c r="F3493" s="3">
        <f>140/7</f>
        <v>20</v>
      </c>
      <c r="G3493" s="4">
        <v>44287</v>
      </c>
    </row>
    <row r="3494" spans="2:10" x14ac:dyDescent="0.15">
      <c r="B3494" s="1" t="s">
        <v>4356</v>
      </c>
      <c r="C3494" s="2" t="s">
        <v>8</v>
      </c>
      <c r="D3494" s="2" t="s">
        <v>2141</v>
      </c>
      <c r="E3494" s="3">
        <v>220</v>
      </c>
      <c r="F3494" s="3">
        <f>140/7</f>
        <v>20</v>
      </c>
      <c r="G3494" s="4">
        <v>44287</v>
      </c>
    </row>
    <row r="3495" spans="2:10" x14ac:dyDescent="0.15">
      <c r="B3495" s="1" t="s">
        <v>4357</v>
      </c>
      <c r="C3495" s="2" t="s">
        <v>8</v>
      </c>
      <c r="D3495" s="2" t="s">
        <v>2141</v>
      </c>
      <c r="E3495" s="3">
        <v>220</v>
      </c>
      <c r="F3495" s="3">
        <f>140/7</f>
        <v>20</v>
      </c>
      <c r="G3495" s="4">
        <v>44287</v>
      </c>
    </row>
    <row r="3496" spans="2:10" x14ac:dyDescent="0.15">
      <c r="B3496" s="1" t="s">
        <v>4358</v>
      </c>
      <c r="C3496" s="2" t="s">
        <v>8</v>
      </c>
      <c r="D3496" s="2" t="s">
        <v>2141</v>
      </c>
      <c r="E3496" s="3">
        <v>220</v>
      </c>
      <c r="F3496" s="3">
        <f>140/7</f>
        <v>20</v>
      </c>
      <c r="G3496" s="4">
        <v>44287</v>
      </c>
    </row>
    <row r="3497" spans="2:10" x14ac:dyDescent="0.15">
      <c r="B3497" s="1" t="s">
        <v>4362</v>
      </c>
      <c r="C3497" s="2" t="s">
        <v>8</v>
      </c>
      <c r="D3497" s="2" t="s">
        <v>2141</v>
      </c>
      <c r="E3497" s="3">
        <v>200</v>
      </c>
      <c r="F3497" s="3">
        <f>160/8</f>
        <v>20</v>
      </c>
      <c r="G3497" s="4">
        <v>44237</v>
      </c>
    </row>
    <row r="3498" spans="2:10" x14ac:dyDescent="0.15">
      <c r="B3498" s="1" t="s">
        <v>4363</v>
      </c>
      <c r="C3498" s="2" t="s">
        <v>8</v>
      </c>
      <c r="D3498" s="2" t="s">
        <v>2141</v>
      </c>
      <c r="E3498" s="3">
        <v>200</v>
      </c>
      <c r="F3498" s="3">
        <f>160/8</f>
        <v>20</v>
      </c>
      <c r="G3498" s="4">
        <v>44237</v>
      </c>
    </row>
    <row r="3499" spans="2:10" x14ac:dyDescent="0.15">
      <c r="B3499" s="1" t="s">
        <v>4364</v>
      </c>
      <c r="C3499" s="2" t="s">
        <v>8</v>
      </c>
      <c r="D3499" s="2" t="s">
        <v>2141</v>
      </c>
      <c r="E3499" s="3">
        <v>200</v>
      </c>
      <c r="F3499" s="3">
        <f>160/8</f>
        <v>20</v>
      </c>
      <c r="G3499" s="4">
        <v>44237</v>
      </c>
    </row>
    <row r="3500" spans="2:10" x14ac:dyDescent="0.15">
      <c r="B3500" s="1" t="s">
        <v>4365</v>
      </c>
      <c r="C3500" s="2" t="s">
        <v>8</v>
      </c>
      <c r="D3500" s="2" t="s">
        <v>2141</v>
      </c>
      <c r="E3500" s="3">
        <v>200</v>
      </c>
      <c r="F3500" s="3">
        <f>160/8</f>
        <v>20</v>
      </c>
      <c r="G3500" s="4">
        <v>44237</v>
      </c>
    </row>
    <row r="3501" spans="2:10" x14ac:dyDescent="0.15">
      <c r="B3501" s="143" t="s">
        <v>6263</v>
      </c>
      <c r="C3501" s="149" t="s">
        <v>7</v>
      </c>
      <c r="D3501" s="149" t="s">
        <v>2062</v>
      </c>
      <c r="E3501" s="3">
        <v>50</v>
      </c>
      <c r="F3501" s="3">
        <v>20</v>
      </c>
      <c r="G3501" s="4">
        <v>44518</v>
      </c>
    </row>
    <row r="3502" spans="2:10" x14ac:dyDescent="0.15">
      <c r="B3502" s="143" t="s">
        <v>6331</v>
      </c>
      <c r="C3502" s="149" t="s">
        <v>7</v>
      </c>
      <c r="D3502" s="149" t="s">
        <v>6332</v>
      </c>
      <c r="E3502" s="3">
        <v>52.2</v>
      </c>
      <c r="F3502" s="3">
        <v>20</v>
      </c>
      <c r="G3502" s="4">
        <v>44476</v>
      </c>
    </row>
    <row r="3503" spans="2:10" x14ac:dyDescent="0.15">
      <c r="B3503" s="1" t="s">
        <v>947</v>
      </c>
      <c r="C3503" s="2" t="s">
        <v>9</v>
      </c>
      <c r="D3503" s="2" t="s">
        <v>804</v>
      </c>
      <c r="E3503" s="3">
        <v>325</v>
      </c>
      <c r="F3503" s="3">
        <v>18.5</v>
      </c>
      <c r="G3503" s="4">
        <v>44299</v>
      </c>
    </row>
    <row r="3504" spans="2:10" x14ac:dyDescent="0.15">
      <c r="B3504" s="1" t="s">
        <v>35</v>
      </c>
      <c r="C3504" s="2" t="s">
        <v>18</v>
      </c>
      <c r="D3504" s="2" t="s">
        <v>32</v>
      </c>
      <c r="E3504" s="3">
        <v>230</v>
      </c>
      <c r="F3504" s="3">
        <f>110/7</f>
        <v>15.714285714285714</v>
      </c>
      <c r="G3504" s="4">
        <v>43634</v>
      </c>
      <c r="I3504" s="1">
        <v>770</v>
      </c>
      <c r="J3504" s="1">
        <v>770</v>
      </c>
    </row>
    <row r="3505" spans="2:18" x14ac:dyDescent="0.15">
      <c r="B3505" s="1" t="s">
        <v>34</v>
      </c>
      <c r="C3505" s="2" t="s">
        <v>18</v>
      </c>
      <c r="D3505" s="2" t="s">
        <v>32</v>
      </c>
      <c r="E3505" s="3">
        <v>230</v>
      </c>
      <c r="F3505" s="3">
        <f>110/7</f>
        <v>15.714285714285714</v>
      </c>
      <c r="G3505" s="4">
        <v>43634</v>
      </c>
      <c r="I3505" s="1">
        <v>770</v>
      </c>
      <c r="J3505" s="1">
        <v>770</v>
      </c>
    </row>
    <row r="3506" spans="2:18" x14ac:dyDescent="0.15">
      <c r="B3506" s="1" t="s">
        <v>464</v>
      </c>
      <c r="C3506" s="2" t="s">
        <v>7</v>
      </c>
      <c r="D3506" s="2" t="s">
        <v>462</v>
      </c>
      <c r="E3506" s="3">
        <v>25.7</v>
      </c>
      <c r="F3506" s="3">
        <v>15.7</v>
      </c>
      <c r="G3506" s="4">
        <v>43837</v>
      </c>
      <c r="M3506" s="1"/>
      <c r="N3506" s="1"/>
      <c r="O3506" s="1"/>
      <c r="P3506" s="1"/>
      <c r="Q3506" s="1"/>
      <c r="R3506" s="1"/>
    </row>
    <row r="3507" spans="2:18" x14ac:dyDescent="0.15">
      <c r="B3507" s="1" t="s">
        <v>218</v>
      </c>
      <c r="C3507" s="2" t="s">
        <v>18</v>
      </c>
      <c r="D3507" s="2" t="s">
        <v>211</v>
      </c>
      <c r="E3507" s="3">
        <v>140</v>
      </c>
      <c r="F3507" s="3">
        <f t="shared" ref="F3507:F3513" si="4">E3507/9</f>
        <v>15.555555555555555</v>
      </c>
      <c r="G3507" s="4">
        <v>43453</v>
      </c>
    </row>
    <row r="3508" spans="2:18" x14ac:dyDescent="0.15">
      <c r="B3508" s="1" t="s">
        <v>217</v>
      </c>
      <c r="C3508" s="2" t="s">
        <v>18</v>
      </c>
      <c r="D3508" s="2" t="s">
        <v>211</v>
      </c>
      <c r="E3508" s="3">
        <v>140</v>
      </c>
      <c r="F3508" s="3">
        <f t="shared" si="4"/>
        <v>15.555555555555555</v>
      </c>
      <c r="G3508" s="4">
        <v>43453</v>
      </c>
    </row>
    <row r="3509" spans="2:18" x14ac:dyDescent="0.15">
      <c r="B3509" s="1" t="s">
        <v>216</v>
      </c>
      <c r="C3509" s="2" t="s">
        <v>18</v>
      </c>
      <c r="D3509" s="2" t="s">
        <v>211</v>
      </c>
      <c r="E3509" s="3">
        <v>140</v>
      </c>
      <c r="F3509" s="3">
        <f t="shared" si="4"/>
        <v>15.555555555555555</v>
      </c>
      <c r="G3509" s="4">
        <v>43453</v>
      </c>
    </row>
    <row r="3510" spans="2:18" x14ac:dyDescent="0.15">
      <c r="B3510" s="1" t="s">
        <v>215</v>
      </c>
      <c r="C3510" s="2" t="s">
        <v>18</v>
      </c>
      <c r="D3510" s="2" t="s">
        <v>211</v>
      </c>
      <c r="E3510" s="3">
        <v>140</v>
      </c>
      <c r="F3510" s="3">
        <f t="shared" si="4"/>
        <v>15.555555555555555</v>
      </c>
      <c r="G3510" s="4">
        <v>43453</v>
      </c>
    </row>
    <row r="3511" spans="2:18" x14ac:dyDescent="0.15">
      <c r="B3511" s="1" t="s">
        <v>214</v>
      </c>
      <c r="C3511" s="2" t="s">
        <v>18</v>
      </c>
      <c r="D3511" s="2" t="s">
        <v>211</v>
      </c>
      <c r="E3511" s="3">
        <v>140</v>
      </c>
      <c r="F3511" s="3">
        <f t="shared" si="4"/>
        <v>15.555555555555555</v>
      </c>
      <c r="G3511" s="4">
        <v>43453</v>
      </c>
    </row>
    <row r="3512" spans="2:18" x14ac:dyDescent="0.15">
      <c r="B3512" s="1" t="s">
        <v>213</v>
      </c>
      <c r="C3512" s="2" t="s">
        <v>18</v>
      </c>
      <c r="D3512" s="2" t="s">
        <v>211</v>
      </c>
      <c r="E3512" s="3">
        <v>140</v>
      </c>
      <c r="F3512" s="3">
        <f t="shared" si="4"/>
        <v>15.555555555555555</v>
      </c>
      <c r="G3512" s="4">
        <v>43453</v>
      </c>
    </row>
    <row r="3513" spans="2:18" x14ac:dyDescent="0.15">
      <c r="B3513" s="1" t="s">
        <v>212</v>
      </c>
      <c r="C3513" s="2" t="s">
        <v>18</v>
      </c>
      <c r="D3513" s="2" t="s">
        <v>211</v>
      </c>
      <c r="E3513" s="3">
        <v>140</v>
      </c>
      <c r="F3513" s="3">
        <f t="shared" si="4"/>
        <v>15.555555555555555</v>
      </c>
      <c r="G3513" s="4">
        <v>43453</v>
      </c>
    </row>
    <row r="3514" spans="2:18" x14ac:dyDescent="0.15">
      <c r="B3514" s="1" t="s">
        <v>946</v>
      </c>
      <c r="C3514" s="2" t="s">
        <v>5</v>
      </c>
      <c r="D3514" s="2" t="s">
        <v>764</v>
      </c>
      <c r="E3514" s="3">
        <v>125</v>
      </c>
      <c r="F3514" s="3">
        <v>15</v>
      </c>
      <c r="G3514" s="4">
        <v>44852</v>
      </c>
    </row>
    <row r="3515" spans="2:18" x14ac:dyDescent="0.15">
      <c r="B3515" s="1" t="s">
        <v>945</v>
      </c>
      <c r="C3515" s="2" t="s">
        <v>5</v>
      </c>
      <c r="D3515" s="2" t="s">
        <v>764</v>
      </c>
      <c r="E3515" s="3">
        <v>125</v>
      </c>
      <c r="F3515" s="3">
        <v>15</v>
      </c>
      <c r="G3515" s="4">
        <v>44852</v>
      </c>
    </row>
    <row r="3516" spans="2:18" x14ac:dyDescent="0.15">
      <c r="B3516" s="1" t="s">
        <v>944</v>
      </c>
      <c r="C3516" s="2" t="s">
        <v>5</v>
      </c>
      <c r="D3516" s="2" t="s">
        <v>929</v>
      </c>
      <c r="E3516" s="3">
        <v>25</v>
      </c>
      <c r="F3516" s="3">
        <v>15</v>
      </c>
      <c r="G3516" s="4">
        <v>44944</v>
      </c>
    </row>
    <row r="3517" spans="2:18" x14ac:dyDescent="0.15">
      <c r="B3517" s="1" t="s">
        <v>546</v>
      </c>
      <c r="C3517" s="2" t="s">
        <v>7</v>
      </c>
      <c r="D3517" s="2" t="s">
        <v>543</v>
      </c>
      <c r="E3517" s="3">
        <v>40</v>
      </c>
      <c r="F3517" s="3">
        <v>15</v>
      </c>
      <c r="G3517" s="4">
        <v>44811</v>
      </c>
      <c r="M3517" s="1"/>
      <c r="N3517" s="1"/>
      <c r="O3517" s="1"/>
      <c r="P3517" s="1"/>
      <c r="Q3517" s="1"/>
      <c r="R3517" s="1"/>
    </row>
    <row r="3518" spans="2:18" x14ac:dyDescent="0.15">
      <c r="B3518" s="1" t="s">
        <v>541</v>
      </c>
      <c r="C3518" s="2" t="s">
        <v>18</v>
      </c>
      <c r="D3518" s="2" t="s">
        <v>534</v>
      </c>
      <c r="E3518" s="3">
        <v>45</v>
      </c>
      <c r="F3518" s="3">
        <v>15</v>
      </c>
      <c r="G3518" s="4">
        <v>44159</v>
      </c>
      <c r="M3518" s="1"/>
      <c r="N3518" s="1"/>
      <c r="O3518" s="1"/>
      <c r="P3518" s="1"/>
      <c r="Q3518" s="1"/>
      <c r="R3518" s="1"/>
    </row>
    <row r="3519" spans="2:18" x14ac:dyDescent="0.15">
      <c r="B3519" s="1" t="s">
        <v>456</v>
      </c>
      <c r="C3519" s="2" t="s">
        <v>7</v>
      </c>
      <c r="D3519" s="2" t="s">
        <v>455</v>
      </c>
      <c r="E3519" s="3">
        <v>25</v>
      </c>
      <c r="F3519" s="3">
        <v>15</v>
      </c>
      <c r="G3519" s="4">
        <v>43972</v>
      </c>
      <c r="M3519" s="1"/>
      <c r="N3519" s="1"/>
      <c r="O3519" s="1"/>
      <c r="P3519" s="1"/>
      <c r="Q3519" s="1"/>
      <c r="R3519" s="1"/>
    </row>
    <row r="3520" spans="2:18" x14ac:dyDescent="0.15">
      <c r="B3520" s="1" t="s">
        <v>408</v>
      </c>
      <c r="C3520" s="2" t="s">
        <v>18</v>
      </c>
      <c r="D3520" s="2" t="s">
        <v>404</v>
      </c>
      <c r="E3520" s="3">
        <v>90</v>
      </c>
      <c r="F3520" s="3">
        <v>15</v>
      </c>
      <c r="G3520" s="4">
        <v>45090</v>
      </c>
      <c r="M3520" s="1"/>
      <c r="N3520" s="1"/>
      <c r="O3520" s="1"/>
      <c r="P3520" s="1"/>
      <c r="Q3520" s="1"/>
      <c r="R3520" s="1"/>
    </row>
    <row r="3521" spans="2:10" x14ac:dyDescent="0.15">
      <c r="B3521" s="1" t="s">
        <v>60</v>
      </c>
      <c r="C3521" s="2" t="s">
        <v>18</v>
      </c>
      <c r="D3521" s="2" t="s">
        <v>57</v>
      </c>
      <c r="E3521" s="3">
        <v>100</v>
      </c>
      <c r="F3521" s="3">
        <f>75/5</f>
        <v>15</v>
      </c>
      <c r="G3521" s="4">
        <v>44650</v>
      </c>
    </row>
    <row r="3522" spans="2:10" x14ac:dyDescent="0.15">
      <c r="B3522" s="1" t="s">
        <v>59</v>
      </c>
      <c r="C3522" s="2" t="s">
        <v>18</v>
      </c>
      <c r="D3522" s="2" t="s">
        <v>57</v>
      </c>
      <c r="E3522" s="3">
        <v>100</v>
      </c>
      <c r="F3522" s="3">
        <f>75/5</f>
        <v>15</v>
      </c>
      <c r="G3522" s="4">
        <v>44650</v>
      </c>
    </row>
    <row r="3523" spans="2:10" x14ac:dyDescent="0.15">
      <c r="B3523" s="1" t="s">
        <v>42</v>
      </c>
      <c r="C3523" s="2" t="s">
        <v>18</v>
      </c>
      <c r="D3523" s="2" t="s">
        <v>39</v>
      </c>
      <c r="E3523" s="3">
        <v>100</v>
      </c>
      <c r="F3523" s="3">
        <v>15</v>
      </c>
      <c r="G3523" s="4">
        <v>44025</v>
      </c>
      <c r="J3523" s="1">
        <v>2000</v>
      </c>
    </row>
    <row r="3524" spans="2:10" x14ac:dyDescent="0.15">
      <c r="B3524" s="1" t="s">
        <v>4392</v>
      </c>
      <c r="C3524" s="2" t="s">
        <v>8</v>
      </c>
      <c r="D3524" s="2" t="s">
        <v>3962</v>
      </c>
      <c r="E3524" s="3">
        <v>90</v>
      </c>
      <c r="F3524" s="3">
        <f>45/3</f>
        <v>15</v>
      </c>
      <c r="G3524" s="4">
        <v>40354</v>
      </c>
      <c r="I3524" s="1">
        <v>645</v>
      </c>
      <c r="J3524" s="1">
        <v>32500</v>
      </c>
    </row>
    <row r="3525" spans="2:10" x14ac:dyDescent="0.15">
      <c r="B3525" s="99" t="s">
        <v>5281</v>
      </c>
      <c r="C3525" s="100" t="s">
        <v>18</v>
      </c>
      <c r="D3525" s="100" t="s">
        <v>5282</v>
      </c>
      <c r="E3525" s="3">
        <v>115</v>
      </c>
      <c r="F3525" s="3">
        <v>15</v>
      </c>
      <c r="G3525" s="4">
        <v>44469</v>
      </c>
    </row>
    <row r="3526" spans="2:10" x14ac:dyDescent="0.15">
      <c r="B3526" s="58" t="s">
        <v>4884</v>
      </c>
      <c r="C3526" s="59" t="s">
        <v>18</v>
      </c>
      <c r="D3526" s="59" t="s">
        <v>2124</v>
      </c>
      <c r="E3526" s="3">
        <v>300</v>
      </c>
      <c r="F3526" s="3">
        <f t="shared" ref="F3526:F3538" si="5">200/14</f>
        <v>14.285714285714286</v>
      </c>
      <c r="G3526" s="4">
        <v>44300</v>
      </c>
      <c r="I3526" s="1">
        <v>700</v>
      </c>
      <c r="J3526" s="1">
        <v>700</v>
      </c>
    </row>
    <row r="3527" spans="2:10" x14ac:dyDescent="0.15">
      <c r="B3527" s="58"/>
      <c r="C3527" s="261" t="s">
        <v>5</v>
      </c>
      <c r="D3527" s="261" t="s">
        <v>2013</v>
      </c>
      <c r="E3527" s="3">
        <v>11.5</v>
      </c>
      <c r="F3527" s="3">
        <f>6/3</f>
        <v>2</v>
      </c>
      <c r="G3527" s="4">
        <v>45063</v>
      </c>
    </row>
    <row r="3528" spans="2:10" x14ac:dyDescent="0.15">
      <c r="B3528" s="58"/>
      <c r="C3528" s="59"/>
      <c r="D3528" s="59"/>
      <c r="G3528" s="4"/>
    </row>
    <row r="3529" spans="2:10" x14ac:dyDescent="0.15">
      <c r="B3529" s="58"/>
      <c r="C3529" s="59"/>
      <c r="D3529" s="59"/>
      <c r="G3529" s="4"/>
    </row>
    <row r="3530" spans="2:10" x14ac:dyDescent="0.15">
      <c r="B3530" s="58" t="s">
        <v>4885</v>
      </c>
      <c r="C3530" s="59" t="s">
        <v>18</v>
      </c>
      <c r="D3530" s="59" t="s">
        <v>2124</v>
      </c>
      <c r="E3530" s="3">
        <v>300</v>
      </c>
      <c r="F3530" s="3">
        <f t="shared" si="5"/>
        <v>14.285714285714286</v>
      </c>
      <c r="G3530" s="4">
        <v>44300</v>
      </c>
      <c r="I3530" s="1">
        <v>700</v>
      </c>
      <c r="J3530" s="1">
        <v>700</v>
      </c>
    </row>
    <row r="3531" spans="2:10" x14ac:dyDescent="0.15">
      <c r="B3531" s="58" t="s">
        <v>4886</v>
      </c>
      <c r="C3531" s="59" t="s">
        <v>18</v>
      </c>
      <c r="D3531" s="59" t="s">
        <v>2124</v>
      </c>
      <c r="E3531" s="3">
        <v>300</v>
      </c>
      <c r="F3531" s="3">
        <f t="shared" si="5"/>
        <v>14.285714285714286</v>
      </c>
      <c r="G3531" s="4">
        <v>44300</v>
      </c>
      <c r="I3531" s="1">
        <v>700</v>
      </c>
      <c r="J3531" s="1">
        <v>700</v>
      </c>
    </row>
    <row r="3532" spans="2:10" x14ac:dyDescent="0.15">
      <c r="B3532" s="58" t="s">
        <v>2286</v>
      </c>
      <c r="C3532" s="59" t="s">
        <v>18</v>
      </c>
      <c r="D3532" s="59" t="s">
        <v>2124</v>
      </c>
      <c r="E3532" s="3">
        <v>300</v>
      </c>
      <c r="F3532" s="3">
        <f t="shared" si="5"/>
        <v>14.285714285714286</v>
      </c>
      <c r="G3532" s="4">
        <v>44300</v>
      </c>
      <c r="I3532" s="1">
        <v>700</v>
      </c>
      <c r="J3532" s="1">
        <v>700</v>
      </c>
    </row>
    <row r="3533" spans="2:10" x14ac:dyDescent="0.15">
      <c r="B3533" s="58" t="s">
        <v>4887</v>
      </c>
      <c r="C3533" s="59" t="s">
        <v>18</v>
      </c>
      <c r="D3533" s="59" t="s">
        <v>2124</v>
      </c>
      <c r="E3533" s="3">
        <v>300</v>
      </c>
      <c r="F3533" s="3">
        <f t="shared" si="5"/>
        <v>14.285714285714286</v>
      </c>
      <c r="G3533" s="4">
        <v>44300</v>
      </c>
      <c r="I3533" s="1">
        <v>700</v>
      </c>
      <c r="J3533" s="1">
        <v>700</v>
      </c>
    </row>
    <row r="3534" spans="2:10" x14ac:dyDescent="0.15">
      <c r="B3534" s="58" t="s">
        <v>4888</v>
      </c>
      <c r="C3534" s="59" t="s">
        <v>18</v>
      </c>
      <c r="D3534" s="59" t="s">
        <v>2124</v>
      </c>
      <c r="E3534" s="3">
        <v>300</v>
      </c>
      <c r="F3534" s="3">
        <f t="shared" si="5"/>
        <v>14.285714285714286</v>
      </c>
      <c r="G3534" s="4">
        <v>44300</v>
      </c>
      <c r="I3534" s="1">
        <v>700</v>
      </c>
      <c r="J3534" s="1">
        <v>700</v>
      </c>
    </row>
    <row r="3535" spans="2:10" x14ac:dyDescent="0.15">
      <c r="B3535" s="58" t="s">
        <v>4889</v>
      </c>
      <c r="C3535" s="59" t="s">
        <v>18</v>
      </c>
      <c r="D3535" s="59" t="s">
        <v>2124</v>
      </c>
      <c r="E3535" s="3">
        <v>300</v>
      </c>
      <c r="F3535" s="3">
        <f t="shared" si="5"/>
        <v>14.285714285714286</v>
      </c>
      <c r="G3535" s="4">
        <v>44300</v>
      </c>
      <c r="I3535" s="1">
        <v>700</v>
      </c>
      <c r="J3535" s="1">
        <v>700</v>
      </c>
    </row>
    <row r="3536" spans="2:10" x14ac:dyDescent="0.15">
      <c r="B3536" s="58" t="s">
        <v>4890</v>
      </c>
      <c r="C3536" s="59" t="s">
        <v>18</v>
      </c>
      <c r="D3536" s="59" t="s">
        <v>2124</v>
      </c>
      <c r="E3536" s="3">
        <v>300</v>
      </c>
      <c r="F3536" s="3">
        <f t="shared" si="5"/>
        <v>14.285714285714286</v>
      </c>
      <c r="G3536" s="4">
        <v>44300</v>
      </c>
      <c r="I3536" s="1">
        <v>700</v>
      </c>
      <c r="J3536" s="1">
        <v>700</v>
      </c>
    </row>
    <row r="3537" spans="2:18" x14ac:dyDescent="0.15">
      <c r="B3537" s="58" t="s">
        <v>4891</v>
      </c>
      <c r="C3537" s="59" t="s">
        <v>18</v>
      </c>
      <c r="D3537" s="59" t="s">
        <v>2124</v>
      </c>
      <c r="E3537" s="3">
        <v>300</v>
      </c>
      <c r="F3537" s="3">
        <f t="shared" si="5"/>
        <v>14.285714285714286</v>
      </c>
      <c r="G3537" s="4">
        <v>44300</v>
      </c>
      <c r="I3537" s="1">
        <v>700</v>
      </c>
      <c r="J3537" s="1">
        <v>700</v>
      </c>
    </row>
    <row r="3538" spans="2:18" x14ac:dyDescent="0.15">
      <c r="B3538" s="58" t="s">
        <v>4892</v>
      </c>
      <c r="C3538" s="59" t="s">
        <v>18</v>
      </c>
      <c r="D3538" s="59" t="s">
        <v>2124</v>
      </c>
      <c r="E3538" s="3">
        <v>300</v>
      </c>
      <c r="F3538" s="3">
        <f t="shared" si="5"/>
        <v>14.285714285714286</v>
      </c>
      <c r="G3538" s="4">
        <v>44300</v>
      </c>
      <c r="I3538" s="1">
        <v>700</v>
      </c>
      <c r="J3538" s="1">
        <v>700</v>
      </c>
    </row>
    <row r="3539" spans="2:18" x14ac:dyDescent="0.15">
      <c r="B3539" s="1" t="s">
        <v>51</v>
      </c>
      <c r="C3539" s="2" t="s">
        <v>8</v>
      </c>
      <c r="D3539" s="2" t="s">
        <v>47</v>
      </c>
      <c r="E3539" s="3">
        <v>145</v>
      </c>
      <c r="F3539" s="3">
        <f>85/6</f>
        <v>14.166666666666666</v>
      </c>
      <c r="G3539" s="4">
        <v>43228</v>
      </c>
      <c r="I3539" s="1">
        <v>855</v>
      </c>
      <c r="J3539" s="1">
        <v>4100</v>
      </c>
    </row>
    <row r="3540" spans="2:18" x14ac:dyDescent="0.15">
      <c r="B3540" s="1" t="s">
        <v>50</v>
      </c>
      <c r="C3540" s="2" t="s">
        <v>8</v>
      </c>
      <c r="D3540" s="2" t="s">
        <v>47</v>
      </c>
      <c r="E3540" s="3">
        <v>145</v>
      </c>
      <c r="F3540" s="3">
        <f>85/6</f>
        <v>14.166666666666666</v>
      </c>
      <c r="G3540" s="4">
        <v>43228</v>
      </c>
      <c r="I3540" s="1">
        <v>855</v>
      </c>
      <c r="J3540" s="1">
        <v>4100</v>
      </c>
    </row>
    <row r="3541" spans="2:18" x14ac:dyDescent="0.15">
      <c r="B3541" s="1" t="s">
        <v>943</v>
      </c>
      <c r="C3541" s="2" t="s">
        <v>5</v>
      </c>
      <c r="D3541" s="2" t="s">
        <v>874</v>
      </c>
      <c r="E3541" s="3">
        <v>30</v>
      </c>
      <c r="F3541" s="3">
        <v>14</v>
      </c>
      <c r="G3541" s="4">
        <v>44522</v>
      </c>
    </row>
    <row r="3542" spans="2:18" x14ac:dyDescent="0.15">
      <c r="B3542" s="1" t="s">
        <v>495</v>
      </c>
      <c r="C3542" s="2" t="s">
        <v>9</v>
      </c>
      <c r="D3542" s="2" t="s">
        <v>490</v>
      </c>
      <c r="E3542" s="3">
        <v>206</v>
      </c>
      <c r="F3542" s="3">
        <v>14</v>
      </c>
      <c r="G3542" s="4">
        <v>43725</v>
      </c>
      <c r="M3542" s="1"/>
      <c r="N3542" s="1"/>
      <c r="O3542" s="1"/>
      <c r="P3542" s="1"/>
      <c r="Q3542" s="1"/>
      <c r="R3542" s="1"/>
    </row>
    <row r="3543" spans="2:18" x14ac:dyDescent="0.15">
      <c r="B3543" s="1" t="s">
        <v>493</v>
      </c>
      <c r="C3543" s="2" t="s">
        <v>9</v>
      </c>
      <c r="D3543" s="2" t="s">
        <v>490</v>
      </c>
      <c r="E3543" s="3">
        <v>206</v>
      </c>
      <c r="F3543" s="3">
        <v>14</v>
      </c>
      <c r="G3543" s="4">
        <v>43725</v>
      </c>
      <c r="M3543" s="1"/>
      <c r="N3543" s="1"/>
      <c r="O3543" s="1"/>
      <c r="P3543" s="1"/>
      <c r="Q3543" s="1"/>
      <c r="R3543" s="1"/>
    </row>
    <row r="3544" spans="2:18" x14ac:dyDescent="0.15">
      <c r="B3544" s="1" t="s">
        <v>311</v>
      </c>
      <c r="C3544" s="2" t="s">
        <v>18</v>
      </c>
      <c r="D3544" s="2" t="s">
        <v>310</v>
      </c>
      <c r="E3544" s="3">
        <v>110</v>
      </c>
      <c r="F3544" s="3">
        <v>14</v>
      </c>
      <c r="G3544" s="4">
        <v>44369</v>
      </c>
      <c r="M3544" s="1"/>
      <c r="N3544" s="1"/>
      <c r="O3544" s="1"/>
      <c r="P3544" s="1"/>
      <c r="Q3544" s="1"/>
      <c r="R3544" s="1"/>
    </row>
    <row r="3545" spans="2:18" x14ac:dyDescent="0.15">
      <c r="B3545" s="1" t="s">
        <v>173</v>
      </c>
      <c r="C3545" s="2" t="s">
        <v>18</v>
      </c>
      <c r="D3545" s="2" t="s">
        <v>161</v>
      </c>
      <c r="E3545" s="3">
        <v>100</v>
      </c>
      <c r="F3545" s="3">
        <v>14</v>
      </c>
      <c r="G3545" s="4">
        <v>44235</v>
      </c>
      <c r="I3545" s="1">
        <v>5200</v>
      </c>
    </row>
    <row r="3546" spans="2:18" x14ac:dyDescent="0.15">
      <c r="B3546" s="1" t="s">
        <v>77</v>
      </c>
      <c r="C3546" s="2" t="s">
        <v>8</v>
      </c>
      <c r="D3546" s="2" t="s">
        <v>74</v>
      </c>
      <c r="E3546" s="3">
        <v>81</v>
      </c>
      <c r="F3546" s="3">
        <f>+E3546/6</f>
        <v>13.5</v>
      </c>
      <c r="G3546" s="4">
        <v>43418</v>
      </c>
      <c r="I3546" s="1">
        <v>1700</v>
      </c>
      <c r="J3546" s="1">
        <v>3800</v>
      </c>
      <c r="K3546" s="5">
        <f>(E3546/(I3546+E3546))*J3546*(F3546/E3546)</f>
        <v>28.804042672655811</v>
      </c>
    </row>
    <row r="3547" spans="2:18" x14ac:dyDescent="0.15">
      <c r="B3547" s="1" t="s">
        <v>941</v>
      </c>
      <c r="C3547" s="2" t="s">
        <v>18</v>
      </c>
      <c r="D3547" s="2" t="s">
        <v>399</v>
      </c>
      <c r="E3547" s="3">
        <v>13</v>
      </c>
      <c r="F3547" s="3">
        <v>13</v>
      </c>
      <c r="G3547" s="4">
        <v>45090</v>
      </c>
    </row>
    <row r="3548" spans="2:18" x14ac:dyDescent="0.15">
      <c r="B3548" s="1" t="s">
        <v>939</v>
      </c>
      <c r="C3548" s="2" t="s">
        <v>4</v>
      </c>
      <c r="D3548" s="2" t="s">
        <v>937</v>
      </c>
      <c r="E3548" s="3">
        <v>100</v>
      </c>
      <c r="F3548" s="3">
        <v>12.5</v>
      </c>
      <c r="G3548" s="4">
        <v>44846</v>
      </c>
    </row>
    <row r="3549" spans="2:18" x14ac:dyDescent="0.15">
      <c r="B3549" s="1" t="s">
        <v>938</v>
      </c>
      <c r="C3549" s="2" t="s">
        <v>4</v>
      </c>
      <c r="D3549" s="2" t="s">
        <v>937</v>
      </c>
      <c r="E3549" s="3">
        <v>100</v>
      </c>
      <c r="F3549" s="3">
        <v>12.5</v>
      </c>
      <c r="G3549" s="4">
        <v>44846</v>
      </c>
    </row>
    <row r="3550" spans="2:18" x14ac:dyDescent="0.15">
      <c r="B3550" s="1" t="s">
        <v>532</v>
      </c>
      <c r="C3550" s="2" t="s">
        <v>8</v>
      </c>
      <c r="D3550" s="2" t="s">
        <v>521</v>
      </c>
      <c r="E3550" s="3">
        <v>100</v>
      </c>
      <c r="F3550" s="3">
        <f>50/4</f>
        <v>12.5</v>
      </c>
      <c r="G3550" s="4">
        <v>44419</v>
      </c>
      <c r="M3550" s="1"/>
      <c r="N3550" s="1"/>
      <c r="O3550" s="1"/>
      <c r="P3550" s="1"/>
      <c r="Q3550" s="1"/>
      <c r="R3550" s="1"/>
    </row>
    <row r="3551" spans="2:18" x14ac:dyDescent="0.15">
      <c r="B3551" s="1" t="s">
        <v>368</v>
      </c>
      <c r="C3551" s="2" t="s">
        <v>5</v>
      </c>
      <c r="D3551" s="2" t="s">
        <v>363</v>
      </c>
      <c r="E3551" s="3">
        <v>50</v>
      </c>
      <c r="F3551" s="3">
        <f>25/2</f>
        <v>12.5</v>
      </c>
      <c r="G3551" s="4">
        <v>43039</v>
      </c>
      <c r="M3551" s="1"/>
      <c r="N3551" s="1"/>
      <c r="O3551" s="1"/>
      <c r="P3551" s="1"/>
      <c r="Q3551" s="1"/>
      <c r="R3551" s="1"/>
    </row>
    <row r="3552" spans="2:18" x14ac:dyDescent="0.15">
      <c r="B3552" s="1" t="s">
        <v>367</v>
      </c>
      <c r="C3552" s="2" t="s">
        <v>5</v>
      </c>
      <c r="D3552" s="2" t="s">
        <v>363</v>
      </c>
      <c r="E3552" s="3">
        <v>50</v>
      </c>
      <c r="F3552" s="3">
        <f>25/2</f>
        <v>12.5</v>
      </c>
      <c r="G3552" s="4">
        <v>43039</v>
      </c>
      <c r="M3552" s="1"/>
      <c r="N3552" s="1"/>
      <c r="O3552" s="1"/>
      <c r="P3552" s="1"/>
      <c r="Q3552" s="1"/>
      <c r="R3552" s="1"/>
    </row>
    <row r="3553" spans="2:18" x14ac:dyDescent="0.15">
      <c r="B3553" s="1" t="s">
        <v>4424</v>
      </c>
      <c r="C3553" s="2" t="s">
        <v>7</v>
      </c>
      <c r="D3553" s="2" t="s">
        <v>2136</v>
      </c>
      <c r="E3553" s="3">
        <f>176</f>
        <v>176</v>
      </c>
      <c r="F3553" s="3">
        <f>150/12</f>
        <v>12.5</v>
      </c>
      <c r="G3553" s="4">
        <v>44578</v>
      </c>
    </row>
    <row r="3554" spans="2:18" x14ac:dyDescent="0.15">
      <c r="B3554" s="1" t="s">
        <v>4425</v>
      </c>
      <c r="C3554" s="2" t="s">
        <v>7</v>
      </c>
      <c r="D3554" s="2" t="s">
        <v>2136</v>
      </c>
      <c r="E3554" s="3">
        <f>176</f>
        <v>176</v>
      </c>
      <c r="F3554" s="3">
        <f>150/12</f>
        <v>12.5</v>
      </c>
      <c r="G3554" s="4">
        <v>44578</v>
      </c>
    </row>
    <row r="3555" spans="2:18" x14ac:dyDescent="0.15">
      <c r="B3555" s="1" t="s">
        <v>4426</v>
      </c>
      <c r="C3555" s="2" t="s">
        <v>7</v>
      </c>
      <c r="D3555" s="2" t="s">
        <v>2136</v>
      </c>
      <c r="E3555" s="3">
        <f>176</f>
        <v>176</v>
      </c>
      <c r="F3555" s="3">
        <f>150/12</f>
        <v>12.5</v>
      </c>
      <c r="G3555" s="4">
        <v>44578</v>
      </c>
    </row>
    <row r="3556" spans="2:18" x14ac:dyDescent="0.15">
      <c r="B3556" s="1" t="s">
        <v>4428</v>
      </c>
      <c r="C3556" s="2" t="s">
        <v>7</v>
      </c>
      <c r="D3556" s="2" t="s">
        <v>2136</v>
      </c>
      <c r="E3556" s="3">
        <f>176</f>
        <v>176</v>
      </c>
      <c r="F3556" s="3">
        <f>150/12</f>
        <v>12.5</v>
      </c>
      <c r="G3556" s="4">
        <v>44578</v>
      </c>
    </row>
    <row r="3557" spans="2:18" x14ac:dyDescent="0.15">
      <c r="B3557" s="1" t="s">
        <v>354</v>
      </c>
      <c r="C3557" s="2" t="s">
        <v>7</v>
      </c>
      <c r="D3557" s="2" t="s">
        <v>351</v>
      </c>
      <c r="E3557" s="3">
        <v>22</v>
      </c>
      <c r="F3557" s="3">
        <v>12</v>
      </c>
      <c r="G3557" s="4">
        <v>44861</v>
      </c>
      <c r="M3557" s="1"/>
      <c r="N3557" s="1"/>
      <c r="O3557" s="1"/>
      <c r="P3557" s="1"/>
      <c r="Q3557" s="1"/>
      <c r="R3557" s="1"/>
    </row>
    <row r="3558" spans="2:18" x14ac:dyDescent="0.15">
      <c r="B3558" s="1" t="s">
        <v>317</v>
      </c>
      <c r="C3558" s="2" t="s">
        <v>5</v>
      </c>
      <c r="D3558" s="2" t="s">
        <v>313</v>
      </c>
      <c r="E3558" s="3">
        <v>57</v>
      </c>
      <c r="F3558" s="3">
        <v>12</v>
      </c>
      <c r="G3558" s="4">
        <v>44508</v>
      </c>
      <c r="M3558" s="1"/>
      <c r="N3558" s="1"/>
      <c r="O3558" s="1"/>
      <c r="P3558" s="1"/>
      <c r="Q3558" s="1"/>
      <c r="R3558" s="1"/>
    </row>
    <row r="3559" spans="2:18" x14ac:dyDescent="0.15">
      <c r="B3559" s="1" t="s">
        <v>4493</v>
      </c>
      <c r="C3559" s="2" t="s">
        <v>18</v>
      </c>
      <c r="D3559" s="2" t="s">
        <v>2134</v>
      </c>
      <c r="E3559" s="3">
        <v>200</v>
      </c>
      <c r="F3559" s="3">
        <v>12</v>
      </c>
      <c r="G3559" s="4">
        <v>44557</v>
      </c>
      <c r="I3559" s="1">
        <v>1300</v>
      </c>
      <c r="J3559" s="1">
        <v>1300</v>
      </c>
    </row>
    <row r="3560" spans="2:18" x14ac:dyDescent="0.15">
      <c r="B3560" s="1" t="s">
        <v>4494</v>
      </c>
      <c r="C3560" s="2" t="s">
        <v>18</v>
      </c>
      <c r="D3560" s="2" t="s">
        <v>2134</v>
      </c>
      <c r="E3560" s="3">
        <v>200</v>
      </c>
      <c r="F3560" s="3">
        <v>12</v>
      </c>
      <c r="G3560" s="4">
        <v>44557</v>
      </c>
      <c r="I3560" s="1">
        <v>1300</v>
      </c>
      <c r="J3560" s="1">
        <v>1300</v>
      </c>
    </row>
    <row r="3561" spans="2:18" x14ac:dyDescent="0.15">
      <c r="B3561" s="1" t="s">
        <v>4495</v>
      </c>
      <c r="C3561" s="2" t="s">
        <v>18</v>
      </c>
      <c r="D3561" s="2" t="s">
        <v>2134</v>
      </c>
      <c r="E3561" s="3">
        <v>200</v>
      </c>
      <c r="F3561" s="3">
        <v>12</v>
      </c>
      <c r="G3561" s="4">
        <v>44557</v>
      </c>
      <c r="I3561" s="1">
        <v>1300</v>
      </c>
      <c r="J3561" s="1">
        <v>1300</v>
      </c>
    </row>
    <row r="3562" spans="2:18" x14ac:dyDescent="0.15">
      <c r="B3562" s="1" t="s">
        <v>4496</v>
      </c>
      <c r="C3562" s="2" t="s">
        <v>18</v>
      </c>
      <c r="D3562" s="2" t="s">
        <v>2134</v>
      </c>
      <c r="E3562" s="3">
        <v>200</v>
      </c>
      <c r="F3562" s="3">
        <v>12</v>
      </c>
      <c r="G3562" s="4">
        <v>44557</v>
      </c>
      <c r="I3562" s="1">
        <v>1300</v>
      </c>
      <c r="J3562" s="1">
        <v>1300</v>
      </c>
    </row>
    <row r="3563" spans="2:18" x14ac:dyDescent="0.15">
      <c r="B3563" s="1" t="s">
        <v>4498</v>
      </c>
      <c r="C3563" s="2" t="s">
        <v>18</v>
      </c>
      <c r="D3563" s="2" t="s">
        <v>2134</v>
      </c>
      <c r="E3563" s="3">
        <v>200</v>
      </c>
      <c r="F3563" s="3">
        <v>12</v>
      </c>
      <c r="G3563" s="4">
        <v>44557</v>
      </c>
      <c r="I3563" s="1">
        <v>1300</v>
      </c>
      <c r="J3563" s="1">
        <v>1300</v>
      </c>
    </row>
    <row r="3564" spans="2:18" x14ac:dyDescent="0.15">
      <c r="B3564" s="1" t="s">
        <v>184</v>
      </c>
      <c r="C3564" s="2" t="s">
        <v>8</v>
      </c>
      <c r="D3564" s="2" t="s">
        <v>176</v>
      </c>
      <c r="E3564" s="3">
        <v>130</v>
      </c>
      <c r="F3564" s="3">
        <f>104/9</f>
        <v>11.555555555555555</v>
      </c>
      <c r="G3564" s="4">
        <v>42080</v>
      </c>
      <c r="I3564" s="1">
        <v>570</v>
      </c>
    </row>
    <row r="3565" spans="2:18" x14ac:dyDescent="0.15">
      <c r="B3565" s="1" t="s">
        <v>183</v>
      </c>
      <c r="C3565" s="2" t="s">
        <v>8</v>
      </c>
      <c r="D3565" s="2" t="s">
        <v>176</v>
      </c>
      <c r="E3565" s="3">
        <v>130</v>
      </c>
      <c r="F3565" s="3">
        <f>104/9</f>
        <v>11.555555555555555</v>
      </c>
      <c r="G3565" s="4">
        <v>42080</v>
      </c>
      <c r="I3565" s="1">
        <v>570</v>
      </c>
    </row>
    <row r="3566" spans="2:18" x14ac:dyDescent="0.15">
      <c r="B3566" s="1" t="s">
        <v>182</v>
      </c>
      <c r="C3566" s="2" t="s">
        <v>8</v>
      </c>
      <c r="D3566" s="2" t="s">
        <v>176</v>
      </c>
      <c r="E3566" s="3">
        <v>130</v>
      </c>
      <c r="F3566" s="3">
        <f>104/9</f>
        <v>11.555555555555555</v>
      </c>
      <c r="G3566" s="4">
        <v>42080</v>
      </c>
      <c r="I3566" s="1">
        <v>570</v>
      </c>
    </row>
    <row r="3567" spans="2:18" x14ac:dyDescent="0.15">
      <c r="B3567" s="1" t="s">
        <v>372</v>
      </c>
      <c r="C3567" s="2" t="s">
        <v>7</v>
      </c>
      <c r="D3567" s="2" t="s">
        <v>363</v>
      </c>
      <c r="E3567" s="3">
        <v>120</v>
      </c>
      <c r="F3567" s="3">
        <f t="shared" ref="F3567:F3572" si="6">90/8</f>
        <v>11.25</v>
      </c>
      <c r="G3567" s="4">
        <v>44602</v>
      </c>
      <c r="M3567" s="1"/>
      <c r="N3567" s="1"/>
      <c r="O3567" s="1"/>
      <c r="P3567" s="1"/>
      <c r="Q3567" s="1"/>
      <c r="R3567" s="1"/>
    </row>
    <row r="3568" spans="2:18" x14ac:dyDescent="0.15">
      <c r="B3568" s="1" t="s">
        <v>371</v>
      </c>
      <c r="C3568" s="2" t="s">
        <v>7</v>
      </c>
      <c r="D3568" s="2" t="s">
        <v>363</v>
      </c>
      <c r="E3568" s="3">
        <v>120</v>
      </c>
      <c r="F3568" s="3">
        <f t="shared" si="6"/>
        <v>11.25</v>
      </c>
      <c r="G3568" s="4">
        <v>44602</v>
      </c>
      <c r="M3568" s="1"/>
      <c r="N3568" s="1"/>
      <c r="O3568" s="1"/>
      <c r="P3568" s="1"/>
      <c r="Q3568" s="1"/>
      <c r="R3568" s="1"/>
    </row>
    <row r="3569" spans="2:18" x14ac:dyDescent="0.15">
      <c r="B3569" s="1" t="s">
        <v>370</v>
      </c>
      <c r="C3569" s="2" t="s">
        <v>7</v>
      </c>
      <c r="D3569" s="2" t="s">
        <v>363</v>
      </c>
      <c r="E3569" s="3">
        <v>120</v>
      </c>
      <c r="F3569" s="3">
        <f t="shared" si="6"/>
        <v>11.25</v>
      </c>
      <c r="G3569" s="4">
        <v>44602</v>
      </c>
      <c r="M3569" s="1"/>
      <c r="N3569" s="1"/>
      <c r="O3569" s="1"/>
      <c r="P3569" s="1"/>
      <c r="Q3569" s="1"/>
      <c r="R3569" s="1"/>
    </row>
    <row r="3570" spans="2:18" x14ac:dyDescent="0.15">
      <c r="B3570" s="1" t="s">
        <v>366</v>
      </c>
      <c r="C3570" s="2" t="s">
        <v>7</v>
      </c>
      <c r="D3570" s="2" t="s">
        <v>363</v>
      </c>
      <c r="E3570" s="3">
        <v>120</v>
      </c>
      <c r="F3570" s="3">
        <f t="shared" si="6"/>
        <v>11.25</v>
      </c>
      <c r="G3570" s="4">
        <v>44602</v>
      </c>
      <c r="M3570" s="1"/>
      <c r="N3570" s="1"/>
      <c r="O3570" s="1"/>
      <c r="P3570" s="1"/>
      <c r="Q3570" s="1"/>
      <c r="R3570" s="1"/>
    </row>
    <row r="3571" spans="2:18" x14ac:dyDescent="0.15">
      <c r="B3571" s="1" t="s">
        <v>365</v>
      </c>
      <c r="C3571" s="2" t="s">
        <v>7</v>
      </c>
      <c r="D3571" s="2" t="s">
        <v>363</v>
      </c>
      <c r="E3571" s="3">
        <v>120</v>
      </c>
      <c r="F3571" s="3">
        <f t="shared" si="6"/>
        <v>11.25</v>
      </c>
      <c r="G3571" s="4">
        <v>44602</v>
      </c>
      <c r="M3571" s="1"/>
      <c r="N3571" s="1"/>
      <c r="O3571" s="1"/>
      <c r="P3571" s="1"/>
      <c r="Q3571" s="1"/>
      <c r="R3571" s="1"/>
    </row>
    <row r="3572" spans="2:18" x14ac:dyDescent="0.15">
      <c r="B3572" s="1" t="s">
        <v>364</v>
      </c>
      <c r="C3572" s="2" t="s">
        <v>7</v>
      </c>
      <c r="D3572" s="2" t="s">
        <v>363</v>
      </c>
      <c r="E3572" s="3">
        <v>120</v>
      </c>
      <c r="F3572" s="3">
        <f t="shared" si="6"/>
        <v>11.25</v>
      </c>
      <c r="G3572" s="4">
        <v>44602</v>
      </c>
      <c r="M3572" s="1"/>
      <c r="N3572" s="1"/>
      <c r="O3572" s="1"/>
      <c r="P3572" s="1"/>
      <c r="Q3572" s="1"/>
      <c r="R3572" s="1"/>
    </row>
    <row r="3573" spans="2:18" x14ac:dyDescent="0.15">
      <c r="B3573" s="61" t="s">
        <v>5027</v>
      </c>
      <c r="C3573" s="62" t="s">
        <v>9</v>
      </c>
      <c r="D3573" s="62" t="s">
        <v>2117</v>
      </c>
      <c r="E3573" s="3">
        <v>100</v>
      </c>
      <c r="F3573" s="3">
        <v>10.714285714285714</v>
      </c>
      <c r="G3573" s="4">
        <v>44507</v>
      </c>
      <c r="I3573" s="1">
        <v>1600</v>
      </c>
      <c r="J3573" s="1">
        <v>1600</v>
      </c>
    </row>
    <row r="3574" spans="2:18" x14ac:dyDescent="0.15">
      <c r="B3574" s="192" t="s">
        <v>6871</v>
      </c>
      <c r="C3574" s="2" t="s">
        <v>5</v>
      </c>
      <c r="D3574" s="2" t="s">
        <v>936</v>
      </c>
      <c r="E3574" s="3">
        <v>150</v>
      </c>
      <c r="F3574" s="3">
        <v>10</v>
      </c>
      <c r="G3574" s="4">
        <v>45008</v>
      </c>
    </row>
    <row r="3575" spans="2:18" x14ac:dyDescent="0.15">
      <c r="B3575" s="1" t="s">
        <v>934</v>
      </c>
      <c r="C3575" s="2" t="s">
        <v>5</v>
      </c>
      <c r="D3575" s="2" t="s">
        <v>933</v>
      </c>
      <c r="E3575" s="3">
        <v>30</v>
      </c>
      <c r="F3575" s="3">
        <v>10</v>
      </c>
      <c r="G3575" s="4">
        <v>44656</v>
      </c>
    </row>
    <row r="3576" spans="2:18" x14ac:dyDescent="0.15">
      <c r="B3576" s="1" t="s">
        <v>931</v>
      </c>
      <c r="C3576" s="2" t="s">
        <v>4</v>
      </c>
      <c r="D3576" s="2" t="s">
        <v>888</v>
      </c>
      <c r="E3576" s="3">
        <v>20</v>
      </c>
      <c r="F3576" s="3">
        <v>10</v>
      </c>
      <c r="G3576" s="4">
        <v>44614</v>
      </c>
    </row>
    <row r="3577" spans="2:18" x14ac:dyDescent="0.15">
      <c r="B3577" s="1" t="s">
        <v>930</v>
      </c>
      <c r="C3577" s="2" t="s">
        <v>5</v>
      </c>
      <c r="D3577" s="2" t="s">
        <v>929</v>
      </c>
      <c r="E3577" s="3">
        <v>25</v>
      </c>
      <c r="F3577" s="3">
        <v>10</v>
      </c>
      <c r="G3577" s="4">
        <v>44944</v>
      </c>
    </row>
    <row r="3578" spans="2:18" x14ac:dyDescent="0.15">
      <c r="B3578" s="1" t="s">
        <v>632</v>
      </c>
      <c r="C3578" s="2" t="s">
        <v>5</v>
      </c>
      <c r="D3578" s="2" t="s">
        <v>631</v>
      </c>
      <c r="E3578" s="3">
        <v>10</v>
      </c>
      <c r="F3578" s="3">
        <v>10</v>
      </c>
      <c r="G3578" s="4">
        <v>44013</v>
      </c>
      <c r="M3578" s="1"/>
      <c r="N3578" s="1"/>
      <c r="O3578" s="1"/>
      <c r="P3578" s="1"/>
      <c r="Q3578" s="1"/>
      <c r="R3578" s="1"/>
    </row>
    <row r="3579" spans="2:18" x14ac:dyDescent="0.15">
      <c r="B3579" s="1" t="s">
        <v>501</v>
      </c>
      <c r="C3579" s="2" t="s">
        <v>53</v>
      </c>
      <c r="D3579" s="2" t="s">
        <v>490</v>
      </c>
      <c r="E3579" s="3">
        <v>50</v>
      </c>
      <c r="F3579" s="3">
        <v>10</v>
      </c>
      <c r="G3579" s="4">
        <v>44174</v>
      </c>
      <c r="M3579" s="1"/>
      <c r="N3579" s="1"/>
      <c r="O3579" s="1"/>
      <c r="P3579" s="1"/>
      <c r="Q3579" s="1"/>
      <c r="R3579" s="1"/>
    </row>
    <row r="3580" spans="2:18" x14ac:dyDescent="0.15">
      <c r="B3580" s="1" t="s">
        <v>492</v>
      </c>
      <c r="C3580" s="2" t="s">
        <v>18</v>
      </c>
      <c r="D3580" s="2" t="s">
        <v>490</v>
      </c>
      <c r="E3580" s="3">
        <v>67.2</v>
      </c>
      <c r="F3580" s="3">
        <v>10</v>
      </c>
      <c r="G3580" s="4">
        <v>42943</v>
      </c>
      <c r="M3580" s="1"/>
      <c r="N3580" s="1"/>
      <c r="O3580" s="1"/>
      <c r="P3580" s="1"/>
      <c r="Q3580" s="1"/>
      <c r="R3580" s="1"/>
    </row>
    <row r="3581" spans="2:18" x14ac:dyDescent="0.15">
      <c r="B3581" s="1" t="s">
        <v>491</v>
      </c>
      <c r="C3581" s="2" t="s">
        <v>18</v>
      </c>
      <c r="D3581" s="2" t="s">
        <v>490</v>
      </c>
      <c r="E3581" s="3">
        <v>67.2</v>
      </c>
      <c r="F3581" s="3">
        <v>10</v>
      </c>
      <c r="G3581" s="4">
        <v>42943</v>
      </c>
      <c r="M3581" s="1"/>
      <c r="N3581" s="1"/>
      <c r="O3581" s="1"/>
      <c r="P3581" s="1"/>
      <c r="Q3581" s="1"/>
      <c r="R3581" s="1"/>
    </row>
    <row r="3582" spans="2:18" x14ac:dyDescent="0.15">
      <c r="B3582" s="1" t="s">
        <v>401</v>
      </c>
      <c r="C3582" s="2" t="s">
        <v>7</v>
      </c>
      <c r="D3582" s="2" t="s">
        <v>399</v>
      </c>
      <c r="E3582" s="3">
        <v>80</v>
      </c>
      <c r="F3582" s="3">
        <v>10</v>
      </c>
      <c r="G3582" s="4">
        <v>44327</v>
      </c>
      <c r="M3582" s="1"/>
      <c r="N3582" s="1"/>
      <c r="O3582" s="1"/>
      <c r="P3582" s="1"/>
      <c r="Q3582" s="1"/>
      <c r="R3582" s="1"/>
    </row>
    <row r="3583" spans="2:18" x14ac:dyDescent="0.15">
      <c r="B3583" s="1" t="s">
        <v>400</v>
      </c>
      <c r="C3583" s="2" t="s">
        <v>7</v>
      </c>
      <c r="D3583" s="2" t="s">
        <v>399</v>
      </c>
      <c r="E3583" s="3">
        <v>80</v>
      </c>
      <c r="F3583" s="3">
        <v>10</v>
      </c>
      <c r="G3583" s="4">
        <v>44327</v>
      </c>
      <c r="M3583" s="1"/>
      <c r="N3583" s="1"/>
      <c r="O3583" s="1"/>
      <c r="P3583" s="1"/>
      <c r="Q3583" s="1"/>
      <c r="R3583" s="1"/>
    </row>
    <row r="3584" spans="2:18" x14ac:dyDescent="0.15">
      <c r="B3584" s="1" t="s">
        <v>396</v>
      </c>
      <c r="C3584" s="2" t="s">
        <v>8</v>
      </c>
      <c r="D3584" s="2" t="s">
        <v>386</v>
      </c>
      <c r="E3584" s="3">
        <v>140</v>
      </c>
      <c r="F3584" s="3">
        <v>10</v>
      </c>
      <c r="G3584" s="4">
        <v>44286</v>
      </c>
      <c r="M3584" s="1"/>
      <c r="N3584" s="1"/>
      <c r="O3584" s="1"/>
      <c r="P3584" s="1"/>
      <c r="Q3584" s="1"/>
      <c r="R3584" s="1"/>
    </row>
    <row r="3585" spans="2:18" x14ac:dyDescent="0.15">
      <c r="B3585" s="1" t="s">
        <v>391</v>
      </c>
      <c r="C3585" s="2" t="s">
        <v>18</v>
      </c>
      <c r="D3585" s="2" t="s">
        <v>386</v>
      </c>
      <c r="E3585" s="3">
        <v>110</v>
      </c>
      <c r="F3585" s="3">
        <v>10</v>
      </c>
      <c r="G3585" s="4">
        <v>43690</v>
      </c>
      <c r="M3585" s="1"/>
      <c r="N3585" s="1"/>
      <c r="O3585" s="1"/>
      <c r="P3585" s="1"/>
      <c r="Q3585" s="1"/>
      <c r="R3585" s="1"/>
    </row>
    <row r="3586" spans="2:18" x14ac:dyDescent="0.15">
      <c r="B3586" s="1" t="s">
        <v>385</v>
      </c>
      <c r="C3586" s="2" t="s">
        <v>5</v>
      </c>
      <c r="D3586" s="2" t="s">
        <v>381</v>
      </c>
      <c r="E3586" s="3">
        <v>86</v>
      </c>
      <c r="F3586" s="3">
        <v>10</v>
      </c>
      <c r="G3586" s="4">
        <v>44488</v>
      </c>
      <c r="M3586" s="1"/>
      <c r="N3586" s="1"/>
      <c r="O3586" s="1"/>
      <c r="P3586" s="1"/>
      <c r="Q3586" s="1"/>
      <c r="R3586" s="1"/>
    </row>
    <row r="3587" spans="2:18" x14ac:dyDescent="0.15">
      <c r="B3587" s="1" t="s">
        <v>383</v>
      </c>
      <c r="C3587" s="2" t="s">
        <v>5</v>
      </c>
      <c r="D3587" s="2" t="s">
        <v>381</v>
      </c>
      <c r="E3587" s="3">
        <v>86</v>
      </c>
      <c r="F3587" s="3">
        <v>10</v>
      </c>
      <c r="G3587" s="4">
        <v>44488</v>
      </c>
      <c r="M3587" s="1"/>
      <c r="N3587" s="1"/>
      <c r="O3587" s="1"/>
      <c r="P3587" s="1"/>
      <c r="Q3587" s="1"/>
      <c r="R3587" s="1"/>
    </row>
    <row r="3588" spans="2:18" x14ac:dyDescent="0.15">
      <c r="B3588" s="1" t="s">
        <v>130</v>
      </c>
      <c r="C3588" s="2" t="s">
        <v>7</v>
      </c>
      <c r="D3588" s="2" t="s">
        <v>128</v>
      </c>
      <c r="E3588" s="3">
        <v>23.5</v>
      </c>
      <c r="F3588" s="3">
        <v>10</v>
      </c>
      <c r="G3588" s="4">
        <v>45008</v>
      </c>
    </row>
    <row r="3589" spans="2:18" x14ac:dyDescent="0.15">
      <c r="B3589" s="1" t="s">
        <v>107</v>
      </c>
      <c r="C3589" s="2" t="s">
        <v>8</v>
      </c>
      <c r="D3589" s="2" t="s">
        <v>102</v>
      </c>
      <c r="E3589" s="3">
        <v>30</v>
      </c>
      <c r="F3589" s="3">
        <v>10</v>
      </c>
      <c r="G3589" s="4">
        <v>43178</v>
      </c>
    </row>
    <row r="3590" spans="2:18" x14ac:dyDescent="0.15">
      <c r="B3590" s="1" t="s">
        <v>103</v>
      </c>
      <c r="C3590" s="2" t="s">
        <v>8</v>
      </c>
      <c r="D3590" s="2" t="s">
        <v>102</v>
      </c>
      <c r="E3590" s="3">
        <v>10</v>
      </c>
      <c r="F3590" s="3">
        <v>10</v>
      </c>
      <c r="G3590" s="4">
        <v>43726</v>
      </c>
    </row>
    <row r="3591" spans="2:18" x14ac:dyDescent="0.15">
      <c r="B3591" s="1" t="s">
        <v>101</v>
      </c>
      <c r="C3591" s="2" t="s">
        <v>7</v>
      </c>
      <c r="D3591" s="2" t="s">
        <v>95</v>
      </c>
      <c r="E3591" s="3">
        <v>25</v>
      </c>
      <c r="F3591" s="3">
        <v>10</v>
      </c>
      <c r="G3591" s="4">
        <v>43783</v>
      </c>
    </row>
    <row r="3592" spans="2:18" x14ac:dyDescent="0.15">
      <c r="B3592" s="1" t="s">
        <v>66</v>
      </c>
      <c r="C3592" s="2" t="s">
        <v>5</v>
      </c>
      <c r="D3592" s="2" t="s">
        <v>64</v>
      </c>
      <c r="E3592" s="3">
        <v>50</v>
      </c>
      <c r="F3592" s="3">
        <v>10</v>
      </c>
      <c r="G3592" s="4">
        <v>44165</v>
      </c>
    </row>
    <row r="3593" spans="2:18" x14ac:dyDescent="0.15">
      <c r="B3593" s="99" t="s">
        <v>5951</v>
      </c>
      <c r="C3593" s="100" t="s">
        <v>18</v>
      </c>
      <c r="D3593" s="100" t="s">
        <v>2077</v>
      </c>
      <c r="E3593" s="3">
        <v>65</v>
      </c>
      <c r="F3593" s="3">
        <v>10</v>
      </c>
      <c r="G3593" s="4">
        <v>44644</v>
      </c>
      <c r="I3593" s="1">
        <v>500</v>
      </c>
      <c r="J3593" s="1">
        <v>500</v>
      </c>
    </row>
    <row r="3594" spans="2:18" x14ac:dyDescent="0.15">
      <c r="B3594" s="143" t="s">
        <v>6353</v>
      </c>
      <c r="C3594" s="149" t="s">
        <v>5</v>
      </c>
      <c r="D3594" s="149" t="s">
        <v>6354</v>
      </c>
      <c r="E3594" s="3">
        <v>25</v>
      </c>
      <c r="F3594" s="3">
        <v>10</v>
      </c>
      <c r="G3594" s="4">
        <v>44594</v>
      </c>
    </row>
    <row r="3595" spans="2:18" x14ac:dyDescent="0.15">
      <c r="B3595" s="168" t="s">
        <v>6420</v>
      </c>
      <c r="C3595" s="169" t="s">
        <v>7</v>
      </c>
      <c r="D3595" s="169" t="s">
        <v>2051</v>
      </c>
      <c r="E3595" s="3">
        <v>50</v>
      </c>
      <c r="F3595" s="3">
        <v>10</v>
      </c>
      <c r="G3595" s="4">
        <v>44252</v>
      </c>
    </row>
    <row r="3596" spans="2:18" x14ac:dyDescent="0.15">
      <c r="B3596" s="1" t="s">
        <v>28</v>
      </c>
      <c r="C3596" s="2" t="s">
        <v>9</v>
      </c>
      <c r="D3596" s="2" t="s">
        <v>22</v>
      </c>
      <c r="E3596" s="3">
        <v>222</v>
      </c>
      <c r="F3596" s="3">
        <f>200/21</f>
        <v>9.5238095238095237</v>
      </c>
      <c r="G3596" s="4">
        <v>44194</v>
      </c>
      <c r="I3596" s="1">
        <v>2500</v>
      </c>
      <c r="J3596" s="1">
        <v>2500</v>
      </c>
    </row>
    <row r="3597" spans="2:18" x14ac:dyDescent="0.15">
      <c r="B3597" s="1" t="s">
        <v>26</v>
      </c>
      <c r="C3597" s="2" t="s">
        <v>9</v>
      </c>
      <c r="D3597" s="2" t="s">
        <v>22</v>
      </c>
      <c r="E3597" s="3">
        <v>222</v>
      </c>
      <c r="F3597" s="3">
        <f>200/21</f>
        <v>9.5238095238095237</v>
      </c>
      <c r="G3597" s="4">
        <v>44194</v>
      </c>
      <c r="I3597" s="1">
        <v>2500</v>
      </c>
      <c r="J3597" s="1">
        <v>2500</v>
      </c>
    </row>
    <row r="3598" spans="2:18" x14ac:dyDescent="0.15">
      <c r="B3598" s="1" t="s">
        <v>928</v>
      </c>
      <c r="C3598" s="2" t="s">
        <v>18</v>
      </c>
      <c r="D3598" s="2" t="s">
        <v>927</v>
      </c>
      <c r="E3598" s="3">
        <v>100</v>
      </c>
      <c r="F3598" s="3">
        <v>9</v>
      </c>
      <c r="G3598" s="4">
        <v>44690</v>
      </c>
    </row>
    <row r="3599" spans="2:18" x14ac:dyDescent="0.15">
      <c r="B3599" s="1" t="s">
        <v>165</v>
      </c>
      <c r="C3599" s="2" t="s">
        <v>5</v>
      </c>
      <c r="D3599" s="2" t="s">
        <v>161</v>
      </c>
      <c r="E3599" s="3">
        <v>112</v>
      </c>
      <c r="F3599" s="3">
        <f>72/8</f>
        <v>9</v>
      </c>
      <c r="G3599" s="4">
        <v>43115</v>
      </c>
    </row>
    <row r="3600" spans="2:18" x14ac:dyDescent="0.15">
      <c r="B3600" s="1" t="s">
        <v>164</v>
      </c>
      <c r="C3600" s="2" t="s">
        <v>5</v>
      </c>
      <c r="D3600" s="2" t="s">
        <v>161</v>
      </c>
      <c r="E3600" s="3">
        <v>112</v>
      </c>
      <c r="F3600" s="3">
        <f>72/8</f>
        <v>9</v>
      </c>
      <c r="G3600" s="4">
        <v>43115</v>
      </c>
    </row>
    <row r="3601" spans="2:18" x14ac:dyDescent="0.15">
      <c r="B3601" s="1" t="s">
        <v>163</v>
      </c>
      <c r="C3601" s="2" t="s">
        <v>5</v>
      </c>
      <c r="D3601" s="2" t="s">
        <v>161</v>
      </c>
      <c r="E3601" s="3">
        <v>112</v>
      </c>
      <c r="F3601" s="3">
        <f>72/8</f>
        <v>9</v>
      </c>
      <c r="G3601" s="4">
        <v>43115</v>
      </c>
    </row>
    <row r="3602" spans="2:18" x14ac:dyDescent="0.15">
      <c r="B3602" s="1" t="s">
        <v>162</v>
      </c>
      <c r="C3602" s="2" t="s">
        <v>5</v>
      </c>
      <c r="D3602" s="2" t="s">
        <v>161</v>
      </c>
      <c r="E3602" s="3">
        <v>112</v>
      </c>
      <c r="F3602" s="3">
        <f>72/8</f>
        <v>9</v>
      </c>
      <c r="G3602" s="4">
        <v>43115</v>
      </c>
    </row>
    <row r="3603" spans="2:18" x14ac:dyDescent="0.15">
      <c r="B3603" s="99" t="s">
        <v>5478</v>
      </c>
      <c r="C3603" s="100" t="s">
        <v>18</v>
      </c>
      <c r="D3603" s="100" t="s">
        <v>2095</v>
      </c>
      <c r="E3603" s="3">
        <v>50</v>
      </c>
      <c r="F3603" s="3">
        <v>9</v>
      </c>
      <c r="G3603" s="4">
        <v>44286</v>
      </c>
      <c r="J3603" s="1">
        <v>1500</v>
      </c>
    </row>
    <row r="3604" spans="2:18" x14ac:dyDescent="0.15">
      <c r="B3604" s="1" t="s">
        <v>321</v>
      </c>
      <c r="C3604" s="2" t="s">
        <v>18</v>
      </c>
      <c r="D3604" s="2" t="s">
        <v>318</v>
      </c>
      <c r="E3604" s="3">
        <v>91</v>
      </c>
      <c r="F3604" s="3">
        <f>70/8</f>
        <v>8.75</v>
      </c>
      <c r="G3604" s="4">
        <v>44867</v>
      </c>
      <c r="M3604" s="1"/>
      <c r="N3604" s="1"/>
      <c r="O3604" s="1"/>
      <c r="P3604" s="1"/>
      <c r="Q3604" s="1"/>
      <c r="R3604" s="1"/>
    </row>
    <row r="3605" spans="2:18" x14ac:dyDescent="0.15">
      <c r="B3605" s="1" t="s">
        <v>320</v>
      </c>
      <c r="C3605" s="2" t="s">
        <v>18</v>
      </c>
      <c r="D3605" s="2" t="s">
        <v>318</v>
      </c>
      <c r="E3605" s="3">
        <v>91</v>
      </c>
      <c r="F3605" s="3">
        <f>70/8</f>
        <v>8.75</v>
      </c>
      <c r="G3605" s="4">
        <v>44867</v>
      </c>
      <c r="M3605" s="1"/>
      <c r="N3605" s="1"/>
      <c r="O3605" s="1"/>
      <c r="P3605" s="1"/>
      <c r="Q3605" s="1"/>
      <c r="R3605" s="1"/>
    </row>
    <row r="3606" spans="2:18" x14ac:dyDescent="0.15">
      <c r="B3606" s="1" t="s">
        <v>319</v>
      </c>
      <c r="C3606" s="2" t="s">
        <v>18</v>
      </c>
      <c r="D3606" s="2" t="s">
        <v>318</v>
      </c>
      <c r="E3606" s="3">
        <v>91</v>
      </c>
      <c r="F3606" s="3">
        <f>70/8</f>
        <v>8.75</v>
      </c>
      <c r="G3606" s="4">
        <v>44867</v>
      </c>
      <c r="M3606" s="1"/>
      <c r="N3606" s="1"/>
      <c r="O3606" s="1"/>
      <c r="P3606" s="1"/>
      <c r="Q3606" s="1"/>
      <c r="R3606" s="1"/>
    </row>
    <row r="3607" spans="2:18" x14ac:dyDescent="0.15">
      <c r="B3607" s="1" t="s">
        <v>430</v>
      </c>
      <c r="C3607" s="2" t="s">
        <v>5</v>
      </c>
      <c r="D3607" s="2" t="s">
        <v>429</v>
      </c>
      <c r="E3607" s="3">
        <v>8.5</v>
      </c>
      <c r="F3607" s="3">
        <v>8.5</v>
      </c>
      <c r="G3607" s="4">
        <v>44307</v>
      </c>
      <c r="M3607" s="1"/>
      <c r="N3607" s="1"/>
      <c r="O3607" s="1"/>
      <c r="P3607" s="1"/>
      <c r="Q3607" s="1"/>
      <c r="R3607" s="1"/>
    </row>
    <row r="3608" spans="2:18" x14ac:dyDescent="0.15">
      <c r="B3608" s="1" t="s">
        <v>925</v>
      </c>
      <c r="C3608" s="2" t="s">
        <v>4</v>
      </c>
      <c r="D3608" s="2" t="s">
        <v>706</v>
      </c>
      <c r="E3608" s="3">
        <v>113</v>
      </c>
      <c r="F3608" s="3">
        <v>8</v>
      </c>
      <c r="G3608" s="4">
        <v>45090</v>
      </c>
    </row>
    <row r="3609" spans="2:18" x14ac:dyDescent="0.15">
      <c r="B3609" s="1" t="s">
        <v>923</v>
      </c>
      <c r="C3609" s="2" t="s">
        <v>4</v>
      </c>
      <c r="D3609" s="2" t="s">
        <v>706</v>
      </c>
      <c r="E3609" s="3">
        <v>113</v>
      </c>
      <c r="F3609" s="3">
        <v>8</v>
      </c>
      <c r="G3609" s="4">
        <v>45090</v>
      </c>
    </row>
    <row r="3610" spans="2:18" x14ac:dyDescent="0.15">
      <c r="B3610" s="1" t="s">
        <v>921</v>
      </c>
      <c r="C3610" s="2" t="s">
        <v>4</v>
      </c>
      <c r="D3610" s="2" t="s">
        <v>706</v>
      </c>
      <c r="E3610" s="3">
        <v>113</v>
      </c>
      <c r="F3610" s="3">
        <v>8</v>
      </c>
      <c r="G3610" s="4">
        <v>45090</v>
      </c>
    </row>
    <row r="3611" spans="2:18" x14ac:dyDescent="0.15">
      <c r="B3611" s="1" t="s">
        <v>582</v>
      </c>
      <c r="C3611" s="2" t="s">
        <v>4</v>
      </c>
      <c r="D3611" s="2" t="s">
        <v>581</v>
      </c>
      <c r="E3611" s="3">
        <v>8</v>
      </c>
      <c r="F3611" s="3">
        <v>8</v>
      </c>
      <c r="G3611" s="4">
        <v>44711</v>
      </c>
      <c r="M3611" s="1"/>
      <c r="N3611" s="1"/>
      <c r="O3611" s="1"/>
      <c r="P3611" s="1"/>
      <c r="Q3611" s="1"/>
      <c r="R3611" s="1"/>
    </row>
    <row r="3612" spans="2:18" x14ac:dyDescent="0.15">
      <c r="B3612" s="1" t="s">
        <v>169</v>
      </c>
      <c r="C3612" s="2" t="s">
        <v>5</v>
      </c>
      <c r="D3612" s="2" t="s">
        <v>161</v>
      </c>
      <c r="E3612" s="3">
        <v>102</v>
      </c>
      <c r="F3612" s="3">
        <v>8</v>
      </c>
      <c r="G3612" s="4">
        <v>43292</v>
      </c>
    </row>
    <row r="3613" spans="2:18" x14ac:dyDescent="0.15">
      <c r="B3613" s="1" t="s">
        <v>168</v>
      </c>
      <c r="C3613" s="2" t="s">
        <v>5</v>
      </c>
      <c r="D3613" s="2" t="s">
        <v>161</v>
      </c>
      <c r="E3613" s="3">
        <v>102</v>
      </c>
      <c r="F3613" s="3">
        <v>8</v>
      </c>
      <c r="G3613" s="4">
        <v>43292</v>
      </c>
    </row>
    <row r="3614" spans="2:18" x14ac:dyDescent="0.15">
      <c r="B3614" s="1" t="s">
        <v>153</v>
      </c>
      <c r="C3614" s="2" t="s">
        <v>8</v>
      </c>
      <c r="D3614" s="2" t="s">
        <v>148</v>
      </c>
      <c r="E3614" s="3">
        <v>38</v>
      </c>
      <c r="F3614" s="6" t="s">
        <v>152</v>
      </c>
      <c r="G3614" s="4">
        <v>43266</v>
      </c>
    </row>
    <row r="3615" spans="2:18" x14ac:dyDescent="0.15">
      <c r="B3615" s="1" t="s">
        <v>142</v>
      </c>
      <c r="C3615" s="2" t="s">
        <v>8</v>
      </c>
      <c r="D3615" s="2" t="s">
        <v>131</v>
      </c>
      <c r="E3615" s="3">
        <v>135</v>
      </c>
      <c r="F3615" s="3">
        <v>8</v>
      </c>
      <c r="G3615" s="4">
        <v>44880</v>
      </c>
    </row>
    <row r="3616" spans="2:18" x14ac:dyDescent="0.15">
      <c r="B3616" s="1" t="s">
        <v>141</v>
      </c>
      <c r="C3616" s="2" t="s">
        <v>8</v>
      </c>
      <c r="D3616" s="2" t="s">
        <v>131</v>
      </c>
      <c r="E3616" s="3">
        <v>135</v>
      </c>
      <c r="F3616" s="3">
        <v>8</v>
      </c>
      <c r="G3616" s="4">
        <v>44880</v>
      </c>
    </row>
    <row r="3617" spans="2:18" x14ac:dyDescent="0.15">
      <c r="B3617" s="1" t="s">
        <v>138</v>
      </c>
      <c r="C3617" s="2" t="s">
        <v>8</v>
      </c>
      <c r="D3617" s="2" t="s">
        <v>131</v>
      </c>
      <c r="E3617" s="3">
        <v>135</v>
      </c>
      <c r="F3617" s="3">
        <v>8</v>
      </c>
      <c r="G3617" s="4">
        <v>44880</v>
      </c>
    </row>
    <row r="3618" spans="2:18" x14ac:dyDescent="0.15">
      <c r="B3618" s="1" t="s">
        <v>920</v>
      </c>
      <c r="C3618" s="2" t="s">
        <v>7</v>
      </c>
      <c r="D3618" s="2" t="s">
        <v>908</v>
      </c>
      <c r="E3618" s="3">
        <v>97.4</v>
      </c>
      <c r="F3618" s="3">
        <f>47/6</f>
        <v>7.833333333333333</v>
      </c>
      <c r="G3618" s="4">
        <v>45041</v>
      </c>
    </row>
    <row r="3619" spans="2:18" x14ac:dyDescent="0.15">
      <c r="B3619" s="1" t="s">
        <v>919</v>
      </c>
      <c r="C3619" s="2" t="s">
        <v>5</v>
      </c>
      <c r="D3619" s="2" t="s">
        <v>889</v>
      </c>
      <c r="E3619" s="3">
        <v>20</v>
      </c>
      <c r="F3619" s="3">
        <v>7.5</v>
      </c>
      <c r="G3619" s="4">
        <v>45009</v>
      </c>
    </row>
    <row r="3620" spans="2:18" x14ac:dyDescent="0.15">
      <c r="B3620" s="181" t="s">
        <v>6698</v>
      </c>
      <c r="C3620" s="184" t="s">
        <v>5</v>
      </c>
      <c r="D3620" s="184" t="s">
        <v>2037</v>
      </c>
      <c r="E3620" s="3">
        <v>30</v>
      </c>
      <c r="F3620" s="3">
        <v>7.5</v>
      </c>
      <c r="G3620" s="4">
        <v>44729</v>
      </c>
    </row>
    <row r="3621" spans="2:18" x14ac:dyDescent="0.15">
      <c r="B3621" s="58" t="s">
        <v>4896</v>
      </c>
      <c r="C3621" s="59" t="s">
        <v>5</v>
      </c>
      <c r="D3621" s="59" t="s">
        <v>2124</v>
      </c>
      <c r="E3621" s="3">
        <v>52.3</v>
      </c>
      <c r="F3621" s="5">
        <f>22/3</f>
        <v>7.333333333333333</v>
      </c>
      <c r="G3621" s="4">
        <v>43348</v>
      </c>
      <c r="J3621" s="1">
        <v>700</v>
      </c>
    </row>
    <row r="3622" spans="2:18" x14ac:dyDescent="0.15">
      <c r="B3622" s="1" t="s">
        <v>41</v>
      </c>
      <c r="C3622" s="2" t="s">
        <v>7</v>
      </c>
      <c r="D3622" s="2" t="s">
        <v>39</v>
      </c>
      <c r="E3622" s="3">
        <v>42</v>
      </c>
      <c r="F3622" s="3">
        <f>22/3</f>
        <v>7.333333333333333</v>
      </c>
      <c r="G3622" s="4">
        <v>43144</v>
      </c>
      <c r="J3622" s="1">
        <v>2000</v>
      </c>
    </row>
    <row r="3623" spans="2:18" x14ac:dyDescent="0.15">
      <c r="B3623" s="1" t="s">
        <v>615</v>
      </c>
      <c r="C3623" s="2" t="s">
        <v>9</v>
      </c>
      <c r="D3623" s="2" t="s">
        <v>607</v>
      </c>
      <c r="E3623" s="3">
        <v>132</v>
      </c>
      <c r="F3623" s="3">
        <f>72/10</f>
        <v>7.2</v>
      </c>
      <c r="G3623" s="4">
        <v>44215</v>
      </c>
      <c r="M3623" s="1"/>
      <c r="N3623" s="1"/>
      <c r="O3623" s="1"/>
      <c r="P3623" s="1"/>
      <c r="Q3623" s="1"/>
      <c r="R3623" s="1"/>
    </row>
    <row r="3624" spans="2:18" x14ac:dyDescent="0.15">
      <c r="B3624" s="1" t="s">
        <v>614</v>
      </c>
      <c r="C3624" s="2" t="s">
        <v>9</v>
      </c>
      <c r="D3624" s="2" t="s">
        <v>607</v>
      </c>
      <c r="E3624" s="3">
        <v>132</v>
      </c>
      <c r="F3624" s="3">
        <f>72/10</f>
        <v>7.2</v>
      </c>
      <c r="G3624" s="4">
        <v>44215</v>
      </c>
      <c r="M3624" s="1"/>
      <c r="N3624" s="1"/>
      <c r="O3624" s="1"/>
      <c r="P3624" s="1"/>
      <c r="Q3624" s="1"/>
      <c r="R3624" s="1"/>
    </row>
    <row r="3625" spans="2:18" x14ac:dyDescent="0.15">
      <c r="B3625" s="1" t="s">
        <v>613</v>
      </c>
      <c r="C3625" s="2" t="s">
        <v>9</v>
      </c>
      <c r="D3625" s="2" t="s">
        <v>607</v>
      </c>
      <c r="E3625" s="3">
        <v>132</v>
      </c>
      <c r="F3625" s="3">
        <f>72/10</f>
        <v>7.2</v>
      </c>
      <c r="G3625" s="4">
        <v>44215</v>
      </c>
      <c r="M3625" s="1"/>
      <c r="N3625" s="1"/>
      <c r="O3625" s="1"/>
      <c r="P3625" s="1"/>
      <c r="Q3625" s="1"/>
      <c r="R3625" s="1"/>
    </row>
    <row r="3626" spans="2:18" x14ac:dyDescent="0.15">
      <c r="B3626" s="1" t="s">
        <v>611</v>
      </c>
      <c r="C3626" s="2" t="s">
        <v>9</v>
      </c>
      <c r="D3626" s="2" t="s">
        <v>607</v>
      </c>
      <c r="E3626" s="3">
        <v>132</v>
      </c>
      <c r="F3626" s="3">
        <f>72/10</f>
        <v>7.2</v>
      </c>
      <c r="G3626" s="4">
        <v>44215</v>
      </c>
      <c r="M3626" s="1"/>
      <c r="N3626" s="1"/>
      <c r="O3626" s="1"/>
      <c r="P3626" s="1"/>
      <c r="Q3626" s="1"/>
      <c r="R3626" s="1"/>
    </row>
    <row r="3627" spans="2:18" x14ac:dyDescent="0.15">
      <c r="B3627" s="1" t="s">
        <v>82</v>
      </c>
      <c r="C3627" s="2" t="s">
        <v>5</v>
      </c>
      <c r="D3627" s="2" t="s">
        <v>80</v>
      </c>
      <c r="E3627" s="3">
        <v>43</v>
      </c>
      <c r="F3627" s="3">
        <f>+E3627/6</f>
        <v>7.166666666666667</v>
      </c>
      <c r="G3627" s="4">
        <v>43622</v>
      </c>
    </row>
    <row r="3628" spans="2:18" x14ac:dyDescent="0.15">
      <c r="B3628" s="1" t="s">
        <v>81</v>
      </c>
      <c r="C3628" s="2" t="s">
        <v>5</v>
      </c>
      <c r="D3628" s="2" t="s">
        <v>80</v>
      </c>
      <c r="E3628" s="3">
        <v>43</v>
      </c>
      <c r="F3628" s="3">
        <f>+E3628/6</f>
        <v>7.166666666666667</v>
      </c>
      <c r="G3628" s="4">
        <v>43622</v>
      </c>
    </row>
    <row r="3629" spans="2:18" x14ac:dyDescent="0.15">
      <c r="B3629" s="1" t="s">
        <v>918</v>
      </c>
      <c r="C3629" s="2" t="s">
        <v>7</v>
      </c>
      <c r="D3629" s="2" t="s">
        <v>865</v>
      </c>
      <c r="E3629" s="3">
        <v>50</v>
      </c>
      <c r="F3629" s="3">
        <f>E3629/7</f>
        <v>7.1428571428571432</v>
      </c>
      <c r="G3629" s="4">
        <v>44628</v>
      </c>
    </row>
    <row r="3630" spans="2:18" x14ac:dyDescent="0.15">
      <c r="B3630" s="1" t="s">
        <v>917</v>
      </c>
      <c r="C3630" s="2" t="s">
        <v>7</v>
      </c>
      <c r="D3630" s="2" t="s">
        <v>865</v>
      </c>
      <c r="E3630" s="3">
        <v>50</v>
      </c>
      <c r="F3630" s="3">
        <f>E3630/7</f>
        <v>7.1428571428571432</v>
      </c>
      <c r="G3630" s="4">
        <v>44628</v>
      </c>
    </row>
    <row r="3631" spans="2:18" x14ac:dyDescent="0.15">
      <c r="B3631" s="1" t="s">
        <v>916</v>
      </c>
      <c r="C3631" s="2" t="s">
        <v>5</v>
      </c>
      <c r="D3631" s="2" t="s">
        <v>723</v>
      </c>
      <c r="E3631" s="3">
        <v>20</v>
      </c>
      <c r="F3631" s="3">
        <v>7</v>
      </c>
      <c r="G3631" s="4">
        <v>44903</v>
      </c>
    </row>
    <row r="3632" spans="2:18" x14ac:dyDescent="0.15">
      <c r="B3632" s="1" t="s">
        <v>915</v>
      </c>
      <c r="C3632" s="2" t="s">
        <v>4</v>
      </c>
      <c r="D3632" s="2" t="s">
        <v>913</v>
      </c>
      <c r="E3632" s="3">
        <v>42</v>
      </c>
      <c r="F3632" s="3">
        <v>7</v>
      </c>
      <c r="G3632" s="4">
        <v>44882</v>
      </c>
    </row>
    <row r="3633" spans="2:18" x14ac:dyDescent="0.15">
      <c r="B3633" s="1" t="s">
        <v>914</v>
      </c>
      <c r="C3633" s="2" t="s">
        <v>4</v>
      </c>
      <c r="D3633" s="2" t="s">
        <v>913</v>
      </c>
      <c r="E3633" s="3">
        <v>42</v>
      </c>
      <c r="F3633" s="3">
        <v>7</v>
      </c>
      <c r="G3633" s="4">
        <v>44882</v>
      </c>
    </row>
    <row r="3634" spans="2:18" x14ac:dyDescent="0.15">
      <c r="B3634" s="1" t="s">
        <v>428</v>
      </c>
      <c r="C3634" s="2" t="s">
        <v>18</v>
      </c>
      <c r="D3634" s="2" t="s">
        <v>425</v>
      </c>
      <c r="E3634" s="3">
        <v>75</v>
      </c>
      <c r="F3634" s="3">
        <f>35/5</f>
        <v>7</v>
      </c>
      <c r="G3634" s="4">
        <v>45020</v>
      </c>
      <c r="M3634" s="1"/>
      <c r="N3634" s="1"/>
      <c r="O3634" s="1"/>
      <c r="P3634" s="1"/>
      <c r="Q3634" s="1"/>
      <c r="R3634" s="1"/>
    </row>
    <row r="3635" spans="2:18" x14ac:dyDescent="0.15">
      <c r="B3635" s="1" t="s">
        <v>427</v>
      </c>
      <c r="C3635" s="2" t="s">
        <v>18</v>
      </c>
      <c r="D3635" s="2" t="s">
        <v>425</v>
      </c>
      <c r="E3635" s="3">
        <v>75</v>
      </c>
      <c r="F3635" s="3">
        <f>35/5</f>
        <v>7</v>
      </c>
      <c r="G3635" s="4">
        <v>45020</v>
      </c>
      <c r="M3635" s="1"/>
      <c r="N3635" s="1"/>
      <c r="O3635" s="1"/>
      <c r="P3635" s="1"/>
      <c r="Q3635" s="1"/>
      <c r="R3635" s="1"/>
    </row>
    <row r="3636" spans="2:18" x14ac:dyDescent="0.15">
      <c r="B3636" s="1" t="s">
        <v>424</v>
      </c>
      <c r="C3636" s="2" t="s">
        <v>18</v>
      </c>
      <c r="D3636" s="2" t="s">
        <v>417</v>
      </c>
      <c r="E3636" s="3">
        <v>23</v>
      </c>
      <c r="F3636" s="3">
        <v>7</v>
      </c>
      <c r="G3636" s="4">
        <v>44328</v>
      </c>
      <c r="I3636" s="5"/>
      <c r="M3636" s="1"/>
      <c r="N3636" s="1"/>
      <c r="O3636" s="1"/>
      <c r="P3636" s="1"/>
      <c r="Q3636" s="1"/>
      <c r="R3636" s="1"/>
    </row>
    <row r="3637" spans="2:18" x14ac:dyDescent="0.15">
      <c r="B3637" s="1" t="s">
        <v>151</v>
      </c>
      <c r="C3637" s="2" t="s">
        <v>7</v>
      </c>
      <c r="D3637" s="2" t="s">
        <v>148</v>
      </c>
      <c r="E3637" s="3">
        <v>10</v>
      </c>
      <c r="F3637" s="6" t="s">
        <v>150</v>
      </c>
      <c r="G3637" s="4">
        <v>42355</v>
      </c>
    </row>
    <row r="3638" spans="2:18" x14ac:dyDescent="0.15">
      <c r="B3638" s="61" t="s">
        <v>5034</v>
      </c>
      <c r="C3638" s="62" t="s">
        <v>7</v>
      </c>
      <c r="D3638" s="62" t="s">
        <v>2117</v>
      </c>
      <c r="E3638" s="3">
        <v>20</v>
      </c>
      <c r="F3638" s="3">
        <v>7</v>
      </c>
      <c r="G3638" s="4">
        <v>42317</v>
      </c>
      <c r="J3638" s="1">
        <v>1600</v>
      </c>
    </row>
    <row r="3639" spans="2:18" x14ac:dyDescent="0.15">
      <c r="B3639" s="99" t="s">
        <v>5471</v>
      </c>
      <c r="C3639" s="100" t="s">
        <v>18</v>
      </c>
      <c r="D3639" s="100" t="s">
        <v>2095</v>
      </c>
      <c r="E3639" s="3">
        <v>80</v>
      </c>
      <c r="F3639" s="3">
        <f>7</f>
        <v>7</v>
      </c>
      <c r="G3639" s="4">
        <v>44637</v>
      </c>
      <c r="I3639" s="1">
        <v>1500</v>
      </c>
      <c r="J3639" s="1">
        <v>1500</v>
      </c>
    </row>
    <row r="3640" spans="2:18" x14ac:dyDescent="0.15">
      <c r="B3640" s="99" t="s">
        <v>5473</v>
      </c>
      <c r="C3640" s="100" t="s">
        <v>18</v>
      </c>
      <c r="D3640" s="100" t="s">
        <v>2095</v>
      </c>
      <c r="E3640" s="3">
        <v>80</v>
      </c>
      <c r="F3640" s="3">
        <f>7</f>
        <v>7</v>
      </c>
      <c r="G3640" s="4">
        <v>44637</v>
      </c>
      <c r="I3640" s="1">
        <v>1500</v>
      </c>
      <c r="J3640" s="1">
        <v>1500</v>
      </c>
    </row>
    <row r="3641" spans="2:18" x14ac:dyDescent="0.15">
      <c r="B3641" s="99" t="s">
        <v>5474</v>
      </c>
      <c r="C3641" s="100" t="s">
        <v>18</v>
      </c>
      <c r="D3641" s="100" t="s">
        <v>2095</v>
      </c>
      <c r="E3641" s="3">
        <v>80</v>
      </c>
      <c r="F3641" s="3">
        <f>7</f>
        <v>7</v>
      </c>
      <c r="G3641" s="4">
        <v>44637</v>
      </c>
      <c r="I3641" s="1">
        <v>1500</v>
      </c>
      <c r="J3641" s="1">
        <v>1500</v>
      </c>
    </row>
    <row r="3642" spans="2:18" x14ac:dyDescent="0.15">
      <c r="B3642" s="99" t="s">
        <v>5475</v>
      </c>
      <c r="C3642" s="100" t="s">
        <v>18</v>
      </c>
      <c r="D3642" s="100" t="s">
        <v>2095</v>
      </c>
      <c r="E3642" s="3">
        <v>80</v>
      </c>
      <c r="F3642" s="3">
        <f>7</f>
        <v>7</v>
      </c>
      <c r="G3642" s="4">
        <v>44637</v>
      </c>
      <c r="I3642" s="1">
        <v>1500</v>
      </c>
      <c r="J3642" s="1">
        <v>1500</v>
      </c>
    </row>
    <row r="3643" spans="2:18" x14ac:dyDescent="0.15">
      <c r="B3643" s="99" t="s">
        <v>5476</v>
      </c>
      <c r="C3643" s="100" t="s">
        <v>18</v>
      </c>
      <c r="D3643" s="100" t="s">
        <v>2095</v>
      </c>
      <c r="E3643" s="3">
        <v>80</v>
      </c>
      <c r="F3643" s="3">
        <f>7</f>
        <v>7</v>
      </c>
      <c r="G3643" s="4">
        <v>44637</v>
      </c>
      <c r="I3643" s="1">
        <v>1500</v>
      </c>
      <c r="J3643" s="1">
        <v>1500</v>
      </c>
    </row>
    <row r="3644" spans="2:18" x14ac:dyDescent="0.15">
      <c r="B3644" s="1" t="s">
        <v>275</v>
      </c>
      <c r="C3644" s="2" t="s">
        <v>8</v>
      </c>
      <c r="D3644" s="2" t="s">
        <v>258</v>
      </c>
      <c r="E3644" s="3">
        <v>111</v>
      </c>
      <c r="F3644" s="3">
        <f>97/14</f>
        <v>6.9285714285714288</v>
      </c>
      <c r="G3644" s="4">
        <v>44622</v>
      </c>
    </row>
    <row r="3645" spans="2:18" x14ac:dyDescent="0.15">
      <c r="B3645" s="1" t="s">
        <v>271</v>
      </c>
      <c r="C3645" s="2" t="s">
        <v>8</v>
      </c>
      <c r="D3645" s="2" t="s">
        <v>258</v>
      </c>
      <c r="E3645" s="3">
        <v>111</v>
      </c>
      <c r="F3645" s="3">
        <f>97/14</f>
        <v>6.9285714285714288</v>
      </c>
      <c r="G3645" s="4">
        <v>44622</v>
      </c>
    </row>
    <row r="3646" spans="2:18" x14ac:dyDescent="0.15">
      <c r="B3646" s="1" t="s">
        <v>269</v>
      </c>
      <c r="C3646" s="2" t="s">
        <v>8</v>
      </c>
      <c r="D3646" s="2" t="s">
        <v>258</v>
      </c>
      <c r="E3646" s="3">
        <v>111</v>
      </c>
      <c r="F3646" s="3">
        <f>97/14</f>
        <v>6.9285714285714288</v>
      </c>
      <c r="G3646" s="4">
        <v>44622</v>
      </c>
    </row>
    <row r="3647" spans="2:18" x14ac:dyDescent="0.15">
      <c r="B3647" s="1" t="s">
        <v>268</v>
      </c>
      <c r="C3647" s="2" t="s">
        <v>8</v>
      </c>
      <c r="D3647" s="2" t="s">
        <v>258</v>
      </c>
      <c r="E3647" s="3">
        <v>111</v>
      </c>
      <c r="F3647" s="3">
        <f>97/14</f>
        <v>6.9285714285714288</v>
      </c>
      <c r="G3647" s="4">
        <v>44622</v>
      </c>
    </row>
    <row r="3648" spans="2:18" x14ac:dyDescent="0.15">
      <c r="B3648" s="1" t="s">
        <v>912</v>
      </c>
      <c r="C3648" s="2" t="s">
        <v>5</v>
      </c>
      <c r="D3648" s="2" t="s">
        <v>908</v>
      </c>
      <c r="E3648" s="3">
        <v>80</v>
      </c>
      <c r="F3648" s="3">
        <f t="shared" ref="F3648:F3656" si="7">40/6</f>
        <v>6.666666666666667</v>
      </c>
      <c r="G3648" s="4">
        <v>44539</v>
      </c>
    </row>
    <row r="3649" spans="2:18" x14ac:dyDescent="0.15">
      <c r="B3649" s="1" t="s">
        <v>911</v>
      </c>
      <c r="C3649" s="2" t="s">
        <v>5</v>
      </c>
      <c r="D3649" s="2" t="s">
        <v>908</v>
      </c>
      <c r="E3649" s="3">
        <v>80</v>
      </c>
      <c r="F3649" s="3">
        <f t="shared" si="7"/>
        <v>6.666666666666667</v>
      </c>
      <c r="G3649" s="4">
        <v>44539</v>
      </c>
    </row>
    <row r="3650" spans="2:18" x14ac:dyDescent="0.15">
      <c r="B3650" s="1" t="s">
        <v>910</v>
      </c>
      <c r="C3650" s="2" t="s">
        <v>5</v>
      </c>
      <c r="D3650" s="2" t="s">
        <v>908</v>
      </c>
      <c r="E3650" s="3">
        <v>80</v>
      </c>
      <c r="F3650" s="3">
        <f t="shared" si="7"/>
        <v>6.666666666666667</v>
      </c>
      <c r="G3650" s="4">
        <v>44539</v>
      </c>
    </row>
    <row r="3651" spans="2:18" x14ac:dyDescent="0.15">
      <c r="B3651" s="1" t="s">
        <v>909</v>
      </c>
      <c r="C3651" s="2" t="s">
        <v>5</v>
      </c>
      <c r="D3651" s="2" t="s">
        <v>908</v>
      </c>
      <c r="E3651" s="3">
        <v>80</v>
      </c>
      <c r="F3651" s="3">
        <f t="shared" si="7"/>
        <v>6.666666666666667</v>
      </c>
      <c r="G3651" s="4">
        <v>44539</v>
      </c>
    </row>
    <row r="3652" spans="2:18" x14ac:dyDescent="0.15">
      <c r="B3652" s="1" t="s">
        <v>907</v>
      </c>
      <c r="C3652" s="2" t="s">
        <v>5</v>
      </c>
      <c r="D3652" s="2" t="s">
        <v>902</v>
      </c>
      <c r="E3652" s="3">
        <v>70</v>
      </c>
      <c r="F3652" s="3">
        <f t="shared" si="7"/>
        <v>6.666666666666667</v>
      </c>
      <c r="G3652" s="4">
        <v>45035</v>
      </c>
    </row>
    <row r="3653" spans="2:18" x14ac:dyDescent="0.15">
      <c r="B3653" s="1" t="s">
        <v>906</v>
      </c>
      <c r="C3653" s="2" t="s">
        <v>5</v>
      </c>
      <c r="D3653" s="2" t="s">
        <v>902</v>
      </c>
      <c r="E3653" s="3">
        <v>70</v>
      </c>
      <c r="F3653" s="3">
        <f t="shared" si="7"/>
        <v>6.666666666666667</v>
      </c>
      <c r="G3653" s="4">
        <v>45035</v>
      </c>
    </row>
    <row r="3654" spans="2:18" x14ac:dyDescent="0.15">
      <c r="B3654" s="1" t="s">
        <v>905</v>
      </c>
      <c r="C3654" s="2" t="s">
        <v>5</v>
      </c>
      <c r="D3654" s="2" t="s">
        <v>902</v>
      </c>
      <c r="E3654" s="3">
        <v>70</v>
      </c>
      <c r="F3654" s="3">
        <f t="shared" si="7"/>
        <v>6.666666666666667</v>
      </c>
      <c r="G3654" s="4">
        <v>45035</v>
      </c>
    </row>
    <row r="3655" spans="2:18" x14ac:dyDescent="0.15">
      <c r="B3655" s="1" t="s">
        <v>904</v>
      </c>
      <c r="C3655" s="2" t="s">
        <v>5</v>
      </c>
      <c r="D3655" s="2" t="s">
        <v>902</v>
      </c>
      <c r="E3655" s="3">
        <v>70</v>
      </c>
      <c r="F3655" s="3">
        <f t="shared" si="7"/>
        <v>6.666666666666667</v>
      </c>
      <c r="G3655" s="4">
        <v>45035</v>
      </c>
    </row>
    <row r="3656" spans="2:18" x14ac:dyDescent="0.15">
      <c r="B3656" s="1" t="s">
        <v>903</v>
      </c>
      <c r="C3656" s="2" t="s">
        <v>5</v>
      </c>
      <c r="D3656" s="2" t="s">
        <v>902</v>
      </c>
      <c r="E3656" s="3">
        <v>70</v>
      </c>
      <c r="F3656" s="3">
        <f t="shared" si="7"/>
        <v>6.666666666666667</v>
      </c>
      <c r="G3656" s="4">
        <v>45035</v>
      </c>
    </row>
    <row r="3657" spans="2:18" x14ac:dyDescent="0.15">
      <c r="B3657" s="1" t="s">
        <v>900</v>
      </c>
      <c r="C3657" s="2" t="s">
        <v>4</v>
      </c>
      <c r="D3657" s="2" t="s">
        <v>849</v>
      </c>
      <c r="E3657" s="3">
        <v>16</v>
      </c>
      <c r="F3657" s="3">
        <v>6</v>
      </c>
      <c r="G3657" s="4">
        <v>44298</v>
      </c>
    </row>
    <row r="3658" spans="2:18" x14ac:dyDescent="0.15">
      <c r="B3658" s="1" t="s">
        <v>899</v>
      </c>
      <c r="C3658" s="2" t="s">
        <v>4</v>
      </c>
      <c r="D3658" s="2" t="s">
        <v>662</v>
      </c>
      <c r="E3658" s="3">
        <v>13</v>
      </c>
      <c r="F3658" s="3">
        <v>6</v>
      </c>
      <c r="G3658" s="4">
        <v>44896</v>
      </c>
    </row>
    <row r="3659" spans="2:18" x14ac:dyDescent="0.15">
      <c r="B3659" s="1" t="s">
        <v>898</v>
      </c>
      <c r="C3659" s="2" t="s">
        <v>5</v>
      </c>
      <c r="D3659" s="2" t="s">
        <v>811</v>
      </c>
      <c r="E3659" s="3">
        <v>11</v>
      </c>
      <c r="F3659" s="3">
        <v>6</v>
      </c>
      <c r="G3659" s="4">
        <v>44044</v>
      </c>
    </row>
    <row r="3660" spans="2:18" x14ac:dyDescent="0.15">
      <c r="B3660" s="1" t="s">
        <v>593</v>
      </c>
      <c r="C3660" s="2" t="s">
        <v>4</v>
      </c>
      <c r="D3660" s="2" t="s">
        <v>592</v>
      </c>
      <c r="E3660" s="3">
        <v>6</v>
      </c>
      <c r="F3660" s="3">
        <v>6</v>
      </c>
      <c r="G3660" s="4">
        <v>44852</v>
      </c>
      <c r="M3660" s="1"/>
      <c r="N3660" s="1"/>
      <c r="O3660" s="1"/>
      <c r="P3660" s="1"/>
      <c r="Q3660" s="1"/>
      <c r="R3660" s="1"/>
    </row>
    <row r="3661" spans="2:18" x14ac:dyDescent="0.15">
      <c r="B3661" s="1" t="s">
        <v>479</v>
      </c>
      <c r="C3661" s="2" t="s">
        <v>7</v>
      </c>
      <c r="D3661" s="2" t="s">
        <v>476</v>
      </c>
      <c r="E3661" s="3">
        <v>90</v>
      </c>
      <c r="F3661" s="3">
        <v>6</v>
      </c>
      <c r="G3661" s="4">
        <v>44398</v>
      </c>
      <c r="M3661" s="1"/>
      <c r="N3661" s="1"/>
      <c r="O3661" s="1"/>
      <c r="P3661" s="1"/>
      <c r="Q3661" s="1"/>
      <c r="R3661" s="1"/>
    </row>
    <row r="3662" spans="2:18" x14ac:dyDescent="0.15">
      <c r="B3662" s="1" t="s">
        <v>478</v>
      </c>
      <c r="C3662" s="2" t="s">
        <v>7</v>
      </c>
      <c r="D3662" s="2" t="s">
        <v>476</v>
      </c>
      <c r="E3662" s="3">
        <v>90</v>
      </c>
      <c r="F3662" s="3">
        <v>6</v>
      </c>
      <c r="G3662" s="4">
        <v>44398</v>
      </c>
      <c r="M3662" s="1"/>
      <c r="N3662" s="1"/>
      <c r="O3662" s="1"/>
      <c r="P3662" s="1"/>
      <c r="Q3662" s="1"/>
      <c r="R3662" s="1"/>
    </row>
    <row r="3663" spans="2:18" x14ac:dyDescent="0.15">
      <c r="B3663" s="1" t="s">
        <v>358</v>
      </c>
      <c r="C3663" s="2" t="s">
        <v>5</v>
      </c>
      <c r="D3663" s="2" t="s">
        <v>355</v>
      </c>
      <c r="E3663" s="3">
        <v>16</v>
      </c>
      <c r="F3663" s="3">
        <v>6</v>
      </c>
      <c r="G3663" s="4">
        <v>44663</v>
      </c>
      <c r="M3663" s="1"/>
      <c r="N3663" s="1"/>
      <c r="O3663" s="1"/>
      <c r="P3663" s="1"/>
      <c r="Q3663" s="1"/>
      <c r="R3663" s="1"/>
    </row>
    <row r="3664" spans="2:18" x14ac:dyDescent="0.15">
      <c r="B3664" s="1" t="s">
        <v>357</v>
      </c>
      <c r="C3664" s="2" t="s">
        <v>4</v>
      </c>
      <c r="D3664" s="2" t="s">
        <v>355</v>
      </c>
      <c r="E3664" s="3">
        <v>12</v>
      </c>
      <c r="F3664" s="3">
        <v>6</v>
      </c>
      <c r="G3664" s="4">
        <v>44271</v>
      </c>
      <c r="M3664" s="1"/>
      <c r="N3664" s="1"/>
      <c r="O3664" s="1"/>
      <c r="P3664" s="1"/>
      <c r="Q3664" s="1"/>
      <c r="R3664" s="1"/>
    </row>
    <row r="3665" spans="2:18" x14ac:dyDescent="0.15">
      <c r="B3665" s="1" t="s">
        <v>295</v>
      </c>
      <c r="C3665" s="2" t="s">
        <v>18</v>
      </c>
      <c r="D3665" s="2" t="s">
        <v>292</v>
      </c>
      <c r="E3665" s="3">
        <v>38</v>
      </c>
      <c r="F3665" s="3">
        <v>6</v>
      </c>
      <c r="G3665" s="4">
        <v>43104</v>
      </c>
    </row>
    <row r="3666" spans="2:18" x14ac:dyDescent="0.15">
      <c r="B3666" s="1" t="s">
        <v>199</v>
      </c>
      <c r="C3666" s="2" t="s">
        <v>7</v>
      </c>
      <c r="D3666" s="2" t="s">
        <v>197</v>
      </c>
      <c r="E3666" s="3">
        <v>46</v>
      </c>
      <c r="F3666" s="3">
        <f>30/5</f>
        <v>6</v>
      </c>
      <c r="G3666" s="4">
        <v>42941</v>
      </c>
    </row>
    <row r="3667" spans="2:18" x14ac:dyDescent="0.15">
      <c r="B3667" s="99" t="s">
        <v>5462</v>
      </c>
      <c r="C3667" s="100" t="s">
        <v>18</v>
      </c>
      <c r="D3667" s="100" t="s">
        <v>5458</v>
      </c>
      <c r="E3667" s="3">
        <v>37</v>
      </c>
      <c r="F3667" s="3">
        <v>6</v>
      </c>
      <c r="G3667" s="4">
        <v>43831</v>
      </c>
      <c r="J3667" s="1">
        <v>2000</v>
      </c>
    </row>
    <row r="3668" spans="2:18" x14ac:dyDescent="0.15">
      <c r="B3668" s="189" t="s">
        <v>6719</v>
      </c>
      <c r="C3668" s="190" t="s">
        <v>7</v>
      </c>
      <c r="D3668" s="190" t="s">
        <v>2035</v>
      </c>
      <c r="E3668" s="3">
        <v>16</v>
      </c>
      <c r="F3668" s="3">
        <v>6</v>
      </c>
      <c r="G3668" s="4">
        <v>44825</v>
      </c>
    </row>
    <row r="3669" spans="2:18" x14ac:dyDescent="0.15">
      <c r="B3669" s="1" t="s">
        <v>316</v>
      </c>
      <c r="C3669" s="2" t="s">
        <v>5</v>
      </c>
      <c r="D3669" s="2" t="s">
        <v>313</v>
      </c>
      <c r="E3669" s="3">
        <v>57</v>
      </c>
      <c r="F3669" s="3">
        <v>5.625</v>
      </c>
      <c r="G3669" s="4">
        <v>44508</v>
      </c>
      <c r="M3669" s="1"/>
      <c r="N3669" s="1"/>
      <c r="O3669" s="1"/>
      <c r="P3669" s="1"/>
      <c r="Q3669" s="1"/>
      <c r="R3669" s="1"/>
    </row>
    <row r="3670" spans="2:18" x14ac:dyDescent="0.15">
      <c r="B3670" s="1" t="s">
        <v>315</v>
      </c>
      <c r="C3670" s="2" t="s">
        <v>5</v>
      </c>
      <c r="D3670" s="2" t="s">
        <v>313</v>
      </c>
      <c r="E3670" s="3">
        <v>57</v>
      </c>
      <c r="F3670" s="3">
        <v>5.625</v>
      </c>
      <c r="G3670" s="4">
        <v>44508</v>
      </c>
      <c r="M3670" s="1"/>
      <c r="N3670" s="1"/>
      <c r="O3670" s="1"/>
      <c r="P3670" s="1"/>
      <c r="Q3670" s="1"/>
      <c r="R3670" s="1"/>
    </row>
    <row r="3671" spans="2:18" x14ac:dyDescent="0.15">
      <c r="B3671" s="1" t="s">
        <v>314</v>
      </c>
      <c r="C3671" s="2" t="s">
        <v>5</v>
      </c>
      <c r="D3671" s="2" t="s">
        <v>313</v>
      </c>
      <c r="E3671" s="3">
        <v>57</v>
      </c>
      <c r="F3671" s="3">
        <v>5.625</v>
      </c>
      <c r="G3671" s="4">
        <v>44508</v>
      </c>
      <c r="M3671" s="1"/>
      <c r="N3671" s="1"/>
      <c r="O3671" s="1"/>
      <c r="P3671" s="1"/>
      <c r="Q3671" s="1"/>
      <c r="R3671" s="1"/>
    </row>
    <row r="3672" spans="2:18" x14ac:dyDescent="0.15">
      <c r="B3672" s="1" t="s">
        <v>266</v>
      </c>
      <c r="C3672" s="2" t="s">
        <v>18</v>
      </c>
      <c r="D3672" s="2" t="s">
        <v>258</v>
      </c>
      <c r="E3672" s="3">
        <v>55</v>
      </c>
      <c r="F3672" s="3">
        <v>5.625</v>
      </c>
      <c r="G3672" s="4">
        <v>44314</v>
      </c>
    </row>
    <row r="3673" spans="2:18" x14ac:dyDescent="0.15">
      <c r="B3673" s="1" t="s">
        <v>897</v>
      </c>
      <c r="C3673" s="2" t="s">
        <v>5</v>
      </c>
      <c r="D3673" s="2" t="s">
        <v>639</v>
      </c>
      <c r="E3673" s="3">
        <v>10.6</v>
      </c>
      <c r="F3673" s="3">
        <v>5.6</v>
      </c>
      <c r="G3673" s="4">
        <v>44819</v>
      </c>
    </row>
    <row r="3674" spans="2:18" x14ac:dyDescent="0.15">
      <c r="B3674" s="1" t="s">
        <v>637</v>
      </c>
      <c r="C3674" s="2" t="s">
        <v>4</v>
      </c>
      <c r="D3674" s="2" t="s">
        <v>636</v>
      </c>
      <c r="E3674" s="3">
        <v>10.6</v>
      </c>
      <c r="F3674" s="3">
        <v>5.6</v>
      </c>
      <c r="G3674" s="4">
        <v>45007</v>
      </c>
      <c r="M3674" s="1"/>
      <c r="N3674" s="1"/>
      <c r="O3674" s="1"/>
      <c r="P3674" s="1"/>
      <c r="Q3674" s="1"/>
      <c r="R3674" s="1"/>
    </row>
    <row r="3675" spans="2:18" x14ac:dyDescent="0.15">
      <c r="B3675" s="1" t="s">
        <v>58</v>
      </c>
      <c r="C3675" s="2" t="s">
        <v>5</v>
      </c>
      <c r="D3675" s="2" t="s">
        <v>57</v>
      </c>
      <c r="E3675" s="3">
        <v>29.5</v>
      </c>
      <c r="F3675" s="3">
        <f>E3675-24</f>
        <v>5.5</v>
      </c>
      <c r="G3675" s="4">
        <v>43410</v>
      </c>
    </row>
    <row r="3676" spans="2:18" x14ac:dyDescent="0.15">
      <c r="C3676" s="2" t="s">
        <v>4</v>
      </c>
      <c r="D3676" s="2" t="s">
        <v>7368</v>
      </c>
      <c r="E3676" s="3">
        <v>3</v>
      </c>
      <c r="F3676" s="3">
        <v>1</v>
      </c>
      <c r="G3676" s="4">
        <v>44452</v>
      </c>
    </row>
    <row r="3677" spans="2:18" x14ac:dyDescent="0.15">
      <c r="B3677" s="168" t="s">
        <v>6437</v>
      </c>
      <c r="C3677" s="169" t="s">
        <v>7</v>
      </c>
      <c r="D3677" s="169" t="s">
        <v>2046</v>
      </c>
      <c r="E3677" s="3">
        <v>42</v>
      </c>
      <c r="F3677" s="3">
        <f>22/4</f>
        <v>5.5</v>
      </c>
      <c r="G3677" s="4">
        <v>44831</v>
      </c>
    </row>
    <row r="3678" spans="2:18" x14ac:dyDescent="0.15">
      <c r="B3678" s="1" t="s">
        <v>896</v>
      </c>
      <c r="C3678" s="2" t="s">
        <v>7</v>
      </c>
      <c r="D3678" s="2" t="s">
        <v>895</v>
      </c>
      <c r="E3678" s="3">
        <v>40</v>
      </c>
      <c r="F3678" s="3">
        <v>5</v>
      </c>
      <c r="G3678" s="4">
        <v>44728</v>
      </c>
    </row>
    <row r="3679" spans="2:18" x14ac:dyDescent="0.15">
      <c r="B3679" s="1" t="s">
        <v>894</v>
      </c>
      <c r="C3679" s="2" t="s">
        <v>7</v>
      </c>
      <c r="D3679" s="2" t="s">
        <v>892</v>
      </c>
      <c r="E3679" s="3">
        <v>40</v>
      </c>
      <c r="F3679" s="3">
        <v>5</v>
      </c>
      <c r="G3679" s="4">
        <v>44650</v>
      </c>
    </row>
    <row r="3680" spans="2:18" x14ac:dyDescent="0.15">
      <c r="B3680" s="1" t="s">
        <v>891</v>
      </c>
      <c r="C3680" s="2" t="s">
        <v>5</v>
      </c>
      <c r="D3680" s="2" t="s">
        <v>820</v>
      </c>
      <c r="E3680" s="3">
        <v>20</v>
      </c>
      <c r="F3680" s="3">
        <v>5</v>
      </c>
      <c r="G3680" s="4">
        <v>44578</v>
      </c>
    </row>
    <row r="3681" spans="2:18" x14ac:dyDescent="0.15">
      <c r="B3681" s="1" t="s">
        <v>890</v>
      </c>
      <c r="C3681" s="2" t="s">
        <v>5</v>
      </c>
      <c r="D3681" s="2" t="s">
        <v>889</v>
      </c>
      <c r="E3681" s="3">
        <v>20</v>
      </c>
      <c r="F3681" s="3">
        <v>5</v>
      </c>
      <c r="G3681" s="4">
        <v>45009</v>
      </c>
    </row>
    <row r="3682" spans="2:18" x14ac:dyDescent="0.15">
      <c r="G3682" s="4"/>
    </row>
    <row r="3683" spans="2:18" x14ac:dyDescent="0.15">
      <c r="B3683" s="258" t="s">
        <v>7472</v>
      </c>
      <c r="C3683" s="2" t="s">
        <v>4</v>
      </c>
      <c r="D3683" s="2" t="s">
        <v>888</v>
      </c>
      <c r="E3683" s="3">
        <v>20</v>
      </c>
      <c r="F3683" s="3">
        <v>5</v>
      </c>
      <c r="G3683" s="4">
        <v>44614</v>
      </c>
    </row>
    <row r="3684" spans="2:18" x14ac:dyDescent="0.15">
      <c r="C3684" s="261" t="s">
        <v>4</v>
      </c>
      <c r="D3684" s="261" t="s">
        <v>2018</v>
      </c>
      <c r="E3684" s="3">
        <v>11</v>
      </c>
      <c r="F3684" s="3">
        <f>8/6</f>
        <v>1.3333333333333333</v>
      </c>
      <c r="G3684" s="4">
        <v>44686</v>
      </c>
    </row>
    <row r="3685" spans="2:18" x14ac:dyDescent="0.15">
      <c r="G3685" s="4"/>
    </row>
    <row r="3686" spans="2:18" x14ac:dyDescent="0.15">
      <c r="B3686" s="1" t="s">
        <v>886</v>
      </c>
      <c r="C3686" s="2" t="s">
        <v>4</v>
      </c>
      <c r="D3686" s="2" t="s">
        <v>687</v>
      </c>
      <c r="E3686" s="3">
        <v>30</v>
      </c>
      <c r="F3686" s="3">
        <v>5</v>
      </c>
      <c r="G3686" s="4">
        <v>44601</v>
      </c>
    </row>
    <row r="3687" spans="2:18" x14ac:dyDescent="0.15">
      <c r="B3687" s="1" t="s">
        <v>885</v>
      </c>
      <c r="C3687" s="2" t="s">
        <v>7</v>
      </c>
      <c r="D3687" s="2" t="s">
        <v>884</v>
      </c>
      <c r="E3687" s="3">
        <v>75</v>
      </c>
      <c r="F3687" s="3">
        <v>5</v>
      </c>
      <c r="G3687" s="4">
        <v>43783</v>
      </c>
    </row>
    <row r="3688" spans="2:18" x14ac:dyDescent="0.15">
      <c r="B3688" s="1" t="s">
        <v>591</v>
      </c>
      <c r="C3688" s="2" t="s">
        <v>5</v>
      </c>
      <c r="D3688" s="2" t="s">
        <v>585</v>
      </c>
      <c r="E3688" s="3">
        <v>20</v>
      </c>
      <c r="F3688" s="3">
        <v>5</v>
      </c>
      <c r="G3688" s="4">
        <v>44801</v>
      </c>
      <c r="M3688" s="1"/>
      <c r="N3688" s="1"/>
      <c r="O3688" s="1"/>
      <c r="P3688" s="1"/>
      <c r="Q3688" s="1"/>
      <c r="R3688" s="1"/>
    </row>
    <row r="3689" spans="2:18" x14ac:dyDescent="0.15">
      <c r="B3689" s="1" t="s">
        <v>561</v>
      </c>
      <c r="C3689" s="2" t="s">
        <v>5</v>
      </c>
      <c r="D3689" s="2" t="s">
        <v>560</v>
      </c>
      <c r="E3689" s="3">
        <v>20</v>
      </c>
      <c r="F3689" s="3">
        <v>5</v>
      </c>
      <c r="G3689" s="4">
        <v>44671</v>
      </c>
      <c r="M3689" s="1"/>
      <c r="N3689" s="1"/>
      <c r="O3689" s="1"/>
      <c r="P3689" s="1"/>
      <c r="Q3689" s="1"/>
      <c r="R3689" s="1"/>
    </row>
    <row r="3690" spans="2:18" x14ac:dyDescent="0.15">
      <c r="B3690" s="1" t="s">
        <v>540</v>
      </c>
      <c r="C3690" s="2" t="s">
        <v>18</v>
      </c>
      <c r="D3690" s="2" t="s">
        <v>534</v>
      </c>
      <c r="E3690" s="3">
        <v>45</v>
      </c>
      <c r="F3690" s="3">
        <v>5</v>
      </c>
      <c r="G3690" s="4">
        <v>44159</v>
      </c>
      <c r="M3690" s="1"/>
      <c r="N3690" s="1"/>
      <c r="O3690" s="1"/>
      <c r="P3690" s="1"/>
      <c r="Q3690" s="1"/>
      <c r="R3690" s="1"/>
    </row>
    <row r="3691" spans="2:18" x14ac:dyDescent="0.15">
      <c r="B3691" s="1" t="s">
        <v>539</v>
      </c>
      <c r="C3691" s="2" t="s">
        <v>18</v>
      </c>
      <c r="D3691" s="2" t="s">
        <v>534</v>
      </c>
      <c r="E3691" s="3">
        <v>45</v>
      </c>
      <c r="F3691" s="3">
        <v>5</v>
      </c>
      <c r="G3691" s="4">
        <v>44159</v>
      </c>
      <c r="M3691" s="1"/>
      <c r="N3691" s="1"/>
      <c r="O3691" s="1"/>
      <c r="P3691" s="1"/>
      <c r="Q3691" s="1"/>
      <c r="R3691" s="1"/>
    </row>
    <row r="3692" spans="2:18" x14ac:dyDescent="0.15">
      <c r="B3692" s="1" t="s">
        <v>538</v>
      </c>
      <c r="C3692" s="2" t="s">
        <v>18</v>
      </c>
      <c r="D3692" s="2" t="s">
        <v>534</v>
      </c>
      <c r="E3692" s="3">
        <v>45</v>
      </c>
      <c r="F3692" s="3">
        <v>5</v>
      </c>
      <c r="G3692" s="4">
        <v>44159</v>
      </c>
      <c r="M3692" s="1"/>
      <c r="N3692" s="1"/>
      <c r="O3692" s="1"/>
      <c r="P3692" s="1"/>
      <c r="Q3692" s="1"/>
      <c r="R3692" s="1"/>
    </row>
    <row r="3693" spans="2:18" x14ac:dyDescent="0.15">
      <c r="B3693" s="1" t="s">
        <v>537</v>
      </c>
      <c r="C3693" s="2" t="s">
        <v>18</v>
      </c>
      <c r="D3693" s="2" t="s">
        <v>534</v>
      </c>
      <c r="E3693" s="3">
        <v>45</v>
      </c>
      <c r="F3693" s="3">
        <v>5</v>
      </c>
      <c r="G3693" s="4">
        <v>44159</v>
      </c>
      <c r="M3693" s="1"/>
      <c r="N3693" s="1"/>
      <c r="O3693" s="1"/>
      <c r="P3693" s="1"/>
      <c r="Q3693" s="1"/>
      <c r="R3693" s="1"/>
    </row>
    <row r="3694" spans="2:18" x14ac:dyDescent="0.15">
      <c r="B3694" s="1" t="s">
        <v>536</v>
      </c>
      <c r="C3694" s="2" t="s">
        <v>18</v>
      </c>
      <c r="D3694" s="2" t="s">
        <v>534</v>
      </c>
      <c r="E3694" s="3">
        <v>45</v>
      </c>
      <c r="F3694" s="3">
        <v>5</v>
      </c>
      <c r="G3694" s="4">
        <v>44159</v>
      </c>
      <c r="M3694" s="1"/>
      <c r="N3694" s="1"/>
      <c r="O3694" s="1"/>
      <c r="P3694" s="1"/>
      <c r="Q3694" s="1"/>
      <c r="R3694" s="1"/>
    </row>
    <row r="3695" spans="2:18" x14ac:dyDescent="0.15">
      <c r="B3695" s="1" t="s">
        <v>535</v>
      </c>
      <c r="C3695" s="2" t="s">
        <v>18</v>
      </c>
      <c r="D3695" s="2" t="s">
        <v>534</v>
      </c>
      <c r="E3695" s="3">
        <v>45</v>
      </c>
      <c r="F3695" s="3">
        <v>5</v>
      </c>
      <c r="G3695" s="4">
        <v>44159</v>
      </c>
      <c r="M3695" s="1"/>
      <c r="N3695" s="1"/>
      <c r="O3695" s="1"/>
      <c r="P3695" s="1"/>
      <c r="Q3695" s="1"/>
      <c r="R3695" s="1"/>
    </row>
    <row r="3696" spans="2:18" x14ac:dyDescent="0.15">
      <c r="B3696" s="1" t="s">
        <v>531</v>
      </c>
      <c r="C3696" s="2" t="s">
        <v>18</v>
      </c>
      <c r="D3696" s="2" t="s">
        <v>521</v>
      </c>
      <c r="E3696" s="3">
        <v>60</v>
      </c>
      <c r="F3696" s="3">
        <v>5</v>
      </c>
      <c r="G3696" s="4">
        <v>43606</v>
      </c>
      <c r="M3696" s="1"/>
      <c r="N3696" s="1"/>
      <c r="O3696" s="1"/>
      <c r="P3696" s="1"/>
      <c r="Q3696" s="1"/>
      <c r="R3696" s="1"/>
    </row>
    <row r="3697" spans="2:18" x14ac:dyDescent="0.15">
      <c r="B3697" s="1" t="s">
        <v>530</v>
      </c>
      <c r="C3697" s="2" t="s">
        <v>18</v>
      </c>
      <c r="D3697" s="2" t="s">
        <v>521</v>
      </c>
      <c r="E3697" s="3">
        <v>60</v>
      </c>
      <c r="F3697" s="3">
        <v>5</v>
      </c>
      <c r="G3697" s="4">
        <v>43606</v>
      </c>
      <c r="M3697" s="1"/>
      <c r="N3697" s="1"/>
      <c r="O3697" s="1"/>
      <c r="P3697" s="1"/>
      <c r="Q3697" s="1"/>
      <c r="R3697" s="1"/>
    </row>
    <row r="3698" spans="2:18" x14ac:dyDescent="0.15">
      <c r="B3698" s="1" t="s">
        <v>465</v>
      </c>
      <c r="C3698" s="2" t="s">
        <v>7</v>
      </c>
      <c r="D3698" s="2" t="s">
        <v>462</v>
      </c>
      <c r="E3698" s="3">
        <v>25.7</v>
      </c>
      <c r="F3698" s="3">
        <v>5</v>
      </c>
      <c r="G3698" s="4">
        <v>43837</v>
      </c>
      <c r="M3698" s="1"/>
      <c r="N3698" s="1"/>
      <c r="O3698" s="1"/>
      <c r="P3698" s="1"/>
      <c r="Q3698" s="1"/>
      <c r="R3698" s="1"/>
    </row>
    <row r="3699" spans="2:18" x14ac:dyDescent="0.15">
      <c r="B3699" s="1" t="s">
        <v>463</v>
      </c>
      <c r="C3699" s="2" t="s">
        <v>7</v>
      </c>
      <c r="D3699" s="2" t="s">
        <v>462</v>
      </c>
      <c r="E3699" s="3">
        <v>25.7</v>
      </c>
      <c r="F3699" s="3">
        <v>5</v>
      </c>
      <c r="G3699" s="4">
        <v>43837</v>
      </c>
      <c r="M3699" s="1"/>
      <c r="N3699" s="1"/>
      <c r="O3699" s="1"/>
      <c r="P3699" s="1"/>
      <c r="Q3699" s="1"/>
      <c r="R3699" s="1"/>
    </row>
    <row r="3700" spans="2:18" x14ac:dyDescent="0.15">
      <c r="B3700" s="1" t="s">
        <v>407</v>
      </c>
      <c r="C3700" s="2" t="s">
        <v>7</v>
      </c>
      <c r="D3700" s="2" t="s">
        <v>404</v>
      </c>
      <c r="E3700" s="3">
        <v>50</v>
      </c>
      <c r="F3700" s="3">
        <f>30/6</f>
        <v>5</v>
      </c>
      <c r="G3700" s="4">
        <v>44538</v>
      </c>
      <c r="M3700" s="1"/>
      <c r="N3700" s="1"/>
      <c r="O3700" s="1"/>
      <c r="P3700" s="1"/>
      <c r="Q3700" s="1"/>
      <c r="R3700" s="1"/>
    </row>
    <row r="3701" spans="2:18" x14ac:dyDescent="0.15">
      <c r="B3701" s="1" t="s">
        <v>377</v>
      </c>
      <c r="C3701" s="2" t="s">
        <v>7</v>
      </c>
      <c r="D3701" s="2" t="s">
        <v>374</v>
      </c>
      <c r="E3701" s="3">
        <v>44</v>
      </c>
      <c r="F3701" s="3">
        <f>30/6</f>
        <v>5</v>
      </c>
      <c r="G3701" s="4">
        <v>43909</v>
      </c>
      <c r="M3701" s="1"/>
      <c r="N3701" s="1"/>
      <c r="O3701" s="1"/>
      <c r="P3701" s="1"/>
      <c r="Q3701" s="1"/>
      <c r="R3701" s="1"/>
    </row>
    <row r="3702" spans="2:18" x14ac:dyDescent="0.15">
      <c r="B3702" s="1" t="s">
        <v>288</v>
      </c>
      <c r="C3702" s="2" t="s">
        <v>7</v>
      </c>
      <c r="D3702" s="2" t="s">
        <v>286</v>
      </c>
      <c r="E3702" s="3">
        <v>35</v>
      </c>
      <c r="F3702" s="3">
        <f>15/3</f>
        <v>5</v>
      </c>
      <c r="G3702" s="4">
        <v>44309</v>
      </c>
    </row>
    <row r="3703" spans="2:18" x14ac:dyDescent="0.15">
      <c r="B3703" s="1" t="s">
        <v>282</v>
      </c>
      <c r="C3703" s="2" t="s">
        <v>5</v>
      </c>
      <c r="D3703" s="2" t="s">
        <v>281</v>
      </c>
      <c r="E3703" s="3">
        <v>32</v>
      </c>
      <c r="F3703" s="3">
        <v>5</v>
      </c>
      <c r="G3703" s="4">
        <v>44851</v>
      </c>
    </row>
    <row r="3704" spans="2:18" x14ac:dyDescent="0.15">
      <c r="B3704" s="1" t="s">
        <v>132</v>
      </c>
      <c r="C3704" s="2" t="s">
        <v>7</v>
      </c>
      <c r="D3704" s="2" t="s">
        <v>131</v>
      </c>
      <c r="E3704" s="3">
        <v>32</v>
      </c>
      <c r="F3704" s="3">
        <v>5</v>
      </c>
      <c r="G3704" s="4">
        <v>42528</v>
      </c>
    </row>
    <row r="3705" spans="2:18" x14ac:dyDescent="0.15">
      <c r="B3705" s="1" t="s">
        <v>65</v>
      </c>
      <c r="C3705" s="2" t="s">
        <v>5</v>
      </c>
      <c r="D3705" s="2" t="s">
        <v>64</v>
      </c>
      <c r="E3705" s="3">
        <v>50</v>
      </c>
      <c r="F3705" s="3">
        <f>20/4</f>
        <v>5</v>
      </c>
      <c r="G3705" s="4">
        <v>44165</v>
      </c>
    </row>
    <row r="3706" spans="2:18" x14ac:dyDescent="0.15">
      <c r="B3706" s="1" t="s">
        <v>40</v>
      </c>
      <c r="C3706" s="2" t="s">
        <v>5</v>
      </c>
      <c r="D3706" s="2" t="s">
        <v>39</v>
      </c>
      <c r="E3706" s="3">
        <v>25</v>
      </c>
      <c r="F3706" s="3">
        <v>5</v>
      </c>
      <c r="G3706" s="4">
        <v>42374</v>
      </c>
      <c r="J3706" s="1">
        <v>2000</v>
      </c>
    </row>
    <row r="3707" spans="2:18" x14ac:dyDescent="0.15">
      <c r="B3707" s="192" t="s">
        <v>6828</v>
      </c>
      <c r="C3707" s="193" t="s">
        <v>5</v>
      </c>
      <c r="D3707" s="193" t="s">
        <v>6829</v>
      </c>
      <c r="E3707" s="3">
        <v>11</v>
      </c>
      <c r="F3707" s="3">
        <v>5</v>
      </c>
      <c r="G3707" s="4">
        <v>43215</v>
      </c>
    </row>
    <row r="3708" spans="2:18" x14ac:dyDescent="0.15">
      <c r="B3708" s="1" t="s">
        <v>390</v>
      </c>
      <c r="C3708" s="2" t="s">
        <v>7</v>
      </c>
      <c r="D3708" s="2" t="s">
        <v>386</v>
      </c>
      <c r="E3708" s="3">
        <v>9.4</v>
      </c>
      <c r="F3708" s="3">
        <f>E3708/2</f>
        <v>4.7</v>
      </c>
      <c r="G3708" s="4">
        <v>42968</v>
      </c>
      <c r="M3708" s="1"/>
      <c r="N3708" s="1"/>
      <c r="O3708" s="1"/>
      <c r="P3708" s="1"/>
      <c r="Q3708" s="1"/>
      <c r="R3708" s="1"/>
    </row>
    <row r="3709" spans="2:18" x14ac:dyDescent="0.15">
      <c r="B3709" s="1" t="s">
        <v>389</v>
      </c>
      <c r="C3709" s="2" t="s">
        <v>7</v>
      </c>
      <c r="D3709" s="2" t="s">
        <v>386</v>
      </c>
      <c r="E3709" s="3">
        <v>9.4</v>
      </c>
      <c r="F3709" s="3">
        <f>E3709/2</f>
        <v>4.7</v>
      </c>
      <c r="G3709" s="4">
        <v>42968</v>
      </c>
      <c r="M3709" s="1"/>
      <c r="N3709" s="1"/>
      <c r="O3709" s="1"/>
      <c r="P3709" s="1"/>
      <c r="Q3709" s="1"/>
      <c r="R3709" s="1"/>
    </row>
    <row r="3710" spans="2:18" x14ac:dyDescent="0.15">
      <c r="B3710" s="1" t="s">
        <v>883</v>
      </c>
      <c r="C3710" s="2" t="s">
        <v>5</v>
      </c>
      <c r="D3710" s="2" t="s">
        <v>844</v>
      </c>
      <c r="E3710" s="3">
        <v>44</v>
      </c>
      <c r="F3710" s="3">
        <f>14/3</f>
        <v>4.666666666666667</v>
      </c>
      <c r="G3710" s="4">
        <v>44671</v>
      </c>
    </row>
    <row r="3711" spans="2:18" x14ac:dyDescent="0.15">
      <c r="B3711" s="1" t="s">
        <v>882</v>
      </c>
      <c r="C3711" s="2" t="s">
        <v>5</v>
      </c>
      <c r="D3711" s="2" t="s">
        <v>844</v>
      </c>
      <c r="E3711" s="3">
        <v>44</v>
      </c>
      <c r="F3711" s="3">
        <f>14/3</f>
        <v>4.666666666666667</v>
      </c>
      <c r="G3711" s="4">
        <v>44671</v>
      </c>
    </row>
    <row r="3712" spans="2:18" x14ac:dyDescent="0.15">
      <c r="B3712" s="1" t="s">
        <v>881</v>
      </c>
      <c r="C3712" s="2" t="s">
        <v>5</v>
      </c>
      <c r="D3712" s="2" t="s">
        <v>844</v>
      </c>
      <c r="E3712" s="3">
        <v>44</v>
      </c>
      <c r="F3712" s="3">
        <f>14/3</f>
        <v>4.666666666666667</v>
      </c>
      <c r="G3712" s="4">
        <v>44671</v>
      </c>
    </row>
    <row r="3713" spans="2:18" x14ac:dyDescent="0.15">
      <c r="B3713" s="1" t="s">
        <v>880</v>
      </c>
      <c r="C3713" s="2" t="s">
        <v>5</v>
      </c>
      <c r="D3713" s="2" t="s">
        <v>673</v>
      </c>
      <c r="E3713" s="3">
        <v>14.5</v>
      </c>
      <c r="F3713" s="3">
        <v>4.5</v>
      </c>
      <c r="G3713" s="4">
        <v>44389</v>
      </c>
    </row>
    <row r="3714" spans="2:18" x14ac:dyDescent="0.15">
      <c r="B3714" s="1" t="s">
        <v>135</v>
      </c>
      <c r="C3714" s="2" t="s">
        <v>18</v>
      </c>
      <c r="D3714" s="2" t="s">
        <v>131</v>
      </c>
      <c r="E3714" s="3">
        <v>31.7</v>
      </c>
      <c r="F3714" s="3">
        <f>18/4</f>
        <v>4.5</v>
      </c>
      <c r="G3714" s="4">
        <v>43599</v>
      </c>
    </row>
    <row r="3715" spans="2:18" x14ac:dyDescent="0.15">
      <c r="B3715" s="1" t="s">
        <v>134</v>
      </c>
      <c r="C3715" s="2" t="s">
        <v>18</v>
      </c>
      <c r="D3715" s="2" t="s">
        <v>131</v>
      </c>
      <c r="E3715" s="3">
        <v>31.7</v>
      </c>
      <c r="F3715" s="3">
        <f>18/4</f>
        <v>4.5</v>
      </c>
      <c r="G3715" s="4">
        <v>43599</v>
      </c>
    </row>
    <row r="3716" spans="2:18" x14ac:dyDescent="0.15">
      <c r="B3716" s="192" t="s">
        <v>6730</v>
      </c>
      <c r="C3716" s="193" t="s">
        <v>5</v>
      </c>
      <c r="D3716" s="190" t="s">
        <v>2035</v>
      </c>
      <c r="E3716" s="3">
        <v>9.3000000000000007</v>
      </c>
      <c r="F3716" s="3">
        <v>4.3</v>
      </c>
      <c r="G3716" s="4">
        <v>44229</v>
      </c>
    </row>
    <row r="3717" spans="2:18" x14ac:dyDescent="0.15">
      <c r="B3717" s="1" t="s">
        <v>879</v>
      </c>
      <c r="C3717" s="2" t="s">
        <v>7</v>
      </c>
      <c r="D3717" s="2" t="s">
        <v>878</v>
      </c>
      <c r="E3717" s="3">
        <v>35</v>
      </c>
      <c r="F3717" s="3">
        <f>25/6</f>
        <v>4.166666666666667</v>
      </c>
      <c r="G3717" s="4">
        <v>44293</v>
      </c>
    </row>
    <row r="3718" spans="2:18" x14ac:dyDescent="0.15">
      <c r="G3718" s="4"/>
    </row>
    <row r="3719" spans="2:18" x14ac:dyDescent="0.15">
      <c r="B3719" s="1" t="s">
        <v>876</v>
      </c>
      <c r="C3719" s="2" t="s">
        <v>5</v>
      </c>
      <c r="D3719" s="2" t="s">
        <v>645</v>
      </c>
      <c r="E3719" s="3">
        <v>12.5</v>
      </c>
      <c r="F3719" s="3">
        <f>E3719/3</f>
        <v>4.166666666666667</v>
      </c>
      <c r="G3719" s="4">
        <v>44825</v>
      </c>
    </row>
    <row r="3720" spans="2:18" x14ac:dyDescent="0.15">
      <c r="C3720" s="261" t="s">
        <v>4</v>
      </c>
      <c r="D3720" s="261" t="s">
        <v>2018</v>
      </c>
      <c r="E3720" s="3">
        <v>11</v>
      </c>
      <c r="F3720" s="3">
        <v>3</v>
      </c>
      <c r="G3720" s="267">
        <v>44686</v>
      </c>
    </row>
    <row r="3721" spans="2:18" x14ac:dyDescent="0.15">
      <c r="G3721" s="4"/>
    </row>
    <row r="3722" spans="2:18" x14ac:dyDescent="0.15">
      <c r="G3722" s="4"/>
    </row>
    <row r="3723" spans="2:18" x14ac:dyDescent="0.15">
      <c r="B3723" s="1" t="s">
        <v>875</v>
      </c>
      <c r="C3723" s="2" t="s">
        <v>5</v>
      </c>
      <c r="D3723" s="2" t="s">
        <v>874</v>
      </c>
      <c r="E3723" s="3">
        <v>30</v>
      </c>
      <c r="F3723" s="3">
        <v>4</v>
      </c>
      <c r="G3723" s="4">
        <v>44522</v>
      </c>
    </row>
    <row r="3724" spans="2:18" x14ac:dyDescent="0.15">
      <c r="B3724" s="1" t="s">
        <v>608</v>
      </c>
      <c r="C3724" s="2" t="s">
        <v>18</v>
      </c>
      <c r="D3724" s="2" t="s">
        <v>607</v>
      </c>
      <c r="E3724" s="3">
        <v>48</v>
      </c>
      <c r="F3724" s="3">
        <v>4</v>
      </c>
      <c r="G3724" s="4">
        <v>43888</v>
      </c>
      <c r="M3724" s="1"/>
      <c r="N3724" s="1"/>
      <c r="O3724" s="1"/>
      <c r="P3724" s="1"/>
      <c r="Q3724" s="1"/>
      <c r="R3724" s="1"/>
    </row>
    <row r="3725" spans="2:18" x14ac:dyDescent="0.15">
      <c r="B3725" s="1" t="s">
        <v>603</v>
      </c>
      <c r="C3725" s="2" t="s">
        <v>5</v>
      </c>
      <c r="D3725" s="2" t="s">
        <v>600</v>
      </c>
      <c r="E3725" s="3">
        <v>26</v>
      </c>
      <c r="F3725" s="3">
        <v>4</v>
      </c>
      <c r="G3725" s="4">
        <v>43809</v>
      </c>
      <c r="M3725" s="1"/>
      <c r="N3725" s="1"/>
      <c r="O3725" s="1"/>
      <c r="P3725" s="1"/>
      <c r="Q3725" s="1"/>
      <c r="R3725" s="1"/>
    </row>
    <row r="3726" spans="2:18" x14ac:dyDescent="0.15">
      <c r="B3726" s="1" t="s">
        <v>461</v>
      </c>
      <c r="C3726" s="2" t="s">
        <v>7</v>
      </c>
      <c r="D3726" s="2" t="s">
        <v>457</v>
      </c>
      <c r="E3726" s="3">
        <v>26.8</v>
      </c>
      <c r="F3726" s="3">
        <v>4</v>
      </c>
      <c r="G3726" s="4">
        <v>44600</v>
      </c>
      <c r="M3726" s="1"/>
      <c r="N3726" s="1"/>
      <c r="O3726" s="1"/>
      <c r="P3726" s="1"/>
      <c r="Q3726" s="1"/>
      <c r="R3726" s="1"/>
    </row>
    <row r="3727" spans="2:18" x14ac:dyDescent="0.15">
      <c r="B3727" s="1" t="s">
        <v>410</v>
      </c>
      <c r="C3727" s="2" t="s">
        <v>4</v>
      </c>
      <c r="D3727" s="2" t="s">
        <v>409</v>
      </c>
      <c r="E3727" s="3">
        <v>4</v>
      </c>
      <c r="F3727" s="3">
        <v>4</v>
      </c>
      <c r="G3727" s="4">
        <v>43389</v>
      </c>
      <c r="M3727" s="1"/>
      <c r="N3727" s="1"/>
      <c r="O3727" s="1"/>
      <c r="P3727" s="1"/>
      <c r="Q3727" s="1"/>
      <c r="R3727" s="1"/>
    </row>
    <row r="3728" spans="2:18" x14ac:dyDescent="0.15">
      <c r="B3728" s="1" t="s">
        <v>402</v>
      </c>
      <c r="C3728" s="2" t="s">
        <v>7</v>
      </c>
      <c r="D3728" s="2" t="s">
        <v>399</v>
      </c>
      <c r="E3728" s="3">
        <v>37</v>
      </c>
      <c r="F3728" s="3">
        <v>4</v>
      </c>
      <c r="G3728" s="4">
        <v>44860</v>
      </c>
      <c r="M3728" s="1"/>
      <c r="N3728" s="1"/>
      <c r="O3728" s="1"/>
      <c r="P3728" s="1"/>
      <c r="Q3728" s="1"/>
      <c r="R3728" s="1"/>
    </row>
    <row r="3729" spans="2:18" x14ac:dyDescent="0.15">
      <c r="B3729" s="1" t="s">
        <v>291</v>
      </c>
      <c r="C3729" s="2" t="s">
        <v>5</v>
      </c>
      <c r="D3729" s="2" t="s">
        <v>289</v>
      </c>
      <c r="E3729" s="3">
        <v>30</v>
      </c>
      <c r="F3729" s="3">
        <f>20/5</f>
        <v>4</v>
      </c>
      <c r="G3729" s="4">
        <v>44474</v>
      </c>
    </row>
    <row r="3730" spans="2:18" x14ac:dyDescent="0.15">
      <c r="B3730" s="168" t="s">
        <v>6422</v>
      </c>
      <c r="C3730" s="169" t="s">
        <v>7</v>
      </c>
      <c r="D3730" s="169" t="s">
        <v>2051</v>
      </c>
      <c r="E3730" s="3">
        <v>50</v>
      </c>
      <c r="F3730" s="3">
        <v>4</v>
      </c>
      <c r="G3730" s="4">
        <v>44252</v>
      </c>
    </row>
    <row r="3731" spans="2:18" x14ac:dyDescent="0.15">
      <c r="B3731" s="99" t="s">
        <v>5479</v>
      </c>
      <c r="C3731" s="100" t="s">
        <v>5</v>
      </c>
      <c r="D3731" s="100" t="s">
        <v>2095</v>
      </c>
      <c r="E3731" s="3">
        <v>15</v>
      </c>
      <c r="F3731" s="3">
        <f>7.5/2</f>
        <v>3.75</v>
      </c>
      <c r="G3731" s="4">
        <v>43864</v>
      </c>
      <c r="J3731" s="1">
        <v>1500</v>
      </c>
    </row>
    <row r="3732" spans="2:18" x14ac:dyDescent="0.15">
      <c r="B3732" s="1" t="s">
        <v>871</v>
      </c>
      <c r="C3732" s="2" t="s">
        <v>4</v>
      </c>
      <c r="D3732" s="2" t="s">
        <v>662</v>
      </c>
      <c r="E3732" s="3">
        <v>13</v>
      </c>
      <c r="F3732" s="3">
        <f>7/2</f>
        <v>3.5</v>
      </c>
      <c r="G3732" s="4">
        <v>44896</v>
      </c>
    </row>
    <row r="3733" spans="2:18" x14ac:dyDescent="0.15">
      <c r="B3733" s="1" t="s">
        <v>870</v>
      </c>
      <c r="C3733" s="2" t="s">
        <v>4</v>
      </c>
      <c r="D3733" s="2" t="s">
        <v>772</v>
      </c>
      <c r="E3733" s="3">
        <v>10</v>
      </c>
      <c r="F3733" s="3">
        <v>3.5</v>
      </c>
      <c r="G3733" s="4">
        <v>44858</v>
      </c>
    </row>
    <row r="3734" spans="2:18" x14ac:dyDescent="0.15">
      <c r="B3734" s="1" t="s">
        <v>869</v>
      </c>
      <c r="C3734" s="2" t="s">
        <v>4</v>
      </c>
      <c r="D3734" s="2" t="s">
        <v>772</v>
      </c>
      <c r="E3734" s="3">
        <v>10</v>
      </c>
      <c r="F3734" s="3">
        <v>3.5</v>
      </c>
      <c r="G3734" s="4">
        <v>44858</v>
      </c>
    </row>
    <row r="3735" spans="2:18" x14ac:dyDescent="0.15">
      <c r="B3735" s="1" t="s">
        <v>682</v>
      </c>
      <c r="C3735" s="2" t="s">
        <v>4</v>
      </c>
      <c r="D3735" s="2" t="s">
        <v>681</v>
      </c>
      <c r="E3735" s="3">
        <v>5.3</v>
      </c>
      <c r="F3735" s="3">
        <v>3.3</v>
      </c>
      <c r="G3735" s="4">
        <v>45069</v>
      </c>
    </row>
    <row r="3736" spans="2:18" x14ac:dyDescent="0.15">
      <c r="B3736" s="1" t="s">
        <v>477</v>
      </c>
      <c r="C3736" s="2" t="s">
        <v>5</v>
      </c>
      <c r="D3736" s="2" t="s">
        <v>476</v>
      </c>
      <c r="E3736" s="3">
        <v>22.8</v>
      </c>
      <c r="F3736" s="3">
        <v>3.3</v>
      </c>
      <c r="G3736" s="4">
        <v>43160</v>
      </c>
      <c r="H3736" s="8"/>
      <c r="M3736" s="1"/>
      <c r="N3736" s="1"/>
      <c r="O3736" s="1"/>
      <c r="P3736" s="1"/>
      <c r="Q3736" s="1"/>
      <c r="R3736" s="1"/>
    </row>
    <row r="3737" spans="2:18" x14ac:dyDescent="0.15">
      <c r="B3737" s="1" t="s">
        <v>178</v>
      </c>
      <c r="C3737" s="2" t="s">
        <v>7</v>
      </c>
      <c r="D3737" s="2" t="s">
        <v>176</v>
      </c>
      <c r="E3737" s="3">
        <v>16.5</v>
      </c>
      <c r="F3737" s="3">
        <f>E3737/5</f>
        <v>3.3</v>
      </c>
      <c r="G3737" s="4">
        <v>41176</v>
      </c>
    </row>
    <row r="3738" spans="2:18" x14ac:dyDescent="0.15">
      <c r="B3738" s="1" t="s">
        <v>177</v>
      </c>
      <c r="C3738" s="2" t="s">
        <v>7</v>
      </c>
      <c r="D3738" s="2" t="s">
        <v>176</v>
      </c>
      <c r="E3738" s="3">
        <v>16.5</v>
      </c>
      <c r="F3738" s="3">
        <f>E3738/5</f>
        <v>3.3</v>
      </c>
      <c r="G3738" s="4">
        <v>41176</v>
      </c>
    </row>
    <row r="3739" spans="2:18" x14ac:dyDescent="0.15">
      <c r="B3739" s="1" t="s">
        <v>96</v>
      </c>
      <c r="C3739" s="2" t="s">
        <v>7</v>
      </c>
      <c r="D3739" s="2" t="s">
        <v>95</v>
      </c>
      <c r="E3739" s="3">
        <v>15</v>
      </c>
      <c r="F3739" s="3">
        <v>3.2</v>
      </c>
      <c r="G3739" s="4">
        <v>43559</v>
      </c>
    </row>
    <row r="3740" spans="2:18" x14ac:dyDescent="0.15">
      <c r="B3740" s="1" t="s">
        <v>868</v>
      </c>
      <c r="C3740" s="2" t="s">
        <v>5</v>
      </c>
      <c r="D3740" s="2" t="s">
        <v>865</v>
      </c>
      <c r="E3740" s="3">
        <v>10</v>
      </c>
      <c r="F3740" s="3">
        <v>3</v>
      </c>
      <c r="G3740" s="4">
        <v>44378</v>
      </c>
    </row>
    <row r="3741" spans="2:18" x14ac:dyDescent="0.15">
      <c r="B3741" s="1" t="s">
        <v>866</v>
      </c>
      <c r="C3741" s="2" t="s">
        <v>5</v>
      </c>
      <c r="D3741" s="2" t="s">
        <v>865</v>
      </c>
      <c r="E3741" s="3">
        <v>10</v>
      </c>
      <c r="F3741" s="3">
        <v>3</v>
      </c>
      <c r="G3741" s="4">
        <v>44378</v>
      </c>
    </row>
    <row r="3742" spans="2:18" x14ac:dyDescent="0.15">
      <c r="B3742" s="1" t="s">
        <v>864</v>
      </c>
      <c r="C3742" s="2" t="s">
        <v>7</v>
      </c>
      <c r="D3742" s="2" t="s">
        <v>736</v>
      </c>
      <c r="E3742" s="3">
        <v>25</v>
      </c>
      <c r="F3742" s="3">
        <f>15/5</f>
        <v>3</v>
      </c>
      <c r="G3742" s="4">
        <v>44755</v>
      </c>
    </row>
    <row r="3743" spans="2:18" x14ac:dyDescent="0.15">
      <c r="B3743" s="1" t="s">
        <v>863</v>
      </c>
      <c r="C3743" s="2" t="s">
        <v>5</v>
      </c>
      <c r="D3743" s="2" t="s">
        <v>784</v>
      </c>
      <c r="E3743" s="3">
        <v>10.9</v>
      </c>
      <c r="F3743" s="3">
        <v>3</v>
      </c>
      <c r="G3743" s="4">
        <v>45070</v>
      </c>
    </row>
    <row r="3744" spans="2:18" x14ac:dyDescent="0.15">
      <c r="B3744" s="1" t="s">
        <v>862</v>
      </c>
      <c r="C3744" s="2" t="s">
        <v>7</v>
      </c>
      <c r="D3744" s="2" t="s">
        <v>861</v>
      </c>
      <c r="E3744" s="3">
        <v>25</v>
      </c>
      <c r="F3744" s="3">
        <v>3</v>
      </c>
      <c r="G3744" s="4">
        <v>44636</v>
      </c>
    </row>
    <row r="3745" spans="2:18" x14ac:dyDescent="0.15">
      <c r="B3745" s="1" t="s">
        <v>860</v>
      </c>
      <c r="C3745" s="2" t="s">
        <v>5</v>
      </c>
      <c r="D3745" s="2" t="s">
        <v>643</v>
      </c>
      <c r="E3745" s="3">
        <v>12</v>
      </c>
      <c r="F3745" s="3">
        <v>3</v>
      </c>
      <c r="G3745" s="4">
        <v>44860</v>
      </c>
    </row>
    <row r="3746" spans="2:18" x14ac:dyDescent="0.15">
      <c r="B3746" s="1" t="s">
        <v>858</v>
      </c>
      <c r="C3746" s="2" t="s">
        <v>7</v>
      </c>
      <c r="D3746" s="2" t="s">
        <v>526</v>
      </c>
      <c r="E3746" s="3">
        <v>32</v>
      </c>
      <c r="F3746" s="3">
        <v>3</v>
      </c>
      <c r="G3746" s="4">
        <v>44364</v>
      </c>
    </row>
    <row r="3747" spans="2:18" x14ac:dyDescent="0.15">
      <c r="B3747" s="1" t="s">
        <v>857</v>
      </c>
      <c r="C3747" s="2" t="s">
        <v>7</v>
      </c>
      <c r="D3747" s="2" t="s">
        <v>526</v>
      </c>
      <c r="E3747" s="3">
        <v>32</v>
      </c>
      <c r="F3747" s="3">
        <v>3</v>
      </c>
      <c r="G3747" s="4">
        <v>44364</v>
      </c>
    </row>
    <row r="3748" spans="2:18" x14ac:dyDescent="0.15">
      <c r="B3748" s="1" t="s">
        <v>520</v>
      </c>
      <c r="C3748" s="2" t="s">
        <v>5</v>
      </c>
      <c r="D3748" s="2" t="s">
        <v>517</v>
      </c>
      <c r="E3748" s="3">
        <v>14.5</v>
      </c>
      <c r="F3748" s="3">
        <v>3</v>
      </c>
      <c r="G3748" s="4">
        <v>43389</v>
      </c>
      <c r="M3748" s="1"/>
      <c r="N3748" s="1"/>
      <c r="O3748" s="1"/>
      <c r="P3748" s="1"/>
      <c r="Q3748" s="1"/>
      <c r="R3748" s="1"/>
    </row>
    <row r="3749" spans="2:18" x14ac:dyDescent="0.15">
      <c r="B3749" s="1" t="s">
        <v>434</v>
      </c>
      <c r="C3749" s="2" t="s">
        <v>5</v>
      </c>
      <c r="D3749" s="2" t="s">
        <v>432</v>
      </c>
      <c r="E3749" s="3">
        <v>15</v>
      </c>
      <c r="F3749" s="3">
        <v>3</v>
      </c>
      <c r="G3749" s="4">
        <v>42690</v>
      </c>
      <c r="M3749" s="1"/>
      <c r="N3749" s="1"/>
      <c r="O3749" s="1"/>
      <c r="P3749" s="1"/>
      <c r="Q3749" s="1"/>
      <c r="R3749" s="1"/>
    </row>
    <row r="3750" spans="2:18" x14ac:dyDescent="0.15">
      <c r="B3750" s="1" t="s">
        <v>356</v>
      </c>
      <c r="C3750" s="2" t="s">
        <v>4</v>
      </c>
      <c r="D3750" s="2" t="s">
        <v>355</v>
      </c>
      <c r="E3750" s="3">
        <v>12</v>
      </c>
      <c r="F3750" s="3">
        <v>3</v>
      </c>
      <c r="G3750" s="4">
        <v>44271</v>
      </c>
      <c r="M3750" s="1"/>
      <c r="N3750" s="1"/>
      <c r="O3750" s="1"/>
      <c r="P3750" s="1"/>
      <c r="Q3750" s="1"/>
      <c r="R3750" s="1"/>
    </row>
    <row r="3751" spans="2:18" x14ac:dyDescent="0.15">
      <c r="B3751" s="1" t="s">
        <v>331</v>
      </c>
      <c r="C3751" s="2" t="s">
        <v>4</v>
      </c>
      <c r="D3751" s="2" t="s">
        <v>329</v>
      </c>
      <c r="E3751" s="3">
        <v>5</v>
      </c>
      <c r="F3751" s="3">
        <v>3</v>
      </c>
      <c r="G3751" s="4">
        <v>43224</v>
      </c>
      <c r="L3751" s="1">
        <v>0</v>
      </c>
      <c r="M3751" s="1"/>
      <c r="N3751" s="1"/>
      <c r="O3751" s="1"/>
      <c r="P3751" s="1"/>
      <c r="Q3751" s="1"/>
      <c r="R3751" s="1"/>
    </row>
    <row r="3752" spans="2:18" x14ac:dyDescent="0.15">
      <c r="G3752" s="4"/>
      <c r="M3752" s="1"/>
      <c r="N3752" s="1"/>
      <c r="O3752" s="1"/>
      <c r="P3752" s="1"/>
      <c r="Q3752" s="1"/>
      <c r="R3752" s="1"/>
    </row>
    <row r="3753" spans="2:18" x14ac:dyDescent="0.15">
      <c r="B3753" s="1" t="s">
        <v>149</v>
      </c>
      <c r="C3753" s="2" t="s">
        <v>7</v>
      </c>
      <c r="D3753" s="2" t="s">
        <v>148</v>
      </c>
      <c r="E3753" s="3">
        <v>10</v>
      </c>
      <c r="F3753" s="6" t="s">
        <v>147</v>
      </c>
      <c r="G3753" s="4">
        <v>42355</v>
      </c>
    </row>
    <row r="3754" spans="2:18" x14ac:dyDescent="0.15">
      <c r="C3754" s="261" t="s">
        <v>5</v>
      </c>
      <c r="D3754" s="261" t="s">
        <v>2017</v>
      </c>
      <c r="E3754" s="3">
        <v>9</v>
      </c>
      <c r="F3754" s="6">
        <v>1</v>
      </c>
      <c r="G3754" s="4">
        <v>44152</v>
      </c>
    </row>
    <row r="3755" spans="2:18" x14ac:dyDescent="0.15">
      <c r="C3755" s="261" t="s">
        <v>4</v>
      </c>
      <c r="D3755" s="261" t="s">
        <v>2017</v>
      </c>
      <c r="E3755" s="3">
        <v>4</v>
      </c>
      <c r="F3755" s="6">
        <v>1</v>
      </c>
      <c r="G3755" s="4">
        <v>43481</v>
      </c>
    </row>
    <row r="3756" spans="2:18" x14ac:dyDescent="0.15">
      <c r="F3756" s="6"/>
      <c r="G3756" s="4"/>
    </row>
    <row r="3757" spans="2:18" x14ac:dyDescent="0.15">
      <c r="B3757" s="1" t="s">
        <v>100</v>
      </c>
      <c r="C3757" s="2" t="s">
        <v>7</v>
      </c>
      <c r="D3757" s="2" t="s">
        <v>95</v>
      </c>
      <c r="E3757" s="3">
        <v>25</v>
      </c>
      <c r="F3757" s="3">
        <f>15/5</f>
        <v>3</v>
      </c>
      <c r="G3757" s="4">
        <v>43783</v>
      </c>
    </row>
    <row r="3758" spans="2:18" x14ac:dyDescent="0.15">
      <c r="B3758" s="1" t="s">
        <v>99</v>
      </c>
      <c r="C3758" s="2" t="s">
        <v>7</v>
      </c>
      <c r="D3758" s="2" t="s">
        <v>95</v>
      </c>
      <c r="E3758" s="3">
        <v>25</v>
      </c>
      <c r="F3758" s="3">
        <f>15/5</f>
        <v>3</v>
      </c>
      <c r="G3758" s="4">
        <v>43783</v>
      </c>
    </row>
    <row r="3759" spans="2:18" x14ac:dyDescent="0.15">
      <c r="B3759" s="1" t="s">
        <v>4406</v>
      </c>
      <c r="C3759" s="2" t="s">
        <v>5</v>
      </c>
      <c r="D3759" s="2" t="s">
        <v>2030</v>
      </c>
      <c r="E3759" s="3">
        <v>18</v>
      </c>
      <c r="F3759" s="3">
        <v>3</v>
      </c>
      <c r="G3759" s="4">
        <v>44866</v>
      </c>
    </row>
    <row r="3760" spans="2:18" x14ac:dyDescent="0.15">
      <c r="B3760" s="143" t="s">
        <v>6355</v>
      </c>
      <c r="C3760" s="149" t="s">
        <v>5</v>
      </c>
      <c r="D3760" s="149" t="s">
        <v>6354</v>
      </c>
      <c r="E3760" s="3">
        <v>25</v>
      </c>
      <c r="F3760" s="3">
        <v>3</v>
      </c>
      <c r="G3760" s="4">
        <v>44594</v>
      </c>
    </row>
    <row r="3761" spans="2:18" x14ac:dyDescent="0.15">
      <c r="B3761" s="143" t="s">
        <v>6357</v>
      </c>
      <c r="C3761" s="149" t="s">
        <v>5</v>
      </c>
      <c r="D3761" s="149" t="s">
        <v>6354</v>
      </c>
      <c r="E3761" s="3">
        <v>25</v>
      </c>
      <c r="F3761" s="3">
        <v>3</v>
      </c>
      <c r="G3761" s="4">
        <v>44594</v>
      </c>
    </row>
    <row r="3762" spans="2:18" x14ac:dyDescent="0.15">
      <c r="B3762" s="168" t="s">
        <v>6609</v>
      </c>
      <c r="C3762" s="169" t="s">
        <v>5</v>
      </c>
      <c r="D3762" s="169" t="s">
        <v>2040</v>
      </c>
      <c r="E3762" s="3">
        <v>9.1</v>
      </c>
      <c r="F3762" s="3">
        <v>3</v>
      </c>
      <c r="G3762" s="4">
        <v>42087</v>
      </c>
    </row>
    <row r="3763" spans="2:18" x14ac:dyDescent="0.15">
      <c r="B3763" s="1" t="s">
        <v>106</v>
      </c>
      <c r="C3763" s="2" t="s">
        <v>8</v>
      </c>
      <c r="D3763" s="2" t="s">
        <v>102</v>
      </c>
      <c r="E3763" s="3">
        <v>30</v>
      </c>
      <c r="F3763" s="3">
        <f>20/7</f>
        <v>2.8571428571428572</v>
      </c>
      <c r="G3763" s="4">
        <v>43178</v>
      </c>
    </row>
    <row r="3764" spans="2:18" x14ac:dyDescent="0.15">
      <c r="B3764" s="1" t="s">
        <v>105</v>
      </c>
      <c r="C3764" s="2" t="s">
        <v>8</v>
      </c>
      <c r="D3764" s="2" t="s">
        <v>102</v>
      </c>
      <c r="E3764" s="3">
        <v>30</v>
      </c>
      <c r="F3764" s="3">
        <f>20/7</f>
        <v>2.8571428571428572</v>
      </c>
      <c r="G3764" s="4">
        <v>43178</v>
      </c>
    </row>
    <row r="3765" spans="2:18" x14ac:dyDescent="0.15">
      <c r="B3765" s="1" t="s">
        <v>120</v>
      </c>
      <c r="C3765" s="2" t="s">
        <v>5</v>
      </c>
      <c r="D3765" s="2" t="s">
        <v>110</v>
      </c>
      <c r="E3765" s="3">
        <v>25</v>
      </c>
      <c r="F3765" s="3">
        <f>17/6</f>
        <v>2.8333333333333335</v>
      </c>
      <c r="G3765" s="4">
        <v>44510</v>
      </c>
    </row>
    <row r="3766" spans="2:18" x14ac:dyDescent="0.15">
      <c r="B3766" s="1" t="s">
        <v>119</v>
      </c>
      <c r="C3766" s="2" t="s">
        <v>5</v>
      </c>
      <c r="D3766" s="2" t="s">
        <v>110</v>
      </c>
      <c r="E3766" s="3">
        <v>25</v>
      </c>
      <c r="F3766" s="3">
        <f>17/6</f>
        <v>2.8333333333333335</v>
      </c>
      <c r="G3766" s="4">
        <v>44510</v>
      </c>
    </row>
    <row r="3767" spans="2:18" x14ac:dyDescent="0.15">
      <c r="B3767" s="1" t="s">
        <v>856</v>
      </c>
      <c r="C3767" s="2" t="s">
        <v>5</v>
      </c>
      <c r="D3767" s="2" t="s">
        <v>736</v>
      </c>
      <c r="E3767" s="3">
        <v>21</v>
      </c>
      <c r="F3767" s="3">
        <f>14/5</f>
        <v>2.8</v>
      </c>
      <c r="G3767" s="4">
        <v>44489</v>
      </c>
    </row>
    <row r="3768" spans="2:18" x14ac:dyDescent="0.15">
      <c r="B3768" s="1" t="s">
        <v>361</v>
      </c>
      <c r="C3768" s="2" t="s">
        <v>5</v>
      </c>
      <c r="D3768" s="2" t="s">
        <v>360</v>
      </c>
      <c r="E3768" s="3">
        <v>10.7</v>
      </c>
      <c r="F3768" s="3">
        <f>+E3768-8</f>
        <v>2.6999999999999993</v>
      </c>
      <c r="G3768" s="4">
        <v>43250</v>
      </c>
      <c r="M3768" s="1"/>
      <c r="N3768" s="1"/>
      <c r="O3768" s="1"/>
      <c r="P3768" s="1"/>
      <c r="Q3768" s="1"/>
      <c r="R3768" s="1"/>
    </row>
    <row r="3769" spans="2:18" x14ac:dyDescent="0.15">
      <c r="B3769" s="1" t="s">
        <v>423</v>
      </c>
      <c r="C3769" s="2" t="s">
        <v>18</v>
      </c>
      <c r="D3769" s="2" t="s">
        <v>417</v>
      </c>
      <c r="E3769" s="3">
        <v>23</v>
      </c>
      <c r="F3769" s="3">
        <f>16/6</f>
        <v>2.6666666666666665</v>
      </c>
      <c r="G3769" s="4">
        <v>44328</v>
      </c>
      <c r="M3769" s="1"/>
      <c r="N3769" s="1"/>
      <c r="O3769" s="1"/>
      <c r="P3769" s="1"/>
      <c r="Q3769" s="1"/>
      <c r="R3769" s="1"/>
    </row>
    <row r="3770" spans="2:18" x14ac:dyDescent="0.15">
      <c r="B3770" s="1" t="s">
        <v>422</v>
      </c>
      <c r="C3770" s="2" t="s">
        <v>18</v>
      </c>
      <c r="D3770" s="2" t="s">
        <v>417</v>
      </c>
      <c r="E3770" s="3">
        <v>23</v>
      </c>
      <c r="F3770" s="3">
        <f>16/6</f>
        <v>2.6666666666666665</v>
      </c>
      <c r="G3770" s="4">
        <v>44328</v>
      </c>
      <c r="M3770" s="1"/>
      <c r="N3770" s="1"/>
      <c r="O3770" s="1"/>
      <c r="P3770" s="1"/>
      <c r="Q3770" s="1"/>
      <c r="R3770" s="1"/>
    </row>
    <row r="3771" spans="2:18" x14ac:dyDescent="0.15">
      <c r="B3771" s="1" t="s">
        <v>421</v>
      </c>
      <c r="C3771" s="2" t="s">
        <v>18</v>
      </c>
      <c r="D3771" s="2" t="s">
        <v>417</v>
      </c>
      <c r="E3771" s="3">
        <v>23</v>
      </c>
      <c r="F3771" s="3">
        <f>16/6</f>
        <v>2.6666666666666665</v>
      </c>
      <c r="G3771" s="4">
        <v>44328</v>
      </c>
      <c r="M3771" s="1"/>
      <c r="N3771" s="1"/>
      <c r="O3771" s="1"/>
      <c r="P3771" s="1"/>
      <c r="Q3771" s="1"/>
      <c r="R3771" s="1"/>
    </row>
    <row r="3772" spans="2:18" x14ac:dyDescent="0.15">
      <c r="B3772" s="1" t="s">
        <v>420</v>
      </c>
      <c r="C3772" s="2" t="s">
        <v>18</v>
      </c>
      <c r="D3772" s="2" t="s">
        <v>417</v>
      </c>
      <c r="E3772" s="3">
        <v>23</v>
      </c>
      <c r="F3772" s="3">
        <f>16/6</f>
        <v>2.6666666666666665</v>
      </c>
      <c r="G3772" s="4">
        <v>44328</v>
      </c>
      <c r="M3772" s="1"/>
      <c r="N3772" s="1"/>
      <c r="O3772" s="1"/>
      <c r="P3772" s="1"/>
      <c r="Q3772" s="1"/>
      <c r="R3772" s="1"/>
    </row>
    <row r="3773" spans="2:18" x14ac:dyDescent="0.15">
      <c r="B3773" s="1" t="s">
        <v>419</v>
      </c>
      <c r="C3773" s="2" t="s">
        <v>18</v>
      </c>
      <c r="D3773" s="2" t="s">
        <v>417</v>
      </c>
      <c r="E3773" s="3">
        <v>23</v>
      </c>
      <c r="F3773" s="3">
        <f>16/6</f>
        <v>2.6666666666666665</v>
      </c>
      <c r="G3773" s="4">
        <v>44328</v>
      </c>
      <c r="M3773" s="1"/>
      <c r="N3773" s="1"/>
      <c r="O3773" s="1"/>
      <c r="P3773" s="1"/>
      <c r="Q3773" s="1"/>
      <c r="R3773" s="1"/>
    </row>
    <row r="3774" spans="2:18" x14ac:dyDescent="0.15">
      <c r="B3774" s="99" t="s">
        <v>5463</v>
      </c>
      <c r="C3774" s="100" t="s">
        <v>7</v>
      </c>
      <c r="D3774" s="100" t="s">
        <v>5458</v>
      </c>
      <c r="E3774" s="3">
        <v>13.5</v>
      </c>
      <c r="F3774" s="3">
        <f>8/3</f>
        <v>2.6666666666666665</v>
      </c>
      <c r="G3774" s="4">
        <v>43320</v>
      </c>
      <c r="J3774" s="1">
        <v>2000</v>
      </c>
    </row>
    <row r="3775" spans="2:18" x14ac:dyDescent="0.15">
      <c r="B3775" s="1" t="s">
        <v>854</v>
      </c>
      <c r="C3775" s="2" t="s">
        <v>5</v>
      </c>
      <c r="D3775" s="2" t="s">
        <v>731</v>
      </c>
      <c r="E3775" s="3">
        <v>25</v>
      </c>
      <c r="F3775" s="3">
        <f>18/7</f>
        <v>2.5714285714285716</v>
      </c>
      <c r="G3775" s="4">
        <v>44757</v>
      </c>
    </row>
    <row r="3776" spans="2:18" x14ac:dyDescent="0.15">
      <c r="B3776" s="1" t="s">
        <v>853</v>
      </c>
      <c r="C3776" s="2" t="s">
        <v>4</v>
      </c>
      <c r="D3776" s="2" t="s">
        <v>849</v>
      </c>
      <c r="E3776" s="3">
        <v>16</v>
      </c>
      <c r="F3776" s="3">
        <f>10/4</f>
        <v>2.5</v>
      </c>
      <c r="G3776" s="4">
        <v>44298</v>
      </c>
    </row>
    <row r="3777" spans="2:18" x14ac:dyDescent="0.15">
      <c r="B3777" s="1" t="s">
        <v>852</v>
      </c>
      <c r="C3777" s="2" t="s">
        <v>4</v>
      </c>
      <c r="D3777" s="2" t="s">
        <v>849</v>
      </c>
      <c r="E3777" s="3">
        <v>16</v>
      </c>
      <c r="F3777" s="3">
        <f>10/4</f>
        <v>2.5</v>
      </c>
      <c r="G3777" s="4">
        <v>44298</v>
      </c>
    </row>
    <row r="3778" spans="2:18" x14ac:dyDescent="0.15">
      <c r="B3778" s="1" t="s">
        <v>851</v>
      </c>
      <c r="C3778" s="2" t="s">
        <v>4</v>
      </c>
      <c r="D3778" s="2" t="s">
        <v>849</v>
      </c>
      <c r="E3778" s="3">
        <v>16</v>
      </c>
      <c r="F3778" s="3">
        <f>10/4</f>
        <v>2.5</v>
      </c>
      <c r="G3778" s="4">
        <v>44298</v>
      </c>
    </row>
    <row r="3779" spans="2:18" x14ac:dyDescent="0.15">
      <c r="B3779" s="1" t="s">
        <v>850</v>
      </c>
      <c r="C3779" s="2" t="s">
        <v>4</v>
      </c>
      <c r="D3779" s="2" t="s">
        <v>849</v>
      </c>
      <c r="E3779" s="3">
        <v>16</v>
      </c>
      <c r="F3779" s="3">
        <f>10/4</f>
        <v>2.5</v>
      </c>
      <c r="G3779" s="4">
        <v>44298</v>
      </c>
    </row>
    <row r="3780" spans="2:18" x14ac:dyDescent="0.15">
      <c r="B3780" s="1" t="s">
        <v>848</v>
      </c>
      <c r="C3780" s="2" t="s">
        <v>5</v>
      </c>
      <c r="D3780" s="2" t="s">
        <v>702</v>
      </c>
      <c r="E3780" s="3">
        <v>50</v>
      </c>
      <c r="F3780" s="3">
        <f>30/12</f>
        <v>2.5</v>
      </c>
      <c r="G3780" s="4">
        <v>44796</v>
      </c>
    </row>
    <row r="3781" spans="2:18" x14ac:dyDescent="0.15">
      <c r="B3781" s="1" t="s">
        <v>847</v>
      </c>
      <c r="C3781" s="2" t="s">
        <v>5</v>
      </c>
      <c r="D3781" s="2" t="s">
        <v>702</v>
      </c>
      <c r="E3781" s="3">
        <v>50</v>
      </c>
      <c r="F3781" s="3">
        <f>30/12</f>
        <v>2.5</v>
      </c>
      <c r="G3781" s="4">
        <v>44796</v>
      </c>
    </row>
    <row r="3782" spans="2:18" x14ac:dyDescent="0.15">
      <c r="B3782" s="1" t="s">
        <v>846</v>
      </c>
      <c r="C3782" s="2" t="s">
        <v>5</v>
      </c>
      <c r="D3782" s="2" t="s">
        <v>696</v>
      </c>
      <c r="E3782" s="3">
        <v>20</v>
      </c>
      <c r="F3782" s="3">
        <v>2.5</v>
      </c>
      <c r="G3782" s="4">
        <v>44392</v>
      </c>
    </row>
    <row r="3783" spans="2:18" x14ac:dyDescent="0.15">
      <c r="B3783" s="1" t="s">
        <v>590</v>
      </c>
      <c r="C3783" s="2" t="s">
        <v>5</v>
      </c>
      <c r="D3783" s="2" t="s">
        <v>585</v>
      </c>
      <c r="E3783" s="3">
        <v>20</v>
      </c>
      <c r="F3783" s="3">
        <f t="shared" ref="F3783:F3788" si="8">15/6</f>
        <v>2.5</v>
      </c>
      <c r="G3783" s="4">
        <v>44801</v>
      </c>
      <c r="M3783" s="1"/>
      <c r="N3783" s="1"/>
      <c r="O3783" s="1"/>
      <c r="P3783" s="1"/>
      <c r="Q3783" s="1"/>
      <c r="R3783" s="1"/>
    </row>
    <row r="3784" spans="2:18" x14ac:dyDescent="0.15">
      <c r="B3784" s="1" t="s">
        <v>589</v>
      </c>
      <c r="C3784" s="2" t="s">
        <v>5</v>
      </c>
      <c r="D3784" s="2" t="s">
        <v>585</v>
      </c>
      <c r="E3784" s="3">
        <v>20</v>
      </c>
      <c r="F3784" s="3">
        <f t="shared" si="8"/>
        <v>2.5</v>
      </c>
      <c r="G3784" s="4">
        <v>44801</v>
      </c>
      <c r="M3784" s="1"/>
      <c r="N3784" s="1"/>
      <c r="O3784" s="1"/>
      <c r="P3784" s="1"/>
      <c r="Q3784" s="1"/>
      <c r="R3784" s="1"/>
    </row>
    <row r="3785" spans="2:18" x14ac:dyDescent="0.15">
      <c r="B3785" s="1" t="s">
        <v>588</v>
      </c>
      <c r="C3785" s="2" t="s">
        <v>5</v>
      </c>
      <c r="D3785" s="2" t="s">
        <v>585</v>
      </c>
      <c r="E3785" s="3">
        <v>20</v>
      </c>
      <c r="F3785" s="3">
        <f t="shared" si="8"/>
        <v>2.5</v>
      </c>
      <c r="G3785" s="4">
        <v>44801</v>
      </c>
      <c r="M3785" s="1"/>
      <c r="N3785" s="1"/>
      <c r="O3785" s="1"/>
      <c r="P3785" s="1"/>
      <c r="Q3785" s="1"/>
      <c r="R3785" s="1"/>
    </row>
    <row r="3786" spans="2:18" x14ac:dyDescent="0.15">
      <c r="B3786" s="1" t="s">
        <v>587</v>
      </c>
      <c r="C3786" s="2" t="s">
        <v>5</v>
      </c>
      <c r="D3786" s="2" t="s">
        <v>585</v>
      </c>
      <c r="E3786" s="3">
        <v>20</v>
      </c>
      <c r="F3786" s="3">
        <f t="shared" si="8"/>
        <v>2.5</v>
      </c>
      <c r="G3786" s="4">
        <v>44801</v>
      </c>
      <c r="M3786" s="1"/>
      <c r="N3786" s="1"/>
      <c r="O3786" s="1"/>
      <c r="P3786" s="1"/>
      <c r="Q3786" s="1"/>
      <c r="R3786" s="1"/>
    </row>
    <row r="3787" spans="2:18" x14ac:dyDescent="0.15">
      <c r="B3787" s="1" t="s">
        <v>586</v>
      </c>
      <c r="C3787" s="2" t="s">
        <v>5</v>
      </c>
      <c r="D3787" s="2" t="s">
        <v>585</v>
      </c>
      <c r="E3787" s="3">
        <v>20</v>
      </c>
      <c r="F3787" s="3">
        <f t="shared" si="8"/>
        <v>2.5</v>
      </c>
      <c r="G3787" s="4">
        <v>44801</v>
      </c>
      <c r="M3787" s="1"/>
      <c r="N3787" s="1"/>
      <c r="O3787" s="1"/>
      <c r="P3787" s="1"/>
      <c r="Q3787" s="1"/>
      <c r="R3787" s="1"/>
    </row>
    <row r="3788" spans="2:18" x14ac:dyDescent="0.15">
      <c r="B3788" s="1" t="s">
        <v>94</v>
      </c>
      <c r="C3788" s="2" t="s">
        <v>7</v>
      </c>
      <c r="D3788" s="2" t="s">
        <v>87</v>
      </c>
      <c r="E3788" s="3">
        <v>25</v>
      </c>
      <c r="F3788" s="3">
        <f t="shared" si="8"/>
        <v>2.5</v>
      </c>
      <c r="G3788" s="4">
        <v>44642</v>
      </c>
    </row>
    <row r="3789" spans="2:18" x14ac:dyDescent="0.15">
      <c r="B3789" s="1" t="s">
        <v>49</v>
      </c>
      <c r="C3789" s="2" t="s">
        <v>5</v>
      </c>
      <c r="D3789" s="2" t="s">
        <v>47</v>
      </c>
      <c r="E3789" s="3">
        <v>10.7</v>
      </c>
      <c r="F3789" s="3">
        <v>2.5</v>
      </c>
      <c r="G3789" s="4">
        <v>41076</v>
      </c>
      <c r="J3789" s="1">
        <v>4100</v>
      </c>
    </row>
    <row r="3790" spans="2:18" x14ac:dyDescent="0.15">
      <c r="B3790" s="1" t="s">
        <v>48</v>
      </c>
      <c r="C3790" s="2" t="s">
        <v>5</v>
      </c>
      <c r="D3790" s="2" t="s">
        <v>47</v>
      </c>
      <c r="E3790" s="3">
        <v>10.7</v>
      </c>
      <c r="F3790" s="3">
        <v>2.5</v>
      </c>
      <c r="G3790" s="4">
        <v>41076</v>
      </c>
      <c r="J3790" s="1">
        <v>4100</v>
      </c>
    </row>
    <row r="3791" spans="2:18" x14ac:dyDescent="0.15">
      <c r="B3791" s="168" t="s">
        <v>6426</v>
      </c>
      <c r="C3791" s="169" t="s">
        <v>5</v>
      </c>
      <c r="D3791" s="169" t="s">
        <v>2051</v>
      </c>
      <c r="E3791" s="3">
        <v>10</v>
      </c>
      <c r="F3791" s="3">
        <v>2.5</v>
      </c>
      <c r="G3791" s="4">
        <v>43059</v>
      </c>
    </row>
    <row r="3792" spans="2:18" x14ac:dyDescent="0.15">
      <c r="B3792" s="1" t="s">
        <v>843</v>
      </c>
      <c r="C3792" s="2" t="s">
        <v>5</v>
      </c>
      <c r="D3792" s="2" t="s">
        <v>723</v>
      </c>
      <c r="E3792" s="3">
        <v>20</v>
      </c>
      <c r="F3792" s="3">
        <f>13/6</f>
        <v>2.1666666666666665</v>
      </c>
      <c r="G3792" s="4">
        <v>44903</v>
      </c>
    </row>
    <row r="3793" spans="2:7" x14ac:dyDescent="0.15">
      <c r="B3793" s="1" t="s">
        <v>842</v>
      </c>
      <c r="C3793" s="2" t="s">
        <v>5</v>
      </c>
      <c r="D3793" s="2" t="s">
        <v>723</v>
      </c>
      <c r="E3793" s="3">
        <v>20</v>
      </c>
      <c r="F3793" s="3">
        <f>13/6</f>
        <v>2.1666666666666665</v>
      </c>
      <c r="G3793" s="4">
        <v>44903</v>
      </c>
    </row>
    <row r="3794" spans="2:7" x14ac:dyDescent="0.15">
      <c r="B3794" s="1" t="s">
        <v>841</v>
      </c>
      <c r="C3794" s="2" t="s">
        <v>5</v>
      </c>
      <c r="D3794" s="2" t="s">
        <v>723</v>
      </c>
      <c r="E3794" s="3">
        <v>20</v>
      </c>
      <c r="F3794" s="3">
        <f>13/6</f>
        <v>2.1666666666666665</v>
      </c>
      <c r="G3794" s="4">
        <v>44903</v>
      </c>
    </row>
    <row r="3795" spans="2:7" x14ac:dyDescent="0.15">
      <c r="B3795" s="1" t="s">
        <v>840</v>
      </c>
      <c r="C3795" s="2" t="s">
        <v>5</v>
      </c>
      <c r="D3795" s="2" t="s">
        <v>726</v>
      </c>
      <c r="E3795" s="3">
        <v>20</v>
      </c>
      <c r="F3795" s="3">
        <f>13/6</f>
        <v>2.1666666666666665</v>
      </c>
      <c r="G3795" s="4">
        <v>44676</v>
      </c>
    </row>
    <row r="3796" spans="2:7" x14ac:dyDescent="0.15">
      <c r="B3796" s="1" t="s">
        <v>839</v>
      </c>
      <c r="C3796" s="2" t="s">
        <v>5</v>
      </c>
      <c r="D3796" s="2" t="s">
        <v>726</v>
      </c>
      <c r="E3796" s="3">
        <v>20</v>
      </c>
      <c r="F3796" s="3">
        <f>13/6</f>
        <v>2.1666666666666665</v>
      </c>
      <c r="G3796" s="4">
        <v>44676</v>
      </c>
    </row>
    <row r="3797" spans="2:7" x14ac:dyDescent="0.15">
      <c r="B3797" s="1" t="s">
        <v>838</v>
      </c>
      <c r="C3797" s="2" t="s">
        <v>4</v>
      </c>
      <c r="D3797" s="2" t="s">
        <v>679</v>
      </c>
      <c r="E3797" s="3">
        <v>15</v>
      </c>
      <c r="F3797" s="3">
        <f>15/7</f>
        <v>2.1428571428571428</v>
      </c>
      <c r="G3797" s="4">
        <v>44691</v>
      </c>
    </row>
    <row r="3798" spans="2:7" x14ac:dyDescent="0.15">
      <c r="B3798" s="1" t="s">
        <v>837</v>
      </c>
      <c r="C3798" s="2" t="s">
        <v>4</v>
      </c>
      <c r="D3798" s="2" t="s">
        <v>679</v>
      </c>
      <c r="E3798" s="3">
        <v>15</v>
      </c>
      <c r="F3798" s="3">
        <f>15/7</f>
        <v>2.1428571428571428</v>
      </c>
      <c r="G3798" s="4">
        <v>44691</v>
      </c>
    </row>
    <row r="3799" spans="2:7" x14ac:dyDescent="0.15">
      <c r="B3799" s="1" t="s">
        <v>836</v>
      </c>
      <c r="C3799" s="2" t="s">
        <v>4</v>
      </c>
      <c r="D3799" s="2" t="s">
        <v>679</v>
      </c>
      <c r="E3799" s="3">
        <v>15</v>
      </c>
      <c r="F3799" s="3">
        <f>15/7</f>
        <v>2.1428571428571428</v>
      </c>
      <c r="G3799" s="4">
        <v>44691</v>
      </c>
    </row>
    <row r="3800" spans="2:7" x14ac:dyDescent="0.15">
      <c r="B3800" s="1" t="s">
        <v>835</v>
      </c>
      <c r="C3800" s="2" t="s">
        <v>4</v>
      </c>
      <c r="D3800" s="2" t="s">
        <v>679</v>
      </c>
      <c r="E3800" s="3">
        <v>15</v>
      </c>
      <c r="F3800" s="3">
        <f>15/7</f>
        <v>2.1428571428571428</v>
      </c>
      <c r="G3800" s="4">
        <v>44691</v>
      </c>
    </row>
    <row r="3801" spans="2:7" x14ac:dyDescent="0.15">
      <c r="B3801" s="1" t="s">
        <v>680</v>
      </c>
      <c r="C3801" s="2" t="s">
        <v>4</v>
      </c>
      <c r="D3801" s="2" t="s">
        <v>679</v>
      </c>
      <c r="E3801" s="3">
        <v>15</v>
      </c>
      <c r="F3801" s="3">
        <f>15/7</f>
        <v>2.1428571428571428</v>
      </c>
      <c r="G3801" s="4">
        <v>44691</v>
      </c>
    </row>
    <row r="3802" spans="2:7" x14ac:dyDescent="0.15">
      <c r="B3802" s="1" t="s">
        <v>834</v>
      </c>
      <c r="C3802" s="2" t="s">
        <v>5</v>
      </c>
      <c r="D3802" s="2" t="s">
        <v>833</v>
      </c>
      <c r="E3802" s="3">
        <v>20</v>
      </c>
      <c r="F3802" s="3">
        <f>12/6</f>
        <v>2</v>
      </c>
      <c r="G3802" s="4">
        <v>43816</v>
      </c>
    </row>
    <row r="3803" spans="2:7" x14ac:dyDescent="0.15">
      <c r="B3803" s="1" t="s">
        <v>832</v>
      </c>
      <c r="C3803" s="2" t="s">
        <v>5</v>
      </c>
      <c r="D3803" s="2" t="s">
        <v>717</v>
      </c>
      <c r="E3803" s="3">
        <v>12.5</v>
      </c>
      <c r="F3803" s="3">
        <v>2</v>
      </c>
      <c r="G3803" s="4">
        <v>44784</v>
      </c>
    </row>
    <row r="3804" spans="2:7" x14ac:dyDescent="0.15">
      <c r="B3804" s="1" t="s">
        <v>831</v>
      </c>
      <c r="C3804" s="2" t="s">
        <v>4</v>
      </c>
      <c r="D3804" s="2" t="s">
        <v>830</v>
      </c>
      <c r="E3804" s="3">
        <v>4.5</v>
      </c>
      <c r="F3804" s="3">
        <v>2</v>
      </c>
      <c r="G3804" s="4">
        <v>45056</v>
      </c>
    </row>
    <row r="3805" spans="2:7" x14ac:dyDescent="0.15">
      <c r="B3805" s="1" t="s">
        <v>829</v>
      </c>
      <c r="C3805" s="2" t="s">
        <v>5</v>
      </c>
      <c r="D3805" s="2" t="s">
        <v>698</v>
      </c>
      <c r="E3805" s="3">
        <v>23.5</v>
      </c>
      <c r="F3805" s="3">
        <v>2</v>
      </c>
      <c r="G3805" s="4">
        <v>44875</v>
      </c>
    </row>
    <row r="3806" spans="2:7" x14ac:dyDescent="0.15">
      <c r="B3806" s="1" t="s">
        <v>828</v>
      </c>
      <c r="C3806" s="2" t="s">
        <v>5</v>
      </c>
      <c r="D3806" s="2" t="s">
        <v>826</v>
      </c>
      <c r="E3806" s="3">
        <v>20</v>
      </c>
      <c r="F3806" s="3">
        <v>2</v>
      </c>
      <c r="G3806" s="4">
        <v>44602</v>
      </c>
    </row>
    <row r="3807" spans="2:7" x14ac:dyDescent="0.15">
      <c r="B3807" s="1" t="s">
        <v>827</v>
      </c>
      <c r="C3807" s="2" t="s">
        <v>5</v>
      </c>
      <c r="D3807" s="2" t="s">
        <v>826</v>
      </c>
      <c r="E3807" s="3">
        <v>20</v>
      </c>
      <c r="F3807" s="3">
        <v>2</v>
      </c>
      <c r="G3807" s="4">
        <v>44602</v>
      </c>
    </row>
    <row r="3808" spans="2:7" x14ac:dyDescent="0.15">
      <c r="B3808" s="1" t="s">
        <v>824</v>
      </c>
      <c r="C3808" s="2" t="s">
        <v>5</v>
      </c>
      <c r="D3808" s="2" t="s">
        <v>820</v>
      </c>
      <c r="E3808" s="3">
        <v>20</v>
      </c>
      <c r="F3808" s="3">
        <v>2</v>
      </c>
      <c r="G3808" s="4">
        <v>44578</v>
      </c>
    </row>
    <row r="3809" spans="2:18" x14ac:dyDescent="0.15">
      <c r="B3809" s="1" t="s">
        <v>823</v>
      </c>
      <c r="C3809" s="2" t="s">
        <v>5</v>
      </c>
      <c r="D3809" s="2" t="s">
        <v>820</v>
      </c>
      <c r="E3809" s="3">
        <v>20</v>
      </c>
      <c r="F3809" s="3">
        <v>2</v>
      </c>
      <c r="G3809" s="4">
        <v>44578</v>
      </c>
    </row>
    <row r="3810" spans="2:18" x14ac:dyDescent="0.15">
      <c r="B3810" s="1" t="s">
        <v>822</v>
      </c>
      <c r="C3810" s="2" t="s">
        <v>5</v>
      </c>
      <c r="D3810" s="2" t="s">
        <v>820</v>
      </c>
      <c r="E3810" s="3">
        <v>20</v>
      </c>
      <c r="F3810" s="3">
        <v>2</v>
      </c>
      <c r="G3810" s="4">
        <v>44578</v>
      </c>
    </row>
    <row r="3811" spans="2:18" x14ac:dyDescent="0.15">
      <c r="B3811" s="1" t="s">
        <v>821</v>
      </c>
      <c r="C3811" s="2" t="s">
        <v>5</v>
      </c>
      <c r="D3811" s="2" t="s">
        <v>820</v>
      </c>
      <c r="E3811" s="3">
        <v>20</v>
      </c>
      <c r="F3811" s="3">
        <v>2</v>
      </c>
      <c r="G3811" s="4">
        <v>44578</v>
      </c>
    </row>
    <row r="3812" spans="2:18" x14ac:dyDescent="0.15">
      <c r="B3812" s="1" t="s">
        <v>819</v>
      </c>
      <c r="C3812" s="2" t="s">
        <v>4</v>
      </c>
      <c r="D3812" s="2" t="s">
        <v>597</v>
      </c>
      <c r="E3812" s="3">
        <v>6</v>
      </c>
      <c r="F3812" s="3">
        <v>2</v>
      </c>
      <c r="G3812" s="4">
        <v>44781</v>
      </c>
    </row>
    <row r="3813" spans="2:18" x14ac:dyDescent="0.15">
      <c r="B3813" s="1" t="s">
        <v>818</v>
      </c>
      <c r="C3813" s="2" t="s">
        <v>4</v>
      </c>
      <c r="D3813" s="2" t="s">
        <v>704</v>
      </c>
      <c r="E3813" s="3">
        <v>6</v>
      </c>
      <c r="F3813" s="3">
        <v>2</v>
      </c>
      <c r="G3813" s="4">
        <v>44180</v>
      </c>
    </row>
    <row r="3814" spans="2:18" x14ac:dyDescent="0.15">
      <c r="B3814" s="1" t="s">
        <v>817</v>
      </c>
      <c r="C3814" s="2" t="s">
        <v>4</v>
      </c>
      <c r="D3814" s="2" t="s">
        <v>645</v>
      </c>
      <c r="E3814" s="3">
        <v>2</v>
      </c>
      <c r="F3814" s="3">
        <v>2</v>
      </c>
      <c r="G3814" s="4">
        <v>43685</v>
      </c>
    </row>
    <row r="3815" spans="2:18" x14ac:dyDescent="0.15">
      <c r="B3815" s="1" t="s">
        <v>815</v>
      </c>
      <c r="C3815" s="2" t="s">
        <v>5</v>
      </c>
      <c r="D3815" s="2" t="s">
        <v>647</v>
      </c>
      <c r="E3815" s="3">
        <v>13</v>
      </c>
      <c r="F3815" s="3">
        <f>8/4</f>
        <v>2</v>
      </c>
      <c r="G3815" s="4">
        <v>44642</v>
      </c>
    </row>
    <row r="3816" spans="2:18" x14ac:dyDescent="0.15">
      <c r="B3816" s="1" t="s">
        <v>814</v>
      </c>
      <c r="C3816" s="2" t="s">
        <v>5</v>
      </c>
      <c r="D3816" s="2" t="s">
        <v>647</v>
      </c>
      <c r="E3816" s="3">
        <v>13</v>
      </c>
      <c r="F3816" s="3">
        <f>8/4</f>
        <v>2</v>
      </c>
      <c r="G3816" s="4">
        <v>44642</v>
      </c>
    </row>
    <row r="3817" spans="2:18" x14ac:dyDescent="0.15">
      <c r="B3817" s="1" t="s">
        <v>813</v>
      </c>
      <c r="C3817" s="2" t="s">
        <v>4</v>
      </c>
      <c r="D3817" s="2" t="s">
        <v>655</v>
      </c>
      <c r="E3817" s="3">
        <v>12.8</v>
      </c>
      <c r="F3817" s="3">
        <v>2</v>
      </c>
      <c r="G3817" s="4">
        <v>44601</v>
      </c>
    </row>
    <row r="3818" spans="2:18" x14ac:dyDescent="0.15">
      <c r="B3818" s="1" t="s">
        <v>810</v>
      </c>
      <c r="C3818" s="2" t="s">
        <v>4</v>
      </c>
      <c r="D3818" s="2" t="s">
        <v>766</v>
      </c>
      <c r="E3818" s="3">
        <v>4</v>
      </c>
      <c r="F3818" s="3">
        <v>2</v>
      </c>
      <c r="G3818" s="4">
        <v>45026</v>
      </c>
    </row>
    <row r="3819" spans="2:18" x14ac:dyDescent="0.15">
      <c r="B3819" s="1" t="s">
        <v>628</v>
      </c>
      <c r="C3819" s="2" t="s">
        <v>5</v>
      </c>
      <c r="D3819" s="2" t="s">
        <v>625</v>
      </c>
      <c r="E3819" s="3">
        <v>10</v>
      </c>
      <c r="F3819" s="3">
        <v>2</v>
      </c>
      <c r="G3819" s="4">
        <v>44930</v>
      </c>
      <c r="M3819" s="1"/>
      <c r="N3819" s="1"/>
      <c r="O3819" s="1"/>
      <c r="P3819" s="1"/>
      <c r="Q3819" s="1"/>
      <c r="R3819" s="1"/>
    </row>
    <row r="3820" spans="2:18" x14ac:dyDescent="0.15">
      <c r="B3820" s="1" t="s">
        <v>627</v>
      </c>
      <c r="C3820" s="2" t="s">
        <v>5</v>
      </c>
      <c r="D3820" s="2" t="s">
        <v>625</v>
      </c>
      <c r="E3820" s="3">
        <v>10</v>
      </c>
      <c r="F3820" s="3">
        <v>2</v>
      </c>
      <c r="G3820" s="4">
        <v>44930</v>
      </c>
      <c r="M3820" s="1"/>
      <c r="N3820" s="1"/>
      <c r="O3820" s="1"/>
      <c r="P3820" s="1"/>
      <c r="Q3820" s="1"/>
      <c r="R3820" s="1"/>
    </row>
    <row r="3821" spans="2:18" x14ac:dyDescent="0.15">
      <c r="B3821" s="1" t="s">
        <v>573</v>
      </c>
      <c r="C3821" s="2" t="s">
        <v>4</v>
      </c>
      <c r="D3821" s="2" t="s">
        <v>566</v>
      </c>
      <c r="E3821" s="3">
        <v>9</v>
      </c>
      <c r="F3821" s="3">
        <v>2</v>
      </c>
      <c r="G3821" s="4">
        <v>44859</v>
      </c>
      <c r="M3821" s="1"/>
      <c r="N3821" s="1"/>
      <c r="O3821" s="1"/>
      <c r="P3821" s="1"/>
      <c r="Q3821" s="1"/>
      <c r="R3821" s="1"/>
    </row>
    <row r="3822" spans="2:18" x14ac:dyDescent="0.15">
      <c r="B3822" s="1" t="s">
        <v>556</v>
      </c>
      <c r="C3822" s="2" t="s">
        <v>7</v>
      </c>
      <c r="D3822" s="2" t="s">
        <v>549</v>
      </c>
      <c r="E3822" s="3">
        <v>20</v>
      </c>
      <c r="F3822" s="3">
        <f>12/6</f>
        <v>2</v>
      </c>
      <c r="G3822" s="4">
        <v>45077</v>
      </c>
      <c r="M3822" s="1"/>
      <c r="N3822" s="1"/>
      <c r="O3822" s="1"/>
      <c r="P3822" s="1"/>
      <c r="Q3822" s="1"/>
      <c r="R3822" s="1"/>
    </row>
    <row r="3823" spans="2:18" x14ac:dyDescent="0.15">
      <c r="B3823" s="1" t="s">
        <v>553</v>
      </c>
      <c r="C3823" s="2" t="s">
        <v>7</v>
      </c>
      <c r="D3823" s="2" t="s">
        <v>549</v>
      </c>
      <c r="E3823" s="3">
        <v>20</v>
      </c>
      <c r="F3823" s="3">
        <f>12/6</f>
        <v>2</v>
      </c>
      <c r="G3823" s="4">
        <v>45077</v>
      </c>
      <c r="M3823" s="1"/>
      <c r="N3823" s="1"/>
      <c r="O3823" s="1"/>
      <c r="P3823" s="1"/>
      <c r="Q3823" s="1"/>
      <c r="R3823" s="1"/>
    </row>
    <row r="3824" spans="2:18" x14ac:dyDescent="0.15">
      <c r="B3824" s="1" t="s">
        <v>458</v>
      </c>
      <c r="C3824" s="2" t="s">
        <v>5</v>
      </c>
      <c r="D3824" s="2" t="s">
        <v>457</v>
      </c>
      <c r="E3824" s="3">
        <v>8.3000000000000007</v>
      </c>
      <c r="F3824" s="3">
        <v>2</v>
      </c>
      <c r="G3824" s="4">
        <v>44053</v>
      </c>
      <c r="M3824" s="1"/>
      <c r="N3824" s="1"/>
      <c r="O3824" s="1"/>
      <c r="P3824" s="1"/>
      <c r="Q3824" s="1"/>
      <c r="R3824" s="1"/>
    </row>
    <row r="3825" spans="2:18" x14ac:dyDescent="0.15">
      <c r="B3825" s="1" t="s">
        <v>418</v>
      </c>
      <c r="C3825" s="2" t="s">
        <v>5</v>
      </c>
      <c r="D3825" s="2" t="s">
        <v>417</v>
      </c>
      <c r="E3825" s="3">
        <v>8</v>
      </c>
      <c r="F3825" s="3">
        <v>2</v>
      </c>
      <c r="G3825" s="4">
        <v>42416</v>
      </c>
      <c r="M3825" s="1"/>
      <c r="N3825" s="1"/>
      <c r="O3825" s="1"/>
      <c r="P3825" s="1"/>
      <c r="Q3825" s="1"/>
      <c r="R3825" s="1"/>
    </row>
    <row r="3826" spans="2:18" x14ac:dyDescent="0.15">
      <c r="B3826" s="1" t="s">
        <v>326</v>
      </c>
      <c r="C3826" s="2" t="s">
        <v>5</v>
      </c>
      <c r="D3826" s="2" t="s">
        <v>318</v>
      </c>
      <c r="E3826" s="3">
        <v>16</v>
      </c>
      <c r="F3826" s="3">
        <v>2</v>
      </c>
      <c r="G3826" s="4">
        <v>43783</v>
      </c>
      <c r="L3826" s="1">
        <f>+F3826*5</f>
        <v>10</v>
      </c>
      <c r="M3826" s="1"/>
      <c r="N3826" s="1"/>
      <c r="O3826" s="1"/>
      <c r="P3826" s="1"/>
      <c r="Q3826" s="1"/>
      <c r="R3826" s="1"/>
    </row>
    <row r="3827" spans="2:18" x14ac:dyDescent="0.15">
      <c r="B3827" s="1" t="s">
        <v>323</v>
      </c>
      <c r="C3827" s="2" t="s">
        <v>5</v>
      </c>
      <c r="D3827" s="2" t="s">
        <v>318</v>
      </c>
      <c r="E3827" s="3">
        <v>16</v>
      </c>
      <c r="F3827" s="3">
        <v>2</v>
      </c>
      <c r="G3827" s="4">
        <v>43783</v>
      </c>
      <c r="L3827" s="1">
        <f>+F3827*5</f>
        <v>10</v>
      </c>
      <c r="M3827" s="1"/>
      <c r="N3827" s="1"/>
      <c r="O3827" s="1"/>
      <c r="P3827" s="1"/>
      <c r="Q3827" s="1"/>
      <c r="R3827" s="1"/>
    </row>
    <row r="3828" spans="2:18" x14ac:dyDescent="0.15">
      <c r="B3828" s="1" t="s">
        <v>301</v>
      </c>
      <c r="C3828" s="2" t="s">
        <v>5</v>
      </c>
      <c r="D3828" s="2" t="s">
        <v>298</v>
      </c>
      <c r="E3828" s="3">
        <v>15</v>
      </c>
      <c r="F3828" s="3">
        <v>2</v>
      </c>
      <c r="G3828" s="4">
        <v>44314</v>
      </c>
    </row>
    <row r="3829" spans="2:18" x14ac:dyDescent="0.15">
      <c r="B3829" s="1" t="s">
        <v>300</v>
      </c>
      <c r="C3829" s="2" t="s">
        <v>5</v>
      </c>
      <c r="D3829" s="2" t="s">
        <v>298</v>
      </c>
      <c r="E3829" s="3">
        <v>15</v>
      </c>
      <c r="F3829" s="3">
        <v>2</v>
      </c>
      <c r="G3829" s="4">
        <v>44314</v>
      </c>
    </row>
    <row r="3830" spans="2:18" x14ac:dyDescent="0.15">
      <c r="B3830" s="1" t="s">
        <v>124</v>
      </c>
      <c r="C3830" s="2" t="s">
        <v>4</v>
      </c>
      <c r="D3830" s="2" t="s">
        <v>122</v>
      </c>
      <c r="E3830" s="3">
        <v>4.5</v>
      </c>
      <c r="F3830" s="3">
        <v>2</v>
      </c>
      <c r="G3830" s="4">
        <v>44434</v>
      </c>
    </row>
    <row r="3831" spans="2:18" x14ac:dyDescent="0.15">
      <c r="B3831" s="1" t="s">
        <v>16</v>
      </c>
      <c r="C3831" s="2" t="s">
        <v>5</v>
      </c>
      <c r="D3831" s="2" t="s">
        <v>15</v>
      </c>
      <c r="E3831" s="3">
        <v>10</v>
      </c>
      <c r="F3831" s="3">
        <v>2</v>
      </c>
      <c r="G3831" s="4">
        <v>42508</v>
      </c>
    </row>
    <row r="3832" spans="2:18" x14ac:dyDescent="0.15">
      <c r="B3832" s="168" t="s">
        <v>6439</v>
      </c>
      <c r="C3832" s="169" t="s">
        <v>5</v>
      </c>
      <c r="D3832" s="169" t="s">
        <v>2046</v>
      </c>
      <c r="E3832" s="3">
        <v>15</v>
      </c>
      <c r="F3832" s="3">
        <f>10/5</f>
        <v>2</v>
      </c>
      <c r="G3832" s="4">
        <v>44174</v>
      </c>
    </row>
    <row r="3833" spans="2:18" x14ac:dyDescent="0.15">
      <c r="B3833" s="189" t="s">
        <v>6722</v>
      </c>
      <c r="C3833" s="190" t="s">
        <v>7</v>
      </c>
      <c r="D3833" s="190" t="s">
        <v>2035</v>
      </c>
      <c r="E3833" s="3">
        <v>16</v>
      </c>
      <c r="F3833" s="3">
        <v>2</v>
      </c>
      <c r="G3833" s="4">
        <v>44825</v>
      </c>
    </row>
    <row r="3834" spans="2:18" x14ac:dyDescent="0.15">
      <c r="B3834" s="189" t="s">
        <v>6723</v>
      </c>
      <c r="C3834" s="190" t="s">
        <v>7</v>
      </c>
      <c r="D3834" s="190" t="s">
        <v>2035</v>
      </c>
      <c r="E3834" s="3">
        <v>16</v>
      </c>
      <c r="F3834" s="3">
        <v>2</v>
      </c>
      <c r="G3834" s="4">
        <v>44825</v>
      </c>
    </row>
    <row r="3835" spans="2:18" x14ac:dyDescent="0.15">
      <c r="B3835" s="189" t="s">
        <v>6724</v>
      </c>
      <c r="C3835" s="190" t="s">
        <v>7</v>
      </c>
      <c r="D3835" s="190" t="s">
        <v>2035</v>
      </c>
      <c r="E3835" s="3">
        <v>16</v>
      </c>
      <c r="F3835" s="3">
        <v>2</v>
      </c>
      <c r="G3835" s="4">
        <v>44825</v>
      </c>
    </row>
    <row r="3836" spans="2:18" x14ac:dyDescent="0.15">
      <c r="B3836" s="192" t="s">
        <v>6748</v>
      </c>
      <c r="C3836" s="193" t="s">
        <v>4</v>
      </c>
      <c r="D3836" s="193" t="s">
        <v>6743</v>
      </c>
      <c r="E3836" s="3">
        <v>5</v>
      </c>
      <c r="F3836" s="3">
        <v>2</v>
      </c>
      <c r="G3836" s="4">
        <v>44073</v>
      </c>
    </row>
    <row r="3837" spans="2:18" x14ac:dyDescent="0.15">
      <c r="B3837" s="192" t="s">
        <v>6830</v>
      </c>
      <c r="C3837" s="193" t="s">
        <v>5</v>
      </c>
      <c r="D3837" s="193" t="s">
        <v>6829</v>
      </c>
      <c r="E3837" s="3">
        <v>11</v>
      </c>
      <c r="F3837" s="3">
        <v>2</v>
      </c>
      <c r="G3837" s="4">
        <v>43215</v>
      </c>
    </row>
    <row r="3838" spans="2:18" x14ac:dyDescent="0.15">
      <c r="B3838" s="1" t="s">
        <v>565</v>
      </c>
      <c r="C3838" s="2" t="s">
        <v>4</v>
      </c>
      <c r="D3838" s="2" t="s">
        <v>563</v>
      </c>
      <c r="E3838" s="3">
        <v>5.6</v>
      </c>
      <c r="F3838" s="3">
        <f>E3838/3</f>
        <v>1.8666666666666665</v>
      </c>
      <c r="G3838" s="4">
        <v>45048</v>
      </c>
      <c r="M3838" s="1"/>
      <c r="N3838" s="1"/>
      <c r="O3838" s="1"/>
      <c r="P3838" s="1"/>
      <c r="Q3838" s="1"/>
      <c r="R3838" s="1"/>
    </row>
    <row r="3839" spans="2:18" x14ac:dyDescent="0.15">
      <c r="B3839" s="1" t="s">
        <v>564</v>
      </c>
      <c r="C3839" s="2" t="s">
        <v>4</v>
      </c>
      <c r="D3839" s="2" t="s">
        <v>563</v>
      </c>
      <c r="E3839" s="3">
        <v>5.6</v>
      </c>
      <c r="F3839" s="3">
        <f>E3839/3</f>
        <v>1.8666666666666665</v>
      </c>
      <c r="G3839" s="4">
        <v>45048</v>
      </c>
      <c r="M3839" s="1"/>
      <c r="N3839" s="1"/>
      <c r="O3839" s="1"/>
      <c r="P3839" s="1"/>
      <c r="Q3839" s="1"/>
      <c r="R3839" s="1"/>
    </row>
    <row r="3840" spans="2:18" x14ac:dyDescent="0.15">
      <c r="B3840" s="99" t="s">
        <v>5482</v>
      </c>
      <c r="C3840" s="100" t="s">
        <v>5</v>
      </c>
      <c r="D3840" s="100" t="s">
        <v>3220</v>
      </c>
      <c r="E3840" s="3">
        <v>19</v>
      </c>
      <c r="F3840" s="3">
        <f t="shared" ref="F3840:F3845" si="9">11/6</f>
        <v>1.8333333333333333</v>
      </c>
      <c r="G3840" s="4">
        <v>45097</v>
      </c>
      <c r="I3840" s="1">
        <v>100</v>
      </c>
      <c r="J3840" s="1">
        <v>100</v>
      </c>
    </row>
    <row r="3841" spans="2:18" x14ac:dyDescent="0.15">
      <c r="B3841" s="99" t="s">
        <v>5483</v>
      </c>
      <c r="C3841" s="100" t="s">
        <v>5</v>
      </c>
      <c r="D3841" s="100" t="s">
        <v>3220</v>
      </c>
      <c r="E3841" s="3">
        <v>19</v>
      </c>
      <c r="F3841" s="3">
        <f t="shared" si="9"/>
        <v>1.8333333333333333</v>
      </c>
      <c r="G3841" s="4">
        <v>45097</v>
      </c>
      <c r="I3841" s="1">
        <v>100</v>
      </c>
      <c r="J3841" s="1">
        <v>100</v>
      </c>
    </row>
    <row r="3842" spans="2:18" x14ac:dyDescent="0.15">
      <c r="B3842" s="99" t="s">
        <v>5484</v>
      </c>
      <c r="C3842" s="100" t="s">
        <v>5</v>
      </c>
      <c r="D3842" s="100" t="s">
        <v>3220</v>
      </c>
      <c r="E3842" s="3">
        <v>19</v>
      </c>
      <c r="F3842" s="3">
        <f t="shared" si="9"/>
        <v>1.8333333333333333</v>
      </c>
      <c r="G3842" s="4">
        <v>45097</v>
      </c>
      <c r="I3842" s="1">
        <v>100</v>
      </c>
      <c r="J3842" s="1">
        <v>100</v>
      </c>
    </row>
    <row r="3843" spans="2:18" x14ac:dyDescent="0.15">
      <c r="B3843" s="99" t="s">
        <v>5485</v>
      </c>
      <c r="C3843" s="100" t="s">
        <v>5</v>
      </c>
      <c r="D3843" s="100" t="s">
        <v>3220</v>
      </c>
      <c r="E3843" s="3">
        <v>19</v>
      </c>
      <c r="F3843" s="3">
        <f t="shared" si="9"/>
        <v>1.8333333333333333</v>
      </c>
      <c r="G3843" s="4">
        <v>45097</v>
      </c>
      <c r="I3843" s="1">
        <v>100</v>
      </c>
      <c r="J3843" s="1">
        <v>100</v>
      </c>
    </row>
    <row r="3844" spans="2:18" x14ac:dyDescent="0.15">
      <c r="B3844" s="99" t="s">
        <v>5486</v>
      </c>
      <c r="C3844" s="100" t="s">
        <v>5</v>
      </c>
      <c r="D3844" s="100" t="s">
        <v>3220</v>
      </c>
      <c r="E3844" s="3">
        <v>19</v>
      </c>
      <c r="F3844" s="3">
        <f t="shared" si="9"/>
        <v>1.8333333333333333</v>
      </c>
      <c r="G3844" s="4">
        <v>45097</v>
      </c>
      <c r="I3844" s="1">
        <v>100</v>
      </c>
      <c r="J3844" s="1">
        <v>100</v>
      </c>
    </row>
    <row r="3845" spans="2:18" x14ac:dyDescent="0.15">
      <c r="B3845" s="99" t="s">
        <v>5487</v>
      </c>
      <c r="C3845" s="100" t="s">
        <v>5</v>
      </c>
      <c r="D3845" s="100" t="s">
        <v>3220</v>
      </c>
      <c r="E3845" s="3">
        <v>19</v>
      </c>
      <c r="F3845" s="3">
        <f t="shared" si="9"/>
        <v>1.8333333333333333</v>
      </c>
      <c r="G3845" s="4">
        <v>45097</v>
      </c>
      <c r="I3845" s="1">
        <v>100</v>
      </c>
      <c r="J3845" s="1">
        <v>100</v>
      </c>
    </row>
    <row r="3846" spans="2:18" x14ac:dyDescent="0.15">
      <c r="B3846" s="1" t="s">
        <v>413</v>
      </c>
      <c r="C3846" s="2" t="s">
        <v>5</v>
      </c>
      <c r="D3846" s="2" t="s">
        <v>409</v>
      </c>
      <c r="E3846" s="3">
        <v>10</v>
      </c>
      <c r="F3846" s="3">
        <f>7/4</f>
        <v>1.75</v>
      </c>
      <c r="G3846" s="4">
        <v>44740</v>
      </c>
      <c r="M3846" s="1"/>
      <c r="N3846" s="1"/>
      <c r="O3846" s="1"/>
      <c r="P3846" s="1"/>
      <c r="Q3846" s="1"/>
      <c r="R3846" s="1"/>
    </row>
    <row r="3847" spans="2:18" x14ac:dyDescent="0.15">
      <c r="B3847" s="1" t="s">
        <v>412</v>
      </c>
      <c r="C3847" s="2" t="s">
        <v>5</v>
      </c>
      <c r="D3847" s="2" t="s">
        <v>409</v>
      </c>
      <c r="E3847" s="3">
        <v>10</v>
      </c>
      <c r="F3847" s="3">
        <f>7/4</f>
        <v>1.75</v>
      </c>
      <c r="G3847" s="4">
        <v>44740</v>
      </c>
      <c r="M3847" s="1"/>
      <c r="N3847" s="1"/>
      <c r="O3847" s="1"/>
      <c r="P3847" s="1"/>
      <c r="Q3847" s="1"/>
      <c r="R3847" s="1"/>
    </row>
    <row r="3848" spans="2:18" x14ac:dyDescent="0.15">
      <c r="B3848" s="1" t="s">
        <v>809</v>
      </c>
      <c r="C3848" s="2" t="s">
        <v>4</v>
      </c>
      <c r="D3848" s="2" t="s">
        <v>808</v>
      </c>
      <c r="E3848" s="3">
        <v>5</v>
      </c>
      <c r="F3848" s="3">
        <f>5/3</f>
        <v>1.6666666666666667</v>
      </c>
      <c r="G3848" s="4">
        <v>45062</v>
      </c>
    </row>
    <row r="3849" spans="2:18" x14ac:dyDescent="0.15">
      <c r="B3849" s="1" t="s">
        <v>265</v>
      </c>
      <c r="C3849" s="2" t="s">
        <v>5</v>
      </c>
      <c r="D3849" s="2" t="s">
        <v>258</v>
      </c>
      <c r="E3849" s="3">
        <v>14</v>
      </c>
      <c r="F3849" s="3">
        <v>1.6666666666666667</v>
      </c>
      <c r="G3849" s="4">
        <v>43690</v>
      </c>
    </row>
    <row r="3850" spans="2:18" x14ac:dyDescent="0.15">
      <c r="B3850" s="1" t="s">
        <v>264</v>
      </c>
      <c r="C3850" s="2" t="s">
        <v>5</v>
      </c>
      <c r="D3850" s="2" t="s">
        <v>258</v>
      </c>
      <c r="E3850" s="3">
        <v>14</v>
      </c>
      <c r="F3850" s="3">
        <v>1.6666666666666667</v>
      </c>
      <c r="G3850" s="4">
        <v>43690</v>
      </c>
    </row>
    <row r="3851" spans="2:18" x14ac:dyDescent="0.15">
      <c r="B3851" s="1" t="s">
        <v>198</v>
      </c>
      <c r="C3851" s="2" t="s">
        <v>5</v>
      </c>
      <c r="D3851" s="2" t="s">
        <v>197</v>
      </c>
      <c r="E3851" s="3">
        <v>5</v>
      </c>
      <c r="F3851" s="3">
        <f>E3851/3</f>
        <v>1.6666666666666667</v>
      </c>
      <c r="G3851" s="4">
        <v>42688</v>
      </c>
    </row>
    <row r="3852" spans="2:18" x14ac:dyDescent="0.15">
      <c r="B3852" s="1" t="s">
        <v>89</v>
      </c>
      <c r="C3852" s="2" t="s">
        <v>5</v>
      </c>
      <c r="D3852" s="2" t="s">
        <v>87</v>
      </c>
      <c r="E3852" s="3">
        <v>13.5</v>
      </c>
      <c r="F3852" s="3">
        <f>10/6</f>
        <v>1.6666666666666667</v>
      </c>
      <c r="G3852" s="4">
        <v>43978</v>
      </c>
    </row>
    <row r="3853" spans="2:18" x14ac:dyDescent="0.15">
      <c r="B3853" s="1" t="s">
        <v>805</v>
      </c>
      <c r="C3853" s="2" t="s">
        <v>5</v>
      </c>
      <c r="D3853" s="2" t="s">
        <v>804</v>
      </c>
      <c r="E3853" s="3">
        <v>4.5</v>
      </c>
      <c r="F3853" s="3">
        <v>1.5</v>
      </c>
      <c r="G3853" s="4">
        <v>42858</v>
      </c>
      <c r="M3853" s="1"/>
      <c r="N3853" s="1"/>
      <c r="O3853" s="1"/>
      <c r="P3853" s="1"/>
      <c r="Q3853" s="1"/>
      <c r="R3853" s="1"/>
    </row>
    <row r="3854" spans="2:18" x14ac:dyDescent="0.15">
      <c r="B3854" s="1" t="s">
        <v>803</v>
      </c>
      <c r="C3854" s="2" t="s">
        <v>5</v>
      </c>
      <c r="D3854" s="2" t="s">
        <v>664</v>
      </c>
      <c r="E3854" s="3">
        <v>17</v>
      </c>
      <c r="F3854" s="3">
        <v>1.5</v>
      </c>
      <c r="G3854" s="4">
        <v>44679</v>
      </c>
      <c r="M3854" s="1"/>
      <c r="N3854" s="1"/>
      <c r="O3854" s="1"/>
      <c r="P3854" s="1"/>
      <c r="Q3854" s="1"/>
      <c r="R3854" s="1"/>
    </row>
    <row r="3855" spans="2:18" x14ac:dyDescent="0.15">
      <c r="B3855" s="1" t="s">
        <v>595</v>
      </c>
      <c r="C3855" s="2" t="s">
        <v>4</v>
      </c>
      <c r="D3855" s="2" t="s">
        <v>594</v>
      </c>
      <c r="E3855" s="3">
        <v>6.8</v>
      </c>
      <c r="F3855" s="3">
        <v>1.5</v>
      </c>
      <c r="G3855" s="4">
        <v>44964</v>
      </c>
      <c r="M3855" s="1"/>
      <c r="N3855" s="1"/>
      <c r="O3855" s="1"/>
      <c r="P3855" s="1"/>
      <c r="Q3855" s="1"/>
      <c r="R3855" s="1"/>
    </row>
    <row r="3856" spans="2:18" x14ac:dyDescent="0.15">
      <c r="B3856" s="1" t="s">
        <v>446</v>
      </c>
      <c r="C3856" s="2" t="s">
        <v>4</v>
      </c>
      <c r="D3856" s="2" t="s">
        <v>440</v>
      </c>
      <c r="E3856" s="3">
        <v>7</v>
      </c>
      <c r="F3856" s="3">
        <v>1.5</v>
      </c>
      <c r="G3856" s="4">
        <v>44602</v>
      </c>
      <c r="M3856" s="1"/>
      <c r="N3856" s="1"/>
      <c r="O3856" s="1"/>
      <c r="P3856" s="1"/>
      <c r="Q3856" s="1"/>
      <c r="R3856" s="1"/>
    </row>
    <row r="3857" spans="2:18" x14ac:dyDescent="0.15">
      <c r="B3857" s="1" t="s">
        <v>445</v>
      </c>
      <c r="C3857" s="2" t="s">
        <v>4</v>
      </c>
      <c r="D3857" s="2" t="s">
        <v>440</v>
      </c>
      <c r="E3857" s="3">
        <v>7</v>
      </c>
      <c r="F3857" s="3">
        <v>1.5</v>
      </c>
      <c r="G3857" s="4">
        <v>44602</v>
      </c>
      <c r="M3857" s="1"/>
      <c r="N3857" s="1"/>
      <c r="O3857" s="1"/>
      <c r="P3857" s="1"/>
      <c r="Q3857" s="1"/>
      <c r="R3857" s="1"/>
    </row>
    <row r="3858" spans="2:18" x14ac:dyDescent="0.15">
      <c r="B3858" s="61" t="s">
        <v>5037</v>
      </c>
      <c r="C3858" s="62" t="s">
        <v>5</v>
      </c>
      <c r="D3858" s="62" t="s">
        <v>2117</v>
      </c>
      <c r="E3858" s="3">
        <v>8.9</v>
      </c>
      <c r="F3858" s="3">
        <f>E3858/6</f>
        <v>1.4833333333333334</v>
      </c>
      <c r="G3858" s="4">
        <v>41839</v>
      </c>
      <c r="J3858" s="1">
        <v>1600</v>
      </c>
    </row>
    <row r="3859" spans="2:18" x14ac:dyDescent="0.15">
      <c r="B3859" s="1" t="s">
        <v>309</v>
      </c>
      <c r="C3859" s="2" t="s">
        <v>5</v>
      </c>
      <c r="D3859" s="2" t="s">
        <v>302</v>
      </c>
      <c r="E3859" s="3">
        <v>10</v>
      </c>
      <c r="F3859" s="3">
        <v>1.4</v>
      </c>
      <c r="G3859" s="4">
        <v>44637</v>
      </c>
    </row>
    <row r="3860" spans="2:18" x14ac:dyDescent="0.15">
      <c r="B3860" s="1" t="s">
        <v>308</v>
      </c>
      <c r="C3860" s="2" t="s">
        <v>5</v>
      </c>
      <c r="D3860" s="2" t="s">
        <v>302</v>
      </c>
      <c r="E3860" s="3">
        <v>10</v>
      </c>
      <c r="F3860" s="3">
        <v>1.4</v>
      </c>
      <c r="G3860" s="4">
        <v>44637</v>
      </c>
    </row>
    <row r="3861" spans="2:18" x14ac:dyDescent="0.15">
      <c r="B3861" s="58" t="s">
        <v>4920</v>
      </c>
      <c r="C3861" s="59" t="s">
        <v>5</v>
      </c>
      <c r="D3861" s="59" t="s">
        <v>2122</v>
      </c>
      <c r="E3861" s="3">
        <v>11.5</v>
      </c>
      <c r="F3861" s="3">
        <f>5.5/4</f>
        <v>1.375</v>
      </c>
      <c r="G3861" s="4">
        <v>43355</v>
      </c>
      <c r="J3861" s="1">
        <v>3400</v>
      </c>
    </row>
    <row r="3862" spans="2:18" x14ac:dyDescent="0.15">
      <c r="B3862" s="1" t="s">
        <v>518</v>
      </c>
      <c r="C3862" s="2" t="s">
        <v>4</v>
      </c>
      <c r="D3862" s="2" t="s">
        <v>517</v>
      </c>
      <c r="E3862" s="3">
        <v>4</v>
      </c>
      <c r="F3862" s="3">
        <f>4/3</f>
        <v>1.3333333333333333</v>
      </c>
      <c r="G3862" s="4">
        <v>42647</v>
      </c>
      <c r="M3862" s="1"/>
      <c r="N3862" s="1"/>
      <c r="O3862" s="1"/>
      <c r="P3862" s="1"/>
      <c r="Q3862" s="1"/>
      <c r="R3862" s="1"/>
    </row>
    <row r="3863" spans="2:18" x14ac:dyDescent="0.15">
      <c r="B3863" s="58" t="s">
        <v>4911</v>
      </c>
      <c r="C3863" s="59" t="s">
        <v>4</v>
      </c>
      <c r="D3863" s="59" t="s">
        <v>2124</v>
      </c>
      <c r="E3863" s="3">
        <v>10.3</v>
      </c>
      <c r="F3863" s="3">
        <v>1.3</v>
      </c>
      <c r="G3863" s="4">
        <v>42846</v>
      </c>
      <c r="J3863" s="1">
        <v>700</v>
      </c>
    </row>
    <row r="3864" spans="2:18" x14ac:dyDescent="0.15">
      <c r="B3864" s="1" t="s">
        <v>346</v>
      </c>
      <c r="C3864" s="2" t="s">
        <v>4</v>
      </c>
      <c r="D3864" s="2" t="s">
        <v>341</v>
      </c>
      <c r="E3864" s="3">
        <v>3.5</v>
      </c>
      <c r="F3864" s="3">
        <v>1.25</v>
      </c>
      <c r="G3864" s="4">
        <v>44636</v>
      </c>
      <c r="M3864" s="1"/>
      <c r="N3864" s="1"/>
      <c r="O3864" s="1"/>
      <c r="P3864" s="1"/>
      <c r="Q3864" s="1"/>
      <c r="R3864" s="1"/>
    </row>
    <row r="3865" spans="2:18" x14ac:dyDescent="0.15">
      <c r="B3865" s="168" t="s">
        <v>6463</v>
      </c>
      <c r="C3865" s="169" t="s">
        <v>5</v>
      </c>
      <c r="D3865" s="169" t="s">
        <v>6459</v>
      </c>
      <c r="E3865" s="3">
        <v>8</v>
      </c>
      <c r="F3865" s="3">
        <f>6/5</f>
        <v>1.2</v>
      </c>
      <c r="G3865" s="4">
        <v>44179</v>
      </c>
    </row>
    <row r="3866" spans="2:18" x14ac:dyDescent="0.15">
      <c r="B3866" s="168"/>
      <c r="C3866" s="169"/>
      <c r="D3866" s="169"/>
      <c r="G3866" s="4"/>
    </row>
    <row r="3867" spans="2:18" x14ac:dyDescent="0.15">
      <c r="B3867" s="1" t="s">
        <v>285</v>
      </c>
      <c r="C3867" s="2" t="s">
        <v>4</v>
      </c>
      <c r="D3867" s="2" t="s">
        <v>283</v>
      </c>
      <c r="E3867" s="3">
        <v>2.1</v>
      </c>
      <c r="F3867" s="3">
        <v>1.1000000000000001</v>
      </c>
      <c r="G3867" s="4">
        <v>44565</v>
      </c>
    </row>
    <row r="3868" spans="2:18" x14ac:dyDescent="0.15">
      <c r="C3868" s="261" t="s">
        <v>5</v>
      </c>
      <c r="D3868" s="261" t="s">
        <v>7502</v>
      </c>
      <c r="E3868" s="3">
        <v>10</v>
      </c>
      <c r="F3868" s="3">
        <v>4</v>
      </c>
      <c r="G3868" s="4">
        <v>44384</v>
      </c>
    </row>
    <row r="3869" spans="2:18" x14ac:dyDescent="0.15">
      <c r="G3869" s="4"/>
    </row>
    <row r="3870" spans="2:18" x14ac:dyDescent="0.15">
      <c r="G3870" s="4"/>
    </row>
    <row r="3871" spans="2:18" x14ac:dyDescent="0.15">
      <c r="B3871" s="1" t="s">
        <v>334</v>
      </c>
      <c r="C3871" s="2" t="s">
        <v>4</v>
      </c>
      <c r="D3871" s="2" t="s">
        <v>332</v>
      </c>
      <c r="E3871" s="3">
        <v>5.0999999999999996</v>
      </c>
      <c r="F3871" s="3">
        <f>E3871/5</f>
        <v>1.02</v>
      </c>
      <c r="G3871" s="4">
        <v>43990</v>
      </c>
      <c r="M3871" s="1"/>
      <c r="N3871" s="1"/>
      <c r="O3871" s="1"/>
      <c r="P3871" s="1"/>
      <c r="Q3871" s="1"/>
      <c r="R3871" s="1"/>
    </row>
    <row r="3872" spans="2:18" x14ac:dyDescent="0.15">
      <c r="B3872" s="1" t="s">
        <v>333</v>
      </c>
      <c r="C3872" s="2" t="s">
        <v>4</v>
      </c>
      <c r="D3872" s="2" t="s">
        <v>332</v>
      </c>
      <c r="E3872" s="3">
        <v>5.0999999999999996</v>
      </c>
      <c r="F3872" s="3">
        <f>E3872/5</f>
        <v>1.02</v>
      </c>
      <c r="G3872" s="4">
        <v>43990</v>
      </c>
      <c r="M3872" s="1"/>
      <c r="N3872" s="1"/>
      <c r="O3872" s="1"/>
      <c r="P3872" s="1"/>
      <c r="Q3872" s="1"/>
      <c r="R3872" s="1"/>
    </row>
    <row r="3873" spans="2:18" x14ac:dyDescent="0.15">
      <c r="B3873" s="1" t="s">
        <v>802</v>
      </c>
      <c r="C3873" s="2" t="s">
        <v>4</v>
      </c>
      <c r="D3873" s="2" t="s">
        <v>764</v>
      </c>
      <c r="E3873" s="3">
        <v>6</v>
      </c>
      <c r="F3873" s="3">
        <v>1</v>
      </c>
      <c r="G3873" s="4">
        <v>44352</v>
      </c>
      <c r="M3873" s="1"/>
      <c r="N3873" s="1"/>
      <c r="O3873" s="1"/>
      <c r="P3873" s="1"/>
      <c r="Q3873" s="1"/>
      <c r="R3873" s="1"/>
    </row>
    <row r="3874" spans="2:18" x14ac:dyDescent="0.15">
      <c r="B3874" s="1" t="s">
        <v>801</v>
      </c>
      <c r="C3874" s="2" t="s">
        <v>4</v>
      </c>
      <c r="D3874" s="2" t="s">
        <v>764</v>
      </c>
      <c r="E3874" s="3">
        <v>6</v>
      </c>
      <c r="F3874" s="3">
        <v>1</v>
      </c>
      <c r="G3874" s="4">
        <v>44352</v>
      </c>
      <c r="M3874" s="1"/>
      <c r="N3874" s="1"/>
      <c r="O3874" s="1"/>
      <c r="P3874" s="1"/>
      <c r="Q3874" s="1"/>
      <c r="R3874" s="1"/>
    </row>
    <row r="3875" spans="2:18" x14ac:dyDescent="0.15">
      <c r="B3875" s="1" t="s">
        <v>800</v>
      </c>
      <c r="C3875" s="2" t="s">
        <v>4</v>
      </c>
      <c r="D3875" s="2" t="s">
        <v>799</v>
      </c>
      <c r="E3875" s="3">
        <v>5.3</v>
      </c>
      <c r="F3875" s="3">
        <v>1</v>
      </c>
      <c r="G3875" s="4">
        <v>43628</v>
      </c>
      <c r="M3875" s="1"/>
      <c r="N3875" s="1"/>
      <c r="O3875" s="1"/>
      <c r="P3875" s="1"/>
      <c r="Q3875" s="1"/>
      <c r="R3875" s="1"/>
    </row>
    <row r="3876" spans="2:18" x14ac:dyDescent="0.15">
      <c r="B3876" s="1" t="s">
        <v>798</v>
      </c>
      <c r="C3876" s="2" t="s">
        <v>5</v>
      </c>
      <c r="D3876" s="2" t="s">
        <v>797</v>
      </c>
      <c r="E3876" s="3">
        <v>17.5</v>
      </c>
      <c r="F3876" s="3">
        <v>1</v>
      </c>
      <c r="G3876" s="4">
        <v>44614</v>
      </c>
      <c r="M3876" s="1"/>
      <c r="N3876" s="1"/>
      <c r="O3876" s="1"/>
      <c r="P3876" s="1"/>
      <c r="Q3876" s="1"/>
      <c r="R3876" s="1"/>
    </row>
    <row r="3877" spans="2:18" x14ac:dyDescent="0.15">
      <c r="B3877" s="1" t="s">
        <v>796</v>
      </c>
      <c r="C3877" s="2" t="s">
        <v>5</v>
      </c>
      <c r="D3877" s="2" t="s">
        <v>784</v>
      </c>
      <c r="E3877" s="3">
        <v>10.9</v>
      </c>
      <c r="F3877" s="3">
        <f>8/8</f>
        <v>1</v>
      </c>
      <c r="G3877" s="4">
        <v>45070</v>
      </c>
      <c r="M3877" s="1"/>
      <c r="N3877" s="1"/>
      <c r="O3877" s="1"/>
      <c r="P3877" s="1"/>
      <c r="Q3877" s="1"/>
      <c r="R3877" s="1"/>
    </row>
    <row r="3878" spans="2:18" x14ac:dyDescent="0.15">
      <c r="B3878" s="1" t="s">
        <v>795</v>
      </c>
      <c r="C3878" s="2" t="s">
        <v>4</v>
      </c>
      <c r="D3878" s="2" t="s">
        <v>710</v>
      </c>
      <c r="E3878" s="3">
        <v>5.5</v>
      </c>
      <c r="F3878" s="3">
        <v>1</v>
      </c>
      <c r="G3878" s="4">
        <v>45092</v>
      </c>
      <c r="M3878" s="1"/>
      <c r="N3878" s="1"/>
      <c r="O3878" s="1"/>
      <c r="P3878" s="1"/>
      <c r="Q3878" s="1"/>
      <c r="R3878" s="1"/>
    </row>
    <row r="3879" spans="2:18" x14ac:dyDescent="0.15">
      <c r="B3879" s="1" t="s">
        <v>794</v>
      </c>
      <c r="C3879" s="2" t="s">
        <v>4</v>
      </c>
      <c r="D3879" s="2" t="s">
        <v>700</v>
      </c>
      <c r="E3879" s="3">
        <v>2.5</v>
      </c>
      <c r="F3879" s="3">
        <v>1</v>
      </c>
      <c r="G3879" s="4">
        <v>44469</v>
      </c>
      <c r="M3879" s="1"/>
      <c r="N3879" s="1"/>
      <c r="O3879" s="1"/>
      <c r="P3879" s="1"/>
      <c r="Q3879" s="1"/>
      <c r="R3879" s="1"/>
    </row>
    <row r="3880" spans="2:18" x14ac:dyDescent="0.15">
      <c r="B3880" s="1" t="s">
        <v>793</v>
      </c>
      <c r="C3880" s="2" t="s">
        <v>4</v>
      </c>
      <c r="D3880" s="2" t="s">
        <v>698</v>
      </c>
      <c r="E3880" s="3">
        <v>5.6</v>
      </c>
      <c r="F3880" s="3">
        <v>1</v>
      </c>
      <c r="G3880" s="4">
        <v>44292</v>
      </c>
      <c r="M3880" s="1"/>
      <c r="N3880" s="1"/>
      <c r="O3880" s="1"/>
      <c r="P3880" s="1"/>
      <c r="Q3880" s="1"/>
      <c r="R3880" s="1"/>
    </row>
    <row r="3881" spans="2:18" x14ac:dyDescent="0.15">
      <c r="B3881" s="1" t="s">
        <v>790</v>
      </c>
      <c r="C3881" s="2" t="s">
        <v>4</v>
      </c>
      <c r="D3881" s="2" t="s">
        <v>698</v>
      </c>
      <c r="E3881" s="3">
        <v>5.6</v>
      </c>
      <c r="F3881" s="3">
        <v>1</v>
      </c>
      <c r="G3881" s="4">
        <v>44292</v>
      </c>
      <c r="M3881" s="1"/>
      <c r="N3881" s="1"/>
      <c r="O3881" s="1"/>
      <c r="P3881" s="1"/>
      <c r="Q3881" s="1"/>
      <c r="R3881" s="1"/>
    </row>
    <row r="3882" spans="2:18" x14ac:dyDescent="0.15">
      <c r="B3882" s="1" t="s">
        <v>789</v>
      </c>
      <c r="C3882" s="2" t="s">
        <v>5</v>
      </c>
      <c r="D3882" s="2" t="s">
        <v>784</v>
      </c>
      <c r="E3882" s="3">
        <v>10.9</v>
      </c>
      <c r="F3882" s="3">
        <f>8/8</f>
        <v>1</v>
      </c>
      <c r="G3882" s="4">
        <v>45070</v>
      </c>
      <c r="M3882" s="1"/>
      <c r="N3882" s="1"/>
      <c r="O3882" s="1"/>
      <c r="P3882" s="1"/>
      <c r="Q3882" s="1"/>
      <c r="R3882" s="1"/>
    </row>
    <row r="3883" spans="2:18" x14ac:dyDescent="0.15">
      <c r="B3883" s="1" t="s">
        <v>788</v>
      </c>
      <c r="C3883" s="2" t="s">
        <v>5</v>
      </c>
      <c r="D3883" s="2" t="s">
        <v>784</v>
      </c>
      <c r="E3883" s="3">
        <v>10.9</v>
      </c>
      <c r="F3883" s="3">
        <f>8/8</f>
        <v>1</v>
      </c>
      <c r="G3883" s="4">
        <v>45070</v>
      </c>
      <c r="M3883" s="1"/>
      <c r="N3883" s="1"/>
      <c r="O3883" s="1"/>
      <c r="P3883" s="1"/>
      <c r="Q3883" s="1"/>
      <c r="R3883" s="1"/>
    </row>
    <row r="3884" spans="2:18" x14ac:dyDescent="0.15">
      <c r="B3884" s="1" t="s">
        <v>787</v>
      </c>
      <c r="C3884" s="2" t="s">
        <v>5</v>
      </c>
      <c r="D3884" s="2" t="s">
        <v>784</v>
      </c>
      <c r="E3884" s="3">
        <v>10.9</v>
      </c>
      <c r="F3884" s="3">
        <f>8/8</f>
        <v>1</v>
      </c>
      <c r="G3884" s="4">
        <v>45070</v>
      </c>
      <c r="M3884" s="1"/>
      <c r="N3884" s="1"/>
      <c r="O3884" s="1"/>
      <c r="P3884" s="1"/>
      <c r="Q3884" s="1"/>
      <c r="R3884" s="1"/>
    </row>
    <row r="3885" spans="2:18" x14ac:dyDescent="0.15">
      <c r="B3885" s="1" t="s">
        <v>786</v>
      </c>
      <c r="C3885" s="2" t="s">
        <v>5</v>
      </c>
      <c r="D3885" s="2" t="s">
        <v>784</v>
      </c>
      <c r="E3885" s="3">
        <v>10.9</v>
      </c>
      <c r="F3885" s="3">
        <f>8/8</f>
        <v>1</v>
      </c>
      <c r="G3885" s="4">
        <v>45070</v>
      </c>
      <c r="M3885" s="1"/>
      <c r="N3885" s="1"/>
      <c r="O3885" s="1"/>
      <c r="P3885" s="1"/>
      <c r="Q3885" s="1"/>
      <c r="R3885" s="1"/>
    </row>
    <row r="3886" spans="2:18" x14ac:dyDescent="0.15">
      <c r="B3886" s="1" t="s">
        <v>785</v>
      </c>
      <c r="C3886" s="2" t="s">
        <v>5</v>
      </c>
      <c r="D3886" s="2" t="s">
        <v>784</v>
      </c>
      <c r="E3886" s="3">
        <v>10.9</v>
      </c>
      <c r="F3886" s="3">
        <f>8/8</f>
        <v>1</v>
      </c>
      <c r="G3886" s="4">
        <v>45070</v>
      </c>
      <c r="M3886" s="1"/>
      <c r="N3886" s="1"/>
      <c r="O3886" s="1"/>
      <c r="P3886" s="1"/>
      <c r="Q3886" s="1"/>
      <c r="R3886" s="1"/>
    </row>
    <row r="3887" spans="2:18" x14ac:dyDescent="0.15">
      <c r="B3887" s="1" t="s">
        <v>783</v>
      </c>
      <c r="C3887" s="2" t="s">
        <v>4</v>
      </c>
      <c r="D3887" s="2" t="s">
        <v>702</v>
      </c>
      <c r="E3887" s="3">
        <v>7.2</v>
      </c>
      <c r="F3887" s="3">
        <v>1</v>
      </c>
      <c r="G3887" s="4">
        <v>44508</v>
      </c>
      <c r="M3887" s="1"/>
      <c r="N3887" s="1"/>
      <c r="O3887" s="1"/>
      <c r="P3887" s="1"/>
      <c r="Q3887" s="1"/>
      <c r="R3887" s="1"/>
    </row>
    <row r="3888" spans="2:18" x14ac:dyDescent="0.15">
      <c r="B3888" s="1" t="s">
        <v>782</v>
      </c>
      <c r="C3888" s="2" t="s">
        <v>4</v>
      </c>
      <c r="D3888" s="2" t="s">
        <v>702</v>
      </c>
      <c r="E3888" s="3">
        <v>7.2</v>
      </c>
      <c r="F3888" s="3">
        <v>1</v>
      </c>
      <c r="G3888" s="4">
        <v>44508</v>
      </c>
      <c r="M3888" s="1"/>
      <c r="N3888" s="1"/>
      <c r="O3888" s="1"/>
      <c r="P3888" s="1"/>
      <c r="Q3888" s="1"/>
      <c r="R3888" s="1"/>
    </row>
    <row r="3889" spans="2:18" x14ac:dyDescent="0.15">
      <c r="B3889" s="1" t="s">
        <v>781</v>
      </c>
      <c r="C3889" s="11" t="s">
        <v>671</v>
      </c>
      <c r="D3889" s="11" t="s">
        <v>780</v>
      </c>
      <c r="E3889" s="10">
        <v>3</v>
      </c>
      <c r="F3889" s="10">
        <v>1</v>
      </c>
      <c r="G3889" s="9">
        <v>44183</v>
      </c>
      <c r="M3889" s="1"/>
      <c r="N3889" s="1"/>
      <c r="O3889" s="1"/>
      <c r="P3889" s="1"/>
      <c r="Q3889" s="1"/>
      <c r="R3889" s="1"/>
    </row>
    <row r="3890" spans="2:18" x14ac:dyDescent="0.15">
      <c r="B3890" s="1" t="s">
        <v>779</v>
      </c>
      <c r="C3890" s="2" t="s">
        <v>671</v>
      </c>
      <c r="D3890" s="2" t="s">
        <v>777</v>
      </c>
      <c r="E3890" s="3">
        <v>4.5</v>
      </c>
      <c r="F3890" s="3">
        <v>1</v>
      </c>
      <c r="G3890" s="4">
        <v>44691</v>
      </c>
      <c r="M3890" s="1"/>
      <c r="N3890" s="1"/>
      <c r="O3890" s="1"/>
      <c r="P3890" s="1"/>
      <c r="Q3890" s="1"/>
      <c r="R3890" s="1"/>
    </row>
    <row r="3891" spans="2:18" x14ac:dyDescent="0.15">
      <c r="B3891" s="1" t="s">
        <v>778</v>
      </c>
      <c r="C3891" s="2" t="s">
        <v>671</v>
      </c>
      <c r="D3891" s="2" t="s">
        <v>777</v>
      </c>
      <c r="E3891" s="3">
        <v>4.5</v>
      </c>
      <c r="F3891" s="3">
        <v>1</v>
      </c>
      <c r="G3891" s="4">
        <v>44691</v>
      </c>
      <c r="M3891" s="1"/>
      <c r="N3891" s="1"/>
      <c r="O3891" s="1"/>
      <c r="P3891" s="1"/>
      <c r="Q3891" s="1"/>
      <c r="R3891" s="1"/>
    </row>
    <row r="3892" spans="2:18" x14ac:dyDescent="0.15">
      <c r="B3892" s="1" t="s">
        <v>773</v>
      </c>
      <c r="C3892" s="2" t="s">
        <v>4</v>
      </c>
      <c r="D3892" s="2" t="s">
        <v>772</v>
      </c>
      <c r="E3892" s="3">
        <v>10</v>
      </c>
      <c r="F3892" s="3">
        <v>1</v>
      </c>
      <c r="G3892" s="4">
        <v>44858</v>
      </c>
      <c r="M3892" s="1"/>
      <c r="N3892" s="1"/>
      <c r="O3892" s="1"/>
      <c r="P3892" s="1"/>
      <c r="Q3892" s="1"/>
      <c r="R3892" s="1"/>
    </row>
    <row r="3893" spans="2:18" x14ac:dyDescent="0.15">
      <c r="B3893" s="1" t="s">
        <v>634</v>
      </c>
      <c r="C3893" s="2" t="s">
        <v>4</v>
      </c>
      <c r="D3893" s="2" t="s">
        <v>633</v>
      </c>
      <c r="E3893" s="3">
        <v>3</v>
      </c>
      <c r="F3893" s="3">
        <v>1</v>
      </c>
      <c r="G3893" s="4">
        <v>44539</v>
      </c>
      <c r="M3893" s="1"/>
      <c r="N3893" s="1"/>
      <c r="O3893" s="1"/>
      <c r="P3893" s="1"/>
      <c r="Q3893" s="1"/>
      <c r="R3893" s="1"/>
    </row>
    <row r="3894" spans="2:18" x14ac:dyDescent="0.15">
      <c r="B3894" s="1" t="s">
        <v>602</v>
      </c>
      <c r="C3894" s="2" t="s">
        <v>5</v>
      </c>
      <c r="D3894" s="2" t="s">
        <v>600</v>
      </c>
      <c r="E3894" s="3">
        <v>8</v>
      </c>
      <c r="F3894" s="3">
        <v>1</v>
      </c>
      <c r="G3894" s="4">
        <v>43249</v>
      </c>
      <c r="M3894" s="1"/>
      <c r="N3894" s="1"/>
      <c r="O3894" s="1"/>
      <c r="P3894" s="1"/>
      <c r="Q3894" s="1"/>
      <c r="R3894" s="1"/>
    </row>
    <row r="3895" spans="2:18" x14ac:dyDescent="0.15">
      <c r="B3895" s="1" t="s">
        <v>599</v>
      </c>
      <c r="C3895" s="2" t="s">
        <v>4</v>
      </c>
      <c r="D3895" s="2" t="s">
        <v>597</v>
      </c>
      <c r="E3895" s="3">
        <v>6</v>
      </c>
      <c r="F3895" s="3">
        <v>1</v>
      </c>
      <c r="G3895" s="4">
        <v>44781</v>
      </c>
      <c r="M3895" s="1"/>
      <c r="N3895" s="1"/>
      <c r="O3895" s="1"/>
      <c r="P3895" s="1"/>
      <c r="Q3895" s="1"/>
      <c r="R3895" s="1"/>
    </row>
    <row r="3896" spans="2:18" x14ac:dyDescent="0.15">
      <c r="B3896" s="1" t="s">
        <v>584</v>
      </c>
      <c r="C3896" s="2" t="s">
        <v>278</v>
      </c>
      <c r="D3896" s="2" t="s">
        <v>583</v>
      </c>
      <c r="E3896" s="3">
        <v>2</v>
      </c>
      <c r="F3896" s="3">
        <v>1</v>
      </c>
      <c r="G3896" s="4">
        <v>44223</v>
      </c>
      <c r="M3896" s="1"/>
      <c r="N3896" s="1"/>
      <c r="O3896" s="1"/>
      <c r="P3896" s="1"/>
      <c r="Q3896" s="1"/>
      <c r="R3896" s="1"/>
    </row>
    <row r="3897" spans="2:18" x14ac:dyDescent="0.15">
      <c r="B3897" s="1" t="s">
        <v>580</v>
      </c>
      <c r="C3897" s="2" t="s">
        <v>4</v>
      </c>
      <c r="D3897" s="2" t="s">
        <v>574</v>
      </c>
      <c r="E3897" s="3">
        <v>10</v>
      </c>
      <c r="F3897" s="3">
        <v>1</v>
      </c>
      <c r="G3897" s="4">
        <v>44887</v>
      </c>
      <c r="M3897" s="1"/>
      <c r="N3897" s="1"/>
      <c r="O3897" s="1"/>
      <c r="P3897" s="1"/>
      <c r="Q3897" s="1"/>
      <c r="R3897" s="1"/>
    </row>
    <row r="3898" spans="2:18" x14ac:dyDescent="0.15">
      <c r="B3898" s="1" t="s">
        <v>579</v>
      </c>
      <c r="C3898" s="2" t="s">
        <v>4</v>
      </c>
      <c r="D3898" s="2" t="s">
        <v>574</v>
      </c>
      <c r="E3898" s="3">
        <v>10</v>
      </c>
      <c r="F3898" s="3">
        <v>1</v>
      </c>
      <c r="G3898" s="4">
        <v>44887</v>
      </c>
      <c r="M3898" s="1"/>
      <c r="N3898" s="1"/>
      <c r="O3898" s="1"/>
      <c r="P3898" s="1"/>
      <c r="Q3898" s="1"/>
      <c r="R3898" s="1"/>
    </row>
    <row r="3899" spans="2:18" x14ac:dyDescent="0.15">
      <c r="B3899" s="1" t="s">
        <v>577</v>
      </c>
      <c r="C3899" s="2" t="s">
        <v>4</v>
      </c>
      <c r="D3899" s="2" t="s">
        <v>574</v>
      </c>
      <c r="E3899" s="3">
        <v>10</v>
      </c>
      <c r="F3899" s="3">
        <v>1</v>
      </c>
      <c r="G3899" s="4">
        <v>44887</v>
      </c>
      <c r="M3899" s="1"/>
      <c r="N3899" s="1"/>
      <c r="O3899" s="1"/>
      <c r="P3899" s="1"/>
      <c r="Q3899" s="1"/>
      <c r="R3899" s="1"/>
    </row>
    <row r="3900" spans="2:18" x14ac:dyDescent="0.15">
      <c r="B3900" s="1" t="s">
        <v>576</v>
      </c>
      <c r="C3900" s="2" t="s">
        <v>4</v>
      </c>
      <c r="D3900" s="2" t="s">
        <v>574</v>
      </c>
      <c r="E3900" s="3">
        <v>10</v>
      </c>
      <c r="F3900" s="3">
        <v>1</v>
      </c>
      <c r="G3900" s="4">
        <v>44887</v>
      </c>
      <c r="M3900" s="1"/>
      <c r="N3900" s="1"/>
      <c r="O3900" s="1"/>
      <c r="P3900" s="1"/>
      <c r="Q3900" s="1"/>
      <c r="R3900" s="1"/>
    </row>
    <row r="3901" spans="2:18" x14ac:dyDescent="0.15">
      <c r="B3901" s="1" t="s">
        <v>575</v>
      </c>
      <c r="C3901" s="2" t="s">
        <v>4</v>
      </c>
      <c r="D3901" s="2" t="s">
        <v>574</v>
      </c>
      <c r="E3901" s="3">
        <v>10</v>
      </c>
      <c r="F3901" s="3">
        <v>1</v>
      </c>
      <c r="G3901" s="4">
        <v>44887</v>
      </c>
      <c r="M3901" s="1"/>
      <c r="N3901" s="1"/>
      <c r="O3901" s="1"/>
      <c r="P3901" s="1"/>
      <c r="Q3901" s="1"/>
      <c r="R3901" s="1"/>
    </row>
    <row r="3902" spans="2:18" x14ac:dyDescent="0.15">
      <c r="B3902" s="1" t="s">
        <v>485</v>
      </c>
      <c r="C3902" s="2" t="s">
        <v>4</v>
      </c>
      <c r="D3902" s="2" t="s">
        <v>484</v>
      </c>
      <c r="E3902" s="3">
        <v>2.5</v>
      </c>
      <c r="F3902" s="3">
        <v>1</v>
      </c>
      <c r="G3902" s="4">
        <v>44305</v>
      </c>
      <c r="M3902" s="1"/>
      <c r="N3902" s="1"/>
      <c r="O3902" s="1"/>
      <c r="P3902" s="1"/>
      <c r="Q3902" s="1"/>
      <c r="R3902" s="1"/>
    </row>
    <row r="3903" spans="2:18" x14ac:dyDescent="0.15">
      <c r="B3903" s="1" t="s">
        <v>475</v>
      </c>
      <c r="C3903" s="2" t="s">
        <v>4</v>
      </c>
      <c r="D3903" s="2" t="s">
        <v>470</v>
      </c>
      <c r="E3903" s="3">
        <v>6</v>
      </c>
      <c r="F3903" s="3">
        <v>1</v>
      </c>
      <c r="G3903" s="4">
        <v>45104</v>
      </c>
      <c r="M3903" s="1"/>
      <c r="N3903" s="1"/>
      <c r="O3903" s="1"/>
      <c r="P3903" s="1"/>
      <c r="Q3903" s="1"/>
      <c r="R3903" s="1"/>
    </row>
    <row r="3904" spans="2:18" x14ac:dyDescent="0.15">
      <c r="B3904" s="1" t="s">
        <v>474</v>
      </c>
      <c r="C3904" s="2" t="s">
        <v>4</v>
      </c>
      <c r="D3904" s="2" t="s">
        <v>470</v>
      </c>
      <c r="E3904" s="3">
        <v>6</v>
      </c>
      <c r="F3904" s="3">
        <v>1</v>
      </c>
      <c r="G3904" s="4">
        <v>45104</v>
      </c>
      <c r="M3904" s="1"/>
      <c r="N3904" s="1"/>
      <c r="O3904" s="1"/>
      <c r="P3904" s="1"/>
      <c r="Q3904" s="1"/>
      <c r="R3904" s="1"/>
    </row>
    <row r="3905" spans="2:18" x14ac:dyDescent="0.15">
      <c r="B3905" s="1" t="s">
        <v>472</v>
      </c>
      <c r="C3905" s="2" t="s">
        <v>4</v>
      </c>
      <c r="D3905" s="2" t="s">
        <v>470</v>
      </c>
      <c r="E3905" s="3">
        <v>6</v>
      </c>
      <c r="F3905" s="3">
        <v>1</v>
      </c>
      <c r="G3905" s="4">
        <v>45104</v>
      </c>
      <c r="M3905" s="1"/>
      <c r="N3905" s="1"/>
      <c r="O3905" s="1"/>
      <c r="P3905" s="1"/>
      <c r="Q3905" s="1"/>
      <c r="R3905" s="1"/>
    </row>
    <row r="3906" spans="2:18" x14ac:dyDescent="0.15">
      <c r="B3906" s="1" t="s">
        <v>471</v>
      </c>
      <c r="C3906" s="2" t="s">
        <v>4</v>
      </c>
      <c r="D3906" s="2" t="s">
        <v>470</v>
      </c>
      <c r="E3906" s="3">
        <v>6</v>
      </c>
      <c r="F3906" s="3">
        <v>1</v>
      </c>
      <c r="G3906" s="4">
        <v>45104</v>
      </c>
      <c r="M3906" s="1"/>
      <c r="N3906" s="1"/>
      <c r="O3906" s="1"/>
      <c r="P3906" s="1"/>
      <c r="Q3906" s="1"/>
      <c r="R3906" s="1"/>
    </row>
    <row r="3907" spans="2:18" x14ac:dyDescent="0.15">
      <c r="B3907" s="1" t="s">
        <v>330</v>
      </c>
      <c r="C3907" s="2" t="s">
        <v>4</v>
      </c>
      <c r="D3907" s="2" t="s">
        <v>329</v>
      </c>
      <c r="E3907" s="3">
        <v>5</v>
      </c>
      <c r="F3907" s="3">
        <v>1</v>
      </c>
      <c r="G3907" s="4">
        <v>43224</v>
      </c>
      <c r="L3907" s="1">
        <v>0</v>
      </c>
      <c r="M3907" s="1"/>
      <c r="N3907" s="1"/>
      <c r="O3907" s="1"/>
      <c r="P3907" s="1"/>
      <c r="Q3907" s="1"/>
      <c r="R3907" s="1"/>
    </row>
    <row r="3908" spans="2:18" x14ac:dyDescent="0.15">
      <c r="G3908" s="4"/>
      <c r="M3908" s="1"/>
      <c r="N3908" s="1"/>
      <c r="O3908" s="1"/>
      <c r="P3908" s="1"/>
      <c r="Q3908" s="1"/>
      <c r="R3908" s="1"/>
    </row>
    <row r="3909" spans="2:18" x14ac:dyDescent="0.15">
      <c r="B3909" s="1" t="s">
        <v>284</v>
      </c>
      <c r="C3909" s="2" t="s">
        <v>4</v>
      </c>
      <c r="D3909" s="2" t="s">
        <v>283</v>
      </c>
      <c r="E3909" s="3">
        <v>2.1</v>
      </c>
      <c r="F3909" s="3">
        <v>1</v>
      </c>
      <c r="G3909" s="4">
        <v>44565</v>
      </c>
    </row>
    <row r="3910" spans="2:18" x14ac:dyDescent="0.15">
      <c r="C3910" s="261" t="s">
        <v>5</v>
      </c>
      <c r="D3910" s="261" t="s">
        <v>7502</v>
      </c>
      <c r="E3910" s="3">
        <v>10</v>
      </c>
      <c r="F3910" s="3">
        <v>2</v>
      </c>
      <c r="G3910" s="4">
        <v>44384</v>
      </c>
    </row>
    <row r="3911" spans="2:18" x14ac:dyDescent="0.15">
      <c r="G3911" s="4"/>
    </row>
    <row r="3912" spans="2:18" x14ac:dyDescent="0.15">
      <c r="B3912" s="1" t="s">
        <v>127</v>
      </c>
      <c r="C3912" s="2" t="s">
        <v>4</v>
      </c>
      <c r="D3912" s="2" t="s">
        <v>122</v>
      </c>
      <c r="E3912" s="3">
        <v>2</v>
      </c>
      <c r="F3912" s="3">
        <v>1</v>
      </c>
      <c r="G3912" s="4">
        <v>44658</v>
      </c>
    </row>
    <row r="3913" spans="2:18" x14ac:dyDescent="0.15">
      <c r="B3913" s="99" t="s">
        <v>5962</v>
      </c>
      <c r="C3913" s="100" t="s">
        <v>4</v>
      </c>
      <c r="D3913" s="100" t="s">
        <v>2074</v>
      </c>
      <c r="E3913" s="3">
        <v>5</v>
      </c>
      <c r="F3913" s="3">
        <v>1</v>
      </c>
      <c r="G3913" s="4">
        <v>43466</v>
      </c>
    </row>
    <row r="3914" spans="2:18" x14ac:dyDescent="0.15">
      <c r="B3914" s="99" t="s">
        <v>6045</v>
      </c>
      <c r="C3914" s="100" t="s">
        <v>5</v>
      </c>
      <c r="D3914" s="100" t="s">
        <v>6042</v>
      </c>
      <c r="E3914" s="3">
        <v>3</v>
      </c>
      <c r="F3914" s="3">
        <v>1</v>
      </c>
      <c r="G3914" s="4">
        <v>44140</v>
      </c>
    </row>
    <row r="3915" spans="2:18" x14ac:dyDescent="0.15">
      <c r="B3915" s="258" t="s">
        <v>7498</v>
      </c>
      <c r="C3915" s="261" t="s">
        <v>5</v>
      </c>
      <c r="D3915" s="261" t="s">
        <v>2015</v>
      </c>
      <c r="E3915" s="3">
        <v>9</v>
      </c>
      <c r="F3915" s="3">
        <f>6/4</f>
        <v>1.5</v>
      </c>
      <c r="G3915" s="4">
        <v>44540</v>
      </c>
    </row>
    <row r="3916" spans="2:18" x14ac:dyDescent="0.15">
      <c r="B3916" s="99" t="s">
        <v>6046</v>
      </c>
      <c r="C3916" s="100" t="s">
        <v>5</v>
      </c>
      <c r="D3916" s="100" t="s">
        <v>6042</v>
      </c>
      <c r="E3916" s="3">
        <v>3</v>
      </c>
      <c r="F3916" s="3">
        <v>1</v>
      </c>
      <c r="G3916" s="4">
        <v>44140</v>
      </c>
    </row>
    <row r="3917" spans="2:18" x14ac:dyDescent="0.15">
      <c r="B3917" s="168" t="s">
        <v>6452</v>
      </c>
      <c r="C3917" s="2" t="s">
        <v>5</v>
      </c>
      <c r="D3917" s="2" t="s">
        <v>2044</v>
      </c>
      <c r="E3917" s="3">
        <v>18</v>
      </c>
      <c r="F3917" s="3">
        <v>1</v>
      </c>
      <c r="G3917" s="4">
        <v>43445</v>
      </c>
    </row>
    <row r="3918" spans="2:18" x14ac:dyDescent="0.15">
      <c r="B3918" s="168" t="s">
        <v>6453</v>
      </c>
      <c r="C3918" s="2" t="s">
        <v>5</v>
      </c>
      <c r="D3918" s="2" t="s">
        <v>2044</v>
      </c>
      <c r="E3918" s="3">
        <v>18</v>
      </c>
      <c r="F3918" s="3">
        <v>1</v>
      </c>
      <c r="G3918" s="4">
        <v>43445</v>
      </c>
    </row>
    <row r="3919" spans="2:18" x14ac:dyDescent="0.15">
      <c r="B3919" s="168" t="s">
        <v>6610</v>
      </c>
      <c r="C3919" s="169" t="s">
        <v>5</v>
      </c>
      <c r="D3919" s="169" t="s">
        <v>2040</v>
      </c>
      <c r="E3919" s="3">
        <v>9.1</v>
      </c>
      <c r="F3919" s="3">
        <v>1</v>
      </c>
      <c r="G3919" s="4">
        <v>42087</v>
      </c>
    </row>
    <row r="3920" spans="2:18" x14ac:dyDescent="0.15">
      <c r="B3920" s="168" t="s">
        <v>6611</v>
      </c>
      <c r="C3920" s="169" t="s">
        <v>5</v>
      </c>
      <c r="D3920" s="169" t="s">
        <v>2040</v>
      </c>
      <c r="E3920" s="3">
        <v>9.1</v>
      </c>
      <c r="F3920" s="3">
        <v>1</v>
      </c>
      <c r="G3920" s="4">
        <v>42087</v>
      </c>
    </row>
    <row r="3921" spans="2:18" x14ac:dyDescent="0.15">
      <c r="B3921" s="168" t="s">
        <v>6620</v>
      </c>
      <c r="C3921" s="169" t="s">
        <v>5</v>
      </c>
      <c r="D3921" s="169" t="s">
        <v>2039</v>
      </c>
      <c r="E3921" s="3">
        <v>5</v>
      </c>
      <c r="F3921" s="3">
        <v>1</v>
      </c>
      <c r="G3921" s="4">
        <v>43888</v>
      </c>
    </row>
    <row r="3922" spans="2:18" x14ac:dyDescent="0.15">
      <c r="B3922" s="192" t="s">
        <v>6749</v>
      </c>
      <c r="C3922" s="193" t="s">
        <v>4</v>
      </c>
      <c r="D3922" s="193" t="s">
        <v>6743</v>
      </c>
      <c r="E3922" s="3">
        <v>5</v>
      </c>
      <c r="F3922" s="3">
        <v>1</v>
      </c>
      <c r="G3922" s="4">
        <v>44073</v>
      </c>
    </row>
    <row r="3923" spans="2:18" x14ac:dyDescent="0.15">
      <c r="B3923" s="192" t="s">
        <v>6750</v>
      </c>
      <c r="C3923" s="193" t="s">
        <v>4</v>
      </c>
      <c r="D3923" s="193" t="s">
        <v>6743</v>
      </c>
      <c r="E3923" s="3">
        <v>5</v>
      </c>
      <c r="F3923" s="3">
        <v>1</v>
      </c>
      <c r="G3923" s="4">
        <v>44073</v>
      </c>
    </row>
    <row r="3924" spans="2:18" x14ac:dyDescent="0.15">
      <c r="B3924" s="192" t="s">
        <v>6751</v>
      </c>
      <c r="C3924" s="193" t="s">
        <v>4</v>
      </c>
      <c r="D3924" s="193" t="s">
        <v>6743</v>
      </c>
      <c r="E3924" s="3">
        <v>5</v>
      </c>
      <c r="F3924" s="3">
        <v>1</v>
      </c>
      <c r="G3924" s="4">
        <v>44073</v>
      </c>
    </row>
    <row r="3925" spans="2:18" x14ac:dyDescent="0.15">
      <c r="B3925" s="192" t="s">
        <v>6774</v>
      </c>
      <c r="C3925" s="193" t="s">
        <v>4</v>
      </c>
      <c r="D3925" s="193" t="s">
        <v>2032</v>
      </c>
      <c r="E3925" s="3">
        <v>5</v>
      </c>
      <c r="F3925" s="3">
        <v>1</v>
      </c>
      <c r="G3925" s="4">
        <v>44105</v>
      </c>
    </row>
    <row r="3926" spans="2:18" x14ac:dyDescent="0.15">
      <c r="B3926" s="1" t="s">
        <v>572</v>
      </c>
      <c r="C3926" s="2" t="s">
        <v>4</v>
      </c>
      <c r="D3926" s="2" t="s">
        <v>566</v>
      </c>
      <c r="E3926" s="3">
        <v>9</v>
      </c>
      <c r="F3926" s="3">
        <f t="shared" ref="F3926:F3931" si="10">5/6</f>
        <v>0.83333333333333337</v>
      </c>
      <c r="G3926" s="4">
        <v>44859</v>
      </c>
      <c r="M3926" s="1"/>
      <c r="N3926" s="1"/>
      <c r="O3926" s="1"/>
      <c r="P3926" s="1"/>
      <c r="Q3926" s="1"/>
      <c r="R3926" s="1"/>
    </row>
    <row r="3927" spans="2:18" x14ac:dyDescent="0.15">
      <c r="B3927" s="1" t="s">
        <v>571</v>
      </c>
      <c r="C3927" s="2" t="s">
        <v>4</v>
      </c>
      <c r="D3927" s="2" t="s">
        <v>566</v>
      </c>
      <c r="E3927" s="3">
        <v>9</v>
      </c>
      <c r="F3927" s="3">
        <f t="shared" si="10"/>
        <v>0.83333333333333337</v>
      </c>
      <c r="G3927" s="4">
        <v>44859</v>
      </c>
      <c r="M3927" s="1"/>
      <c r="N3927" s="1"/>
      <c r="O3927" s="1"/>
      <c r="P3927" s="1"/>
      <c r="Q3927" s="1"/>
      <c r="R3927" s="1"/>
    </row>
    <row r="3928" spans="2:18" x14ac:dyDescent="0.15">
      <c r="B3928" s="1" t="s">
        <v>570</v>
      </c>
      <c r="C3928" s="2" t="s">
        <v>4</v>
      </c>
      <c r="D3928" s="2" t="s">
        <v>566</v>
      </c>
      <c r="E3928" s="3">
        <v>9</v>
      </c>
      <c r="F3928" s="3">
        <f t="shared" si="10"/>
        <v>0.83333333333333337</v>
      </c>
      <c r="G3928" s="4">
        <v>44859</v>
      </c>
      <c r="M3928" s="1"/>
      <c r="N3928" s="1"/>
      <c r="O3928" s="1"/>
      <c r="P3928" s="1"/>
      <c r="Q3928" s="1"/>
      <c r="R3928" s="1"/>
    </row>
    <row r="3929" spans="2:18" x14ac:dyDescent="0.15">
      <c r="B3929" s="1" t="s">
        <v>569</v>
      </c>
      <c r="C3929" s="2" t="s">
        <v>4</v>
      </c>
      <c r="D3929" s="2" t="s">
        <v>566</v>
      </c>
      <c r="E3929" s="3">
        <v>9</v>
      </c>
      <c r="F3929" s="3">
        <f t="shared" si="10"/>
        <v>0.83333333333333337</v>
      </c>
      <c r="G3929" s="4">
        <v>44859</v>
      </c>
      <c r="M3929" s="1"/>
      <c r="N3929" s="1"/>
      <c r="O3929" s="1"/>
      <c r="P3929" s="1"/>
      <c r="Q3929" s="1"/>
      <c r="R3929" s="1"/>
    </row>
    <row r="3930" spans="2:18" x14ac:dyDescent="0.15">
      <c r="B3930" s="1" t="s">
        <v>568</v>
      </c>
      <c r="C3930" s="2" t="s">
        <v>4</v>
      </c>
      <c r="D3930" s="2" t="s">
        <v>566</v>
      </c>
      <c r="E3930" s="3">
        <v>9</v>
      </c>
      <c r="F3930" s="3">
        <f t="shared" si="10"/>
        <v>0.83333333333333337</v>
      </c>
      <c r="G3930" s="4">
        <v>44859</v>
      </c>
      <c r="M3930" s="1"/>
      <c r="N3930" s="1"/>
      <c r="O3930" s="1"/>
      <c r="P3930" s="1"/>
      <c r="Q3930" s="1"/>
      <c r="R3930" s="1"/>
    </row>
    <row r="3931" spans="2:18" x14ac:dyDescent="0.15">
      <c r="B3931" s="1" t="s">
        <v>567</v>
      </c>
      <c r="C3931" s="2" t="s">
        <v>4</v>
      </c>
      <c r="D3931" s="2" t="s">
        <v>566</v>
      </c>
      <c r="E3931" s="3">
        <v>9</v>
      </c>
      <c r="F3931" s="3">
        <f t="shared" si="10"/>
        <v>0.83333333333333337</v>
      </c>
      <c r="G3931" s="4">
        <v>44859</v>
      </c>
      <c r="M3931" s="1"/>
      <c r="N3931" s="1"/>
      <c r="O3931" s="1"/>
      <c r="P3931" s="1"/>
      <c r="Q3931" s="1"/>
      <c r="R3931" s="1"/>
    </row>
    <row r="3932" spans="2:18" x14ac:dyDescent="0.15">
      <c r="B3932" s="1" t="s">
        <v>771</v>
      </c>
      <c r="C3932" s="2" t="s">
        <v>4</v>
      </c>
      <c r="D3932" s="2" t="s">
        <v>723</v>
      </c>
      <c r="E3932" s="3">
        <v>3</v>
      </c>
      <c r="F3932" s="3">
        <v>0.75</v>
      </c>
      <c r="G3932" s="4">
        <v>44011</v>
      </c>
      <c r="M3932" s="1"/>
      <c r="N3932" s="1"/>
      <c r="O3932" s="1"/>
      <c r="P3932" s="1"/>
      <c r="Q3932" s="1"/>
      <c r="R3932" s="1"/>
    </row>
    <row r="3933" spans="2:18" x14ac:dyDescent="0.15">
      <c r="B3933" s="1" t="s">
        <v>770</v>
      </c>
      <c r="C3933" s="2" t="s">
        <v>4</v>
      </c>
      <c r="D3933" s="2" t="s">
        <v>723</v>
      </c>
      <c r="E3933" s="3">
        <v>3</v>
      </c>
      <c r="F3933" s="3">
        <v>0.75</v>
      </c>
      <c r="G3933" s="4">
        <v>44011</v>
      </c>
      <c r="M3933" s="1"/>
      <c r="N3933" s="1"/>
      <c r="O3933" s="1"/>
      <c r="P3933" s="1"/>
      <c r="Q3933" s="1"/>
      <c r="R3933" s="1"/>
    </row>
    <row r="3934" spans="2:18" x14ac:dyDescent="0.15">
      <c r="B3934" s="1" t="s">
        <v>340</v>
      </c>
      <c r="C3934" s="2" t="s">
        <v>4</v>
      </c>
      <c r="D3934" s="2" t="s">
        <v>336</v>
      </c>
      <c r="E3934" s="3">
        <v>3</v>
      </c>
      <c r="F3934" s="3">
        <v>0.75</v>
      </c>
      <c r="G3934" s="4">
        <v>44327</v>
      </c>
      <c r="M3934" s="1"/>
      <c r="N3934" s="1"/>
      <c r="O3934" s="1"/>
      <c r="P3934" s="1"/>
      <c r="Q3934" s="1"/>
      <c r="R3934" s="1"/>
    </row>
    <row r="3935" spans="2:18" x14ac:dyDescent="0.15">
      <c r="B3935" s="1" t="s">
        <v>339</v>
      </c>
      <c r="C3935" s="2" t="s">
        <v>4</v>
      </c>
      <c r="D3935" s="2" t="s">
        <v>336</v>
      </c>
      <c r="E3935" s="3">
        <v>3</v>
      </c>
      <c r="F3935" s="3">
        <v>0.75</v>
      </c>
      <c r="G3935" s="4">
        <v>44327</v>
      </c>
      <c r="M3935" s="1"/>
      <c r="N3935" s="1"/>
      <c r="O3935" s="1"/>
      <c r="P3935" s="1"/>
      <c r="Q3935" s="1"/>
      <c r="R3935" s="1"/>
    </row>
    <row r="3936" spans="2:18" x14ac:dyDescent="0.15">
      <c r="B3936" s="1" t="s">
        <v>426</v>
      </c>
      <c r="C3936" s="2" t="s">
        <v>4</v>
      </c>
      <c r="D3936" s="2" t="s">
        <v>425</v>
      </c>
      <c r="E3936" s="3">
        <v>7</v>
      </c>
      <c r="F3936" s="3">
        <v>0.7142857142857143</v>
      </c>
      <c r="G3936" s="4">
        <v>43046</v>
      </c>
      <c r="M3936" s="1"/>
      <c r="N3936" s="1"/>
      <c r="O3936" s="1"/>
      <c r="P3936" s="1"/>
      <c r="Q3936" s="1"/>
      <c r="R3936" s="1"/>
    </row>
    <row r="3937" spans="2:18" x14ac:dyDescent="0.15">
      <c r="B3937" s="1" t="s">
        <v>769</v>
      </c>
      <c r="C3937" s="2" t="s">
        <v>4</v>
      </c>
      <c r="D3937" s="2" t="s">
        <v>766</v>
      </c>
      <c r="E3937" s="3">
        <v>4</v>
      </c>
      <c r="F3937" s="3">
        <f>2/3</f>
        <v>0.66666666666666663</v>
      </c>
      <c r="G3937" s="4">
        <v>45026</v>
      </c>
      <c r="M3937" s="1"/>
      <c r="N3937" s="1"/>
      <c r="O3937" s="1"/>
      <c r="P3937" s="1"/>
      <c r="Q3937" s="1"/>
      <c r="R3937" s="1"/>
    </row>
    <row r="3938" spans="2:18" x14ac:dyDescent="0.15">
      <c r="B3938" s="1" t="s">
        <v>768</v>
      </c>
      <c r="C3938" s="2" t="s">
        <v>4</v>
      </c>
      <c r="D3938" s="2" t="s">
        <v>766</v>
      </c>
      <c r="E3938" s="3">
        <v>4</v>
      </c>
      <c r="F3938" s="3">
        <f>2/3</f>
        <v>0.66666666666666663</v>
      </c>
      <c r="G3938" s="4">
        <v>45026</v>
      </c>
      <c r="M3938" s="1"/>
      <c r="N3938" s="1"/>
      <c r="O3938" s="1"/>
      <c r="P3938" s="1"/>
      <c r="Q3938" s="1"/>
      <c r="R3938" s="1"/>
    </row>
    <row r="3939" spans="2:18" x14ac:dyDescent="0.15">
      <c r="B3939" s="1" t="s">
        <v>767</v>
      </c>
      <c r="C3939" s="2" t="s">
        <v>4</v>
      </c>
      <c r="D3939" s="2" t="s">
        <v>766</v>
      </c>
      <c r="E3939" s="3">
        <v>4</v>
      </c>
      <c r="F3939" s="3">
        <f>2/3</f>
        <v>0.66666666666666663</v>
      </c>
      <c r="G3939" s="4">
        <v>45026</v>
      </c>
      <c r="M3939" s="1"/>
      <c r="N3939" s="1"/>
      <c r="O3939" s="1"/>
      <c r="P3939" s="1"/>
      <c r="Q3939" s="1"/>
      <c r="R3939" s="1"/>
    </row>
    <row r="3940" spans="2:18" x14ac:dyDescent="0.15">
      <c r="B3940" s="1" t="s">
        <v>116</v>
      </c>
      <c r="C3940" s="2" t="s">
        <v>4</v>
      </c>
      <c r="D3940" s="2" t="s">
        <v>110</v>
      </c>
      <c r="E3940" s="3">
        <v>8</v>
      </c>
      <c r="F3940" s="3">
        <f t="shared" ref="F3940:F3945" si="11">5/8</f>
        <v>0.625</v>
      </c>
      <c r="G3940" s="4">
        <v>44063</v>
      </c>
    </row>
    <row r="3941" spans="2:18" x14ac:dyDescent="0.15">
      <c r="B3941" s="1" t="s">
        <v>115</v>
      </c>
      <c r="C3941" s="2" t="s">
        <v>4</v>
      </c>
      <c r="D3941" s="2" t="s">
        <v>110</v>
      </c>
      <c r="E3941" s="3">
        <v>8</v>
      </c>
      <c r="F3941" s="3">
        <f t="shared" si="11"/>
        <v>0.625</v>
      </c>
      <c r="G3941" s="4">
        <v>44063</v>
      </c>
    </row>
    <row r="3942" spans="2:18" x14ac:dyDescent="0.15">
      <c r="B3942" s="1" t="s">
        <v>114</v>
      </c>
      <c r="C3942" s="2" t="s">
        <v>4</v>
      </c>
      <c r="D3942" s="2" t="s">
        <v>110</v>
      </c>
      <c r="E3942" s="3">
        <v>8</v>
      </c>
      <c r="F3942" s="3">
        <f t="shared" si="11"/>
        <v>0.625</v>
      </c>
      <c r="G3942" s="4">
        <v>44063</v>
      </c>
    </row>
    <row r="3943" spans="2:18" x14ac:dyDescent="0.15">
      <c r="B3943" s="1" t="s">
        <v>113</v>
      </c>
      <c r="C3943" s="2" t="s">
        <v>4</v>
      </c>
      <c r="D3943" s="2" t="s">
        <v>110</v>
      </c>
      <c r="E3943" s="3">
        <v>8</v>
      </c>
      <c r="F3943" s="3">
        <f t="shared" si="11"/>
        <v>0.625</v>
      </c>
      <c r="G3943" s="4">
        <v>44063</v>
      </c>
    </row>
    <row r="3944" spans="2:18" x14ac:dyDescent="0.15">
      <c r="B3944" s="1" t="s">
        <v>112</v>
      </c>
      <c r="C3944" s="2" t="s">
        <v>4</v>
      </c>
      <c r="D3944" s="2" t="s">
        <v>110</v>
      </c>
      <c r="E3944" s="3">
        <v>8</v>
      </c>
      <c r="F3944" s="3">
        <f t="shared" si="11"/>
        <v>0.625</v>
      </c>
      <c r="G3944" s="4">
        <v>44063</v>
      </c>
    </row>
    <row r="3945" spans="2:18" x14ac:dyDescent="0.15">
      <c r="B3945" s="1" t="s">
        <v>111</v>
      </c>
      <c r="C3945" s="2" t="s">
        <v>4</v>
      </c>
      <c r="D3945" s="2" t="s">
        <v>110</v>
      </c>
      <c r="E3945" s="3">
        <v>8</v>
      </c>
      <c r="F3945" s="3">
        <f t="shared" si="11"/>
        <v>0.625</v>
      </c>
      <c r="G3945" s="4">
        <v>44063</v>
      </c>
    </row>
    <row r="3946" spans="2:18" x14ac:dyDescent="0.15">
      <c r="B3946" s="1" t="s">
        <v>439</v>
      </c>
      <c r="C3946" s="2" t="s">
        <v>7</v>
      </c>
      <c r="D3946" s="2" t="s">
        <v>436</v>
      </c>
      <c r="E3946" s="3">
        <v>1.8</v>
      </c>
      <c r="F3946" s="3">
        <v>0.6</v>
      </c>
      <c r="G3946" s="4">
        <v>43661</v>
      </c>
      <c r="M3946" s="1"/>
      <c r="N3946" s="1"/>
      <c r="O3946" s="1"/>
      <c r="P3946" s="1"/>
      <c r="Q3946" s="1"/>
      <c r="R3946" s="1"/>
    </row>
    <row r="3947" spans="2:18" x14ac:dyDescent="0.15">
      <c r="B3947" s="1" t="s">
        <v>438</v>
      </c>
      <c r="C3947" s="2" t="s">
        <v>7</v>
      </c>
      <c r="D3947" s="2" t="s">
        <v>436</v>
      </c>
      <c r="E3947" s="3">
        <v>1.8</v>
      </c>
      <c r="F3947" s="3">
        <v>0.6</v>
      </c>
      <c r="G3947" s="4">
        <v>43661</v>
      </c>
      <c r="M3947" s="1"/>
      <c r="N3947" s="1"/>
      <c r="O3947" s="1"/>
      <c r="P3947" s="1"/>
      <c r="Q3947" s="1"/>
      <c r="R3947" s="1"/>
    </row>
    <row r="3948" spans="2:18" x14ac:dyDescent="0.15">
      <c r="B3948" s="1" t="s">
        <v>763</v>
      </c>
      <c r="C3948" s="2" t="s">
        <v>4</v>
      </c>
      <c r="D3948" s="2" t="s">
        <v>664</v>
      </c>
      <c r="E3948" s="3">
        <v>4.5</v>
      </c>
      <c r="F3948" s="3">
        <v>0.5</v>
      </c>
      <c r="G3948" s="4">
        <v>44415</v>
      </c>
      <c r="M3948" s="1"/>
      <c r="N3948" s="1"/>
      <c r="O3948" s="1"/>
      <c r="P3948" s="1"/>
      <c r="Q3948" s="1"/>
      <c r="R3948" s="1"/>
    </row>
    <row r="3949" spans="2:18" x14ac:dyDescent="0.15">
      <c r="B3949" s="1" t="s">
        <v>762</v>
      </c>
      <c r="C3949" s="2" t="s">
        <v>4</v>
      </c>
      <c r="D3949" s="2" t="s">
        <v>721</v>
      </c>
      <c r="E3949" s="3">
        <v>2.1</v>
      </c>
      <c r="F3949" s="3">
        <v>0.5</v>
      </c>
      <c r="G3949" s="4">
        <v>44455</v>
      </c>
      <c r="M3949" s="1"/>
      <c r="N3949" s="1"/>
      <c r="O3949" s="1"/>
      <c r="P3949" s="1"/>
      <c r="Q3949" s="1"/>
      <c r="R3949" s="1"/>
    </row>
    <row r="3950" spans="2:18" x14ac:dyDescent="0.15">
      <c r="B3950" s="1" t="s">
        <v>761</v>
      </c>
      <c r="C3950" s="2" t="s">
        <v>4</v>
      </c>
      <c r="D3950" s="2" t="s">
        <v>731</v>
      </c>
      <c r="E3950" s="3">
        <v>4</v>
      </c>
      <c r="F3950" s="3">
        <v>0.5</v>
      </c>
      <c r="G3950" s="4">
        <v>44340</v>
      </c>
      <c r="M3950" s="1"/>
      <c r="N3950" s="1"/>
      <c r="O3950" s="1"/>
      <c r="P3950" s="1"/>
      <c r="Q3950" s="1"/>
      <c r="R3950" s="1"/>
    </row>
    <row r="3951" spans="2:18" x14ac:dyDescent="0.15">
      <c r="B3951" s="1" t="s">
        <v>759</v>
      </c>
      <c r="C3951" s="2" t="s">
        <v>4</v>
      </c>
      <c r="D3951" s="2" t="s">
        <v>677</v>
      </c>
      <c r="E3951" s="3">
        <v>4.5</v>
      </c>
      <c r="F3951" s="3">
        <v>0.5</v>
      </c>
      <c r="G3951" s="4">
        <v>44362</v>
      </c>
      <c r="M3951" s="1"/>
      <c r="N3951" s="1"/>
      <c r="O3951" s="1"/>
      <c r="P3951" s="1"/>
      <c r="Q3951" s="1"/>
      <c r="R3951" s="1"/>
    </row>
    <row r="3952" spans="2:18" x14ac:dyDescent="0.15">
      <c r="B3952" s="1" t="s">
        <v>758</v>
      </c>
      <c r="C3952" s="2" t="s">
        <v>4</v>
      </c>
      <c r="D3952" s="2" t="s">
        <v>673</v>
      </c>
      <c r="E3952" s="3">
        <v>3</v>
      </c>
      <c r="F3952" s="3">
        <v>0.5</v>
      </c>
      <c r="G3952" s="4">
        <v>43993</v>
      </c>
      <c r="M3952" s="1"/>
      <c r="N3952" s="1"/>
      <c r="O3952" s="1"/>
      <c r="P3952" s="1"/>
      <c r="Q3952" s="1"/>
      <c r="R3952" s="1"/>
    </row>
    <row r="3953" spans="2:18" x14ac:dyDescent="0.15">
      <c r="B3953" s="1" t="s">
        <v>757</v>
      </c>
      <c r="C3953" s="2" t="s">
        <v>4</v>
      </c>
      <c r="D3953" s="2" t="s">
        <v>673</v>
      </c>
      <c r="E3953" s="3">
        <v>3</v>
      </c>
      <c r="F3953" s="3">
        <v>0.5</v>
      </c>
      <c r="G3953" s="4">
        <v>43993</v>
      </c>
      <c r="M3953" s="1"/>
      <c r="N3953" s="1"/>
      <c r="O3953" s="1"/>
      <c r="P3953" s="1"/>
      <c r="Q3953" s="1"/>
      <c r="R3953" s="1"/>
    </row>
    <row r="3954" spans="2:18" x14ac:dyDescent="0.15">
      <c r="B3954" s="1" t="s">
        <v>755</v>
      </c>
      <c r="C3954" s="2" t="s">
        <v>4</v>
      </c>
      <c r="D3954" s="2" t="s">
        <v>641</v>
      </c>
      <c r="E3954" s="3">
        <v>2.2000000000000002</v>
      </c>
      <c r="F3954" s="3">
        <v>0.5</v>
      </c>
      <c r="G3954" s="4">
        <v>44959</v>
      </c>
      <c r="M3954" s="1"/>
      <c r="N3954" s="1"/>
      <c r="O3954" s="1"/>
      <c r="P3954" s="1"/>
      <c r="Q3954" s="1"/>
      <c r="R3954" s="1"/>
    </row>
    <row r="3955" spans="2:18" x14ac:dyDescent="0.15">
      <c r="B3955" s="1" t="s">
        <v>754</v>
      </c>
      <c r="C3955" s="2" t="s">
        <v>4</v>
      </c>
      <c r="D3955" s="2" t="s">
        <v>641</v>
      </c>
      <c r="E3955" s="3">
        <v>2.2000000000000002</v>
      </c>
      <c r="F3955" s="3">
        <v>0.5</v>
      </c>
      <c r="G3955" s="4">
        <v>44959</v>
      </c>
      <c r="M3955" s="1"/>
      <c r="N3955" s="1"/>
      <c r="O3955" s="1"/>
      <c r="P3955" s="1"/>
      <c r="Q3955" s="1"/>
      <c r="R3955" s="1"/>
    </row>
    <row r="3956" spans="2:18" x14ac:dyDescent="0.15">
      <c r="B3956" s="1" t="s">
        <v>753</v>
      </c>
      <c r="C3956" s="2" t="s">
        <v>4</v>
      </c>
      <c r="D3956" s="2" t="s">
        <v>720</v>
      </c>
      <c r="E3956" s="3">
        <v>2.9</v>
      </c>
      <c r="F3956" s="3">
        <v>0.5</v>
      </c>
      <c r="G3956" s="4">
        <v>44272</v>
      </c>
      <c r="M3956" s="1"/>
      <c r="N3956" s="1"/>
      <c r="O3956" s="1"/>
      <c r="P3956" s="1"/>
      <c r="Q3956" s="1"/>
      <c r="R3956" s="1"/>
    </row>
    <row r="3957" spans="2:18" x14ac:dyDescent="0.15">
      <c r="B3957" s="1" t="s">
        <v>752</v>
      </c>
      <c r="C3957" s="2" t="s">
        <v>4</v>
      </c>
      <c r="D3957" s="2" t="s">
        <v>639</v>
      </c>
      <c r="E3957" s="3">
        <v>1.5</v>
      </c>
      <c r="F3957" s="3">
        <v>0.5</v>
      </c>
      <c r="G3957" s="4">
        <v>44098</v>
      </c>
      <c r="M3957" s="1"/>
      <c r="N3957" s="1"/>
      <c r="O3957" s="1"/>
      <c r="P3957" s="1"/>
      <c r="Q3957" s="1"/>
      <c r="R3957" s="1"/>
    </row>
    <row r="3958" spans="2:18" x14ac:dyDescent="0.15">
      <c r="B3958" s="1" t="s">
        <v>751</v>
      </c>
      <c r="C3958" s="2" t="s">
        <v>4</v>
      </c>
      <c r="D3958" s="2" t="s">
        <v>404</v>
      </c>
      <c r="E3958" s="3">
        <v>3.1</v>
      </c>
      <c r="F3958" s="3">
        <v>0.5</v>
      </c>
      <c r="G3958" s="4">
        <v>43580</v>
      </c>
      <c r="M3958" s="1"/>
      <c r="N3958" s="1"/>
      <c r="O3958" s="1"/>
      <c r="P3958" s="1"/>
      <c r="Q3958" s="1"/>
      <c r="R3958" s="1"/>
    </row>
    <row r="3959" spans="2:18" x14ac:dyDescent="0.15">
      <c r="G3959" s="4"/>
      <c r="M3959" s="1"/>
      <c r="N3959" s="1"/>
      <c r="O3959" s="1"/>
      <c r="P3959" s="1"/>
      <c r="Q3959" s="1"/>
      <c r="R3959" s="1"/>
    </row>
    <row r="3960" spans="2:18" x14ac:dyDescent="0.15">
      <c r="B3960" s="1" t="s">
        <v>598</v>
      </c>
      <c r="C3960" s="2" t="s">
        <v>278</v>
      </c>
      <c r="D3960" s="2" t="s">
        <v>597</v>
      </c>
      <c r="E3960" s="3">
        <v>1</v>
      </c>
      <c r="F3960" s="3">
        <v>0.5</v>
      </c>
      <c r="G3960" s="4">
        <v>44415</v>
      </c>
      <c r="M3960" s="1"/>
      <c r="N3960" s="1"/>
      <c r="O3960" s="1"/>
      <c r="P3960" s="1"/>
      <c r="Q3960" s="1"/>
      <c r="R3960" s="1"/>
    </row>
    <row r="3961" spans="2:18" x14ac:dyDescent="0.15">
      <c r="C3961" s="247" t="s">
        <v>4</v>
      </c>
      <c r="D3961" s="2" t="s">
        <v>2022</v>
      </c>
      <c r="E3961" s="3">
        <v>4</v>
      </c>
      <c r="F3961" s="3">
        <v>1</v>
      </c>
      <c r="G3961" s="4">
        <v>44097</v>
      </c>
      <c r="M3961" s="1"/>
      <c r="N3961" s="1"/>
      <c r="O3961" s="1"/>
      <c r="P3961" s="1"/>
      <c r="Q3961" s="1"/>
      <c r="R3961" s="1"/>
    </row>
    <row r="3962" spans="2:18" x14ac:dyDescent="0.15">
      <c r="C3962" s="247"/>
      <c r="G3962" s="4"/>
      <c r="M3962" s="1"/>
      <c r="N3962" s="1"/>
      <c r="O3962" s="1"/>
      <c r="P3962" s="1"/>
      <c r="Q3962" s="1"/>
      <c r="R3962" s="1"/>
    </row>
    <row r="3963" spans="2:18" x14ac:dyDescent="0.15">
      <c r="B3963" s="1" t="s">
        <v>529</v>
      </c>
      <c r="C3963" s="2" t="s">
        <v>5</v>
      </c>
      <c r="D3963" s="2" t="s">
        <v>521</v>
      </c>
      <c r="E3963" s="3">
        <v>7</v>
      </c>
      <c r="F3963" s="3">
        <v>0.5</v>
      </c>
      <c r="G3963" s="4">
        <v>42885</v>
      </c>
      <c r="M3963" s="1"/>
      <c r="N3963" s="1"/>
      <c r="O3963" s="1"/>
      <c r="P3963" s="1"/>
      <c r="Q3963" s="1"/>
      <c r="R3963" s="1"/>
    </row>
    <row r="3964" spans="2:18" x14ac:dyDescent="0.15">
      <c r="B3964" s="1" t="s">
        <v>528</v>
      </c>
      <c r="C3964" s="2" t="s">
        <v>4</v>
      </c>
      <c r="D3964" s="2" t="s">
        <v>521</v>
      </c>
      <c r="E3964" s="3">
        <v>3</v>
      </c>
      <c r="F3964" s="3">
        <v>0.5</v>
      </c>
      <c r="G3964" s="4">
        <v>42606</v>
      </c>
      <c r="M3964" s="1"/>
      <c r="N3964" s="1"/>
      <c r="O3964" s="1"/>
      <c r="P3964" s="1"/>
      <c r="Q3964" s="1"/>
      <c r="R3964" s="1"/>
    </row>
    <row r="3965" spans="2:18" x14ac:dyDescent="0.15">
      <c r="B3965" s="1" t="s">
        <v>525</v>
      </c>
      <c r="C3965" s="2" t="s">
        <v>4</v>
      </c>
      <c r="D3965" s="2" t="s">
        <v>521</v>
      </c>
      <c r="E3965" s="3">
        <v>3</v>
      </c>
      <c r="F3965" s="3">
        <v>0.5</v>
      </c>
      <c r="G3965" s="4">
        <v>42606</v>
      </c>
      <c r="M3965" s="1"/>
      <c r="N3965" s="1"/>
      <c r="O3965" s="1"/>
      <c r="P3965" s="1"/>
      <c r="Q3965" s="1"/>
      <c r="R3965" s="1"/>
    </row>
    <row r="3966" spans="2:18" x14ac:dyDescent="0.15">
      <c r="B3966" s="1" t="s">
        <v>524</v>
      </c>
      <c r="C3966" s="2" t="s">
        <v>4</v>
      </c>
      <c r="D3966" s="2" t="s">
        <v>521</v>
      </c>
      <c r="E3966" s="3">
        <v>3</v>
      </c>
      <c r="F3966" s="3">
        <v>0.5</v>
      </c>
      <c r="G3966" s="4">
        <v>42606</v>
      </c>
      <c r="M3966" s="1"/>
      <c r="N3966" s="1"/>
      <c r="O3966" s="1"/>
      <c r="P3966" s="1"/>
      <c r="Q3966" s="1"/>
      <c r="R3966" s="1"/>
    </row>
    <row r="3967" spans="2:18" x14ac:dyDescent="0.15">
      <c r="B3967" s="1" t="s">
        <v>523</v>
      </c>
      <c r="C3967" s="2" t="s">
        <v>4</v>
      </c>
      <c r="D3967" s="2" t="s">
        <v>521</v>
      </c>
      <c r="E3967" s="3">
        <v>3</v>
      </c>
      <c r="F3967" s="3">
        <v>0.5</v>
      </c>
      <c r="G3967" s="4">
        <v>42606</v>
      </c>
      <c r="M3967" s="1"/>
      <c r="N3967" s="1"/>
      <c r="O3967" s="1"/>
      <c r="P3967" s="1"/>
      <c r="Q3967" s="1"/>
      <c r="R3967" s="1"/>
    </row>
    <row r="3968" spans="2:18" x14ac:dyDescent="0.15">
      <c r="B3968" s="1" t="s">
        <v>522</v>
      </c>
      <c r="C3968" s="2" t="s">
        <v>4</v>
      </c>
      <c r="D3968" s="2" t="s">
        <v>521</v>
      </c>
      <c r="E3968" s="3">
        <v>3</v>
      </c>
      <c r="F3968" s="3">
        <v>0.5</v>
      </c>
      <c r="G3968" s="4">
        <v>42606</v>
      </c>
      <c r="M3968" s="1"/>
      <c r="N3968" s="1"/>
      <c r="O3968" s="1"/>
      <c r="P3968" s="1"/>
      <c r="Q3968" s="1"/>
      <c r="R3968" s="1"/>
    </row>
    <row r="3969" spans="2:18" x14ac:dyDescent="0.15">
      <c r="B3969" s="1" t="s">
        <v>483</v>
      </c>
      <c r="C3969" s="2" t="s">
        <v>4</v>
      </c>
      <c r="D3969" s="2" t="s">
        <v>482</v>
      </c>
      <c r="E3969" s="3">
        <v>2</v>
      </c>
      <c r="F3969" s="3">
        <v>0.5</v>
      </c>
      <c r="G3969" s="4">
        <v>43876</v>
      </c>
      <c r="M3969" s="1"/>
      <c r="N3969" s="1"/>
      <c r="O3969" s="1"/>
      <c r="P3969" s="1"/>
      <c r="Q3969" s="1"/>
      <c r="R3969" s="1"/>
    </row>
    <row r="3970" spans="2:18" x14ac:dyDescent="0.15">
      <c r="B3970" s="1" t="s">
        <v>444</v>
      </c>
      <c r="C3970" s="2" t="s">
        <v>4</v>
      </c>
      <c r="D3970" s="2" t="s">
        <v>440</v>
      </c>
      <c r="E3970" s="3">
        <v>7</v>
      </c>
      <c r="F3970" s="3">
        <v>0.5</v>
      </c>
      <c r="G3970" s="4">
        <v>44602</v>
      </c>
      <c r="M3970" s="1"/>
      <c r="N3970" s="1"/>
      <c r="O3970" s="1"/>
      <c r="P3970" s="1"/>
      <c r="Q3970" s="1"/>
      <c r="R3970" s="1"/>
    </row>
    <row r="3971" spans="2:18" x14ac:dyDescent="0.15">
      <c r="B3971" s="1" t="s">
        <v>442</v>
      </c>
      <c r="C3971" s="2" t="s">
        <v>4</v>
      </c>
      <c r="D3971" s="2" t="s">
        <v>440</v>
      </c>
      <c r="E3971" s="3">
        <v>7</v>
      </c>
      <c r="F3971" s="3">
        <v>0.5</v>
      </c>
      <c r="G3971" s="4">
        <v>44602</v>
      </c>
      <c r="M3971" s="1"/>
      <c r="N3971" s="1"/>
      <c r="O3971" s="1"/>
      <c r="P3971" s="1"/>
      <c r="Q3971" s="1"/>
      <c r="R3971" s="1"/>
    </row>
    <row r="3972" spans="2:18" x14ac:dyDescent="0.15">
      <c r="B3972" s="1" t="s">
        <v>375</v>
      </c>
      <c r="C3972" s="2" t="s">
        <v>4</v>
      </c>
      <c r="D3972" s="2" t="s">
        <v>374</v>
      </c>
      <c r="E3972" s="3">
        <v>2.5</v>
      </c>
      <c r="F3972" s="3">
        <v>0.5</v>
      </c>
      <c r="G3972" s="4">
        <v>42936</v>
      </c>
      <c r="M3972" s="1"/>
      <c r="N3972" s="1"/>
      <c r="O3972" s="1"/>
      <c r="P3972" s="1"/>
      <c r="Q3972" s="1"/>
      <c r="R3972" s="1"/>
    </row>
    <row r="3973" spans="2:18" x14ac:dyDescent="0.15">
      <c r="B3973" s="1" t="s">
        <v>345</v>
      </c>
      <c r="C3973" s="2" t="s">
        <v>4</v>
      </c>
      <c r="D3973" s="2" t="s">
        <v>341</v>
      </c>
      <c r="E3973" s="3">
        <v>3.5</v>
      </c>
      <c r="F3973" s="3">
        <v>0.5</v>
      </c>
      <c r="G3973" s="4">
        <v>44636</v>
      </c>
      <c r="M3973" s="1"/>
      <c r="N3973" s="1"/>
      <c r="O3973" s="1"/>
      <c r="P3973" s="1"/>
      <c r="Q3973" s="1"/>
      <c r="R3973" s="1"/>
    </row>
    <row r="3974" spans="2:18" x14ac:dyDescent="0.15">
      <c r="B3974" s="1" t="s">
        <v>344</v>
      </c>
      <c r="C3974" s="2" t="s">
        <v>4</v>
      </c>
      <c r="D3974" s="2" t="s">
        <v>341</v>
      </c>
      <c r="E3974" s="3">
        <v>3.5</v>
      </c>
      <c r="F3974" s="3">
        <v>0.5</v>
      </c>
      <c r="G3974" s="4">
        <v>44636</v>
      </c>
      <c r="M3974" s="1"/>
      <c r="N3974" s="1"/>
      <c r="O3974" s="1"/>
      <c r="P3974" s="1"/>
      <c r="Q3974" s="1"/>
      <c r="R3974" s="1"/>
    </row>
    <row r="3975" spans="2:18" x14ac:dyDescent="0.15">
      <c r="B3975" s="1" t="s">
        <v>126</v>
      </c>
      <c r="C3975" s="2" t="s">
        <v>4</v>
      </c>
      <c r="D3975" s="2" t="s">
        <v>122</v>
      </c>
      <c r="E3975" s="3">
        <v>2</v>
      </c>
      <c r="F3975" s="3">
        <v>0.5</v>
      </c>
      <c r="G3975" s="4">
        <v>44658</v>
      </c>
    </row>
    <row r="3976" spans="2:18" x14ac:dyDescent="0.15">
      <c r="B3976" s="1" t="s">
        <v>125</v>
      </c>
      <c r="C3976" s="2" t="s">
        <v>4</v>
      </c>
      <c r="D3976" s="2" t="s">
        <v>122</v>
      </c>
      <c r="E3976" s="3">
        <v>2</v>
      </c>
      <c r="F3976" s="3">
        <v>0.5</v>
      </c>
      <c r="G3976" s="4">
        <v>44658</v>
      </c>
    </row>
    <row r="3977" spans="2:18" x14ac:dyDescent="0.15">
      <c r="B3977" s="192" t="s">
        <v>6753</v>
      </c>
      <c r="C3977" s="100" t="s">
        <v>4</v>
      </c>
      <c r="D3977" s="100" t="s">
        <v>2106</v>
      </c>
      <c r="E3977" s="3">
        <v>2.5</v>
      </c>
      <c r="F3977" s="3">
        <v>0.5</v>
      </c>
      <c r="G3977" s="4">
        <v>43401</v>
      </c>
    </row>
    <row r="3978" spans="2:18" x14ac:dyDescent="0.15">
      <c r="B3978" s="99" t="s">
        <v>5275</v>
      </c>
      <c r="C3978" s="100" t="s">
        <v>4</v>
      </c>
      <c r="D3978" s="100" t="s">
        <v>2106</v>
      </c>
      <c r="E3978" s="3">
        <v>2.5</v>
      </c>
      <c r="F3978" s="3">
        <v>0.5</v>
      </c>
      <c r="G3978" s="4">
        <v>43401</v>
      </c>
    </row>
    <row r="3979" spans="2:18" x14ac:dyDescent="0.15">
      <c r="B3979" s="143" t="s">
        <v>6363</v>
      </c>
      <c r="C3979" s="149" t="s">
        <v>4</v>
      </c>
      <c r="D3979" s="149" t="s">
        <v>6354</v>
      </c>
      <c r="E3979" s="3">
        <v>5</v>
      </c>
      <c r="F3979" s="3">
        <v>0.5</v>
      </c>
      <c r="G3979" s="4">
        <v>43335</v>
      </c>
    </row>
    <row r="3980" spans="2:18" x14ac:dyDescent="0.15">
      <c r="B3980" s="143" t="s">
        <v>6364</v>
      </c>
      <c r="C3980" s="149" t="s">
        <v>4</v>
      </c>
      <c r="D3980" s="149" t="s">
        <v>6354</v>
      </c>
      <c r="E3980" s="3">
        <v>5</v>
      </c>
      <c r="F3980" s="3">
        <v>0.5</v>
      </c>
      <c r="G3980" s="4">
        <v>43335</v>
      </c>
    </row>
    <row r="3981" spans="2:18" x14ac:dyDescent="0.15">
      <c r="B3981" s="143" t="s">
        <v>6365</v>
      </c>
      <c r="C3981" s="149" t="s">
        <v>4</v>
      </c>
      <c r="D3981" s="149" t="s">
        <v>6354</v>
      </c>
      <c r="E3981" s="3">
        <v>5</v>
      </c>
      <c r="F3981" s="3">
        <v>0.5</v>
      </c>
      <c r="G3981" s="4">
        <v>43335</v>
      </c>
    </row>
    <row r="3982" spans="2:18" x14ac:dyDescent="0.15">
      <c r="B3982" s="168" t="s">
        <v>6428</v>
      </c>
      <c r="C3982" s="169" t="s">
        <v>4</v>
      </c>
      <c r="D3982" s="169" t="s">
        <v>2051</v>
      </c>
      <c r="E3982" s="3">
        <v>3</v>
      </c>
      <c r="F3982" s="3">
        <f>2/4</f>
        <v>0.5</v>
      </c>
      <c r="G3982" s="4">
        <v>42628</v>
      </c>
    </row>
    <row r="3983" spans="2:18" x14ac:dyDescent="0.15">
      <c r="B3983" s="168" t="s">
        <v>6429</v>
      </c>
      <c r="C3983" s="169" t="s">
        <v>4</v>
      </c>
      <c r="D3983" s="169" t="s">
        <v>2051</v>
      </c>
      <c r="E3983" s="3">
        <v>3</v>
      </c>
      <c r="F3983" s="3">
        <f>2/4</f>
        <v>0.5</v>
      </c>
      <c r="G3983" s="4">
        <v>42628</v>
      </c>
    </row>
    <row r="3984" spans="2:18" x14ac:dyDescent="0.15">
      <c r="B3984" s="192" t="s">
        <v>6791</v>
      </c>
      <c r="C3984" s="193" t="s">
        <v>4</v>
      </c>
      <c r="D3984" s="193" t="s">
        <v>2028</v>
      </c>
      <c r="E3984" s="3">
        <v>3.5</v>
      </c>
      <c r="F3984" s="3">
        <v>0.5</v>
      </c>
      <c r="G3984" s="4">
        <v>44609</v>
      </c>
    </row>
    <row r="3985" spans="2:18" x14ac:dyDescent="0.15">
      <c r="B3985" s="168" t="s">
        <v>6474</v>
      </c>
      <c r="C3985" s="169" t="s">
        <v>4</v>
      </c>
      <c r="D3985" s="2" t="s">
        <v>2042</v>
      </c>
      <c r="E3985" s="3">
        <v>2.9</v>
      </c>
      <c r="F3985" s="3">
        <f>0.9/2</f>
        <v>0.45</v>
      </c>
      <c r="G3985" s="4">
        <v>43221</v>
      </c>
    </row>
    <row r="3986" spans="2:18" x14ac:dyDescent="0.15">
      <c r="B3986" s="1" t="s">
        <v>749</v>
      </c>
      <c r="C3986" s="2" t="s">
        <v>4</v>
      </c>
      <c r="D3986" s="2" t="s">
        <v>746</v>
      </c>
      <c r="E3986" s="3">
        <v>2.6</v>
      </c>
      <c r="F3986" s="3">
        <f>1.6/4</f>
        <v>0.4</v>
      </c>
      <c r="G3986" s="4">
        <v>44147</v>
      </c>
      <c r="M3986" s="1"/>
      <c r="N3986" s="1"/>
      <c r="O3986" s="1"/>
      <c r="P3986" s="1"/>
      <c r="Q3986" s="1"/>
      <c r="R3986" s="1"/>
    </row>
    <row r="3987" spans="2:18" x14ac:dyDescent="0.15">
      <c r="B3987" s="1" t="s">
        <v>748</v>
      </c>
      <c r="C3987" s="2" t="s">
        <v>4</v>
      </c>
      <c r="D3987" s="2" t="s">
        <v>746</v>
      </c>
      <c r="E3987" s="3">
        <v>2.6</v>
      </c>
      <c r="F3987" s="3">
        <f>1.6/4</f>
        <v>0.4</v>
      </c>
      <c r="G3987" s="4">
        <v>44147</v>
      </c>
      <c r="M3987" s="1"/>
      <c r="N3987" s="1"/>
      <c r="O3987" s="1"/>
      <c r="P3987" s="1"/>
      <c r="Q3987" s="1"/>
      <c r="R3987" s="1"/>
    </row>
    <row r="3988" spans="2:18" x14ac:dyDescent="0.15">
      <c r="B3988" s="1" t="s">
        <v>747</v>
      </c>
      <c r="C3988" s="2" t="s">
        <v>4</v>
      </c>
      <c r="D3988" s="2" t="s">
        <v>746</v>
      </c>
      <c r="E3988" s="3">
        <v>2.6</v>
      </c>
      <c r="F3988" s="3">
        <f>1.6/4</f>
        <v>0.4</v>
      </c>
      <c r="G3988" s="4">
        <v>44147</v>
      </c>
      <c r="M3988" s="1"/>
      <c r="N3988" s="1"/>
      <c r="O3988" s="1"/>
      <c r="P3988" s="1"/>
      <c r="Q3988" s="1"/>
      <c r="R3988" s="1"/>
    </row>
    <row r="3989" spans="2:18" x14ac:dyDescent="0.15">
      <c r="B3989" s="1" t="s">
        <v>437</v>
      </c>
      <c r="C3989" s="2" t="s">
        <v>7</v>
      </c>
      <c r="D3989" s="2" t="s">
        <v>436</v>
      </c>
      <c r="E3989" s="3">
        <v>1.8</v>
      </c>
      <c r="F3989" s="3">
        <v>0.4</v>
      </c>
      <c r="G3989" s="4">
        <v>43661</v>
      </c>
      <c r="M3989" s="1"/>
      <c r="N3989" s="1"/>
      <c r="O3989" s="1"/>
      <c r="P3989" s="1"/>
      <c r="Q3989" s="1"/>
      <c r="R3989" s="1"/>
    </row>
    <row r="3990" spans="2:18" x14ac:dyDescent="0.15">
      <c r="B3990" s="1" t="s">
        <v>146</v>
      </c>
      <c r="C3990" s="2" t="s">
        <v>4</v>
      </c>
      <c r="D3990" s="2" t="s">
        <v>144</v>
      </c>
      <c r="E3990" s="3">
        <v>1.6</v>
      </c>
      <c r="F3990" s="3">
        <f>E3990/4</f>
        <v>0.4</v>
      </c>
      <c r="G3990" s="4">
        <v>43060</v>
      </c>
    </row>
    <row r="3991" spans="2:18" x14ac:dyDescent="0.15">
      <c r="B3991" s="1" t="s">
        <v>262</v>
      </c>
      <c r="C3991" s="2" t="s">
        <v>4</v>
      </c>
      <c r="D3991" s="2" t="s">
        <v>258</v>
      </c>
      <c r="E3991" s="3">
        <v>3.5</v>
      </c>
      <c r="F3991" s="3">
        <f>+E3991/9</f>
        <v>0.3888888888888889</v>
      </c>
      <c r="G3991" s="4">
        <v>42979</v>
      </c>
    </row>
    <row r="3992" spans="2:18" x14ac:dyDescent="0.15">
      <c r="B3992" s="1" t="s">
        <v>261</v>
      </c>
      <c r="C3992" s="2" t="s">
        <v>4</v>
      </c>
      <c r="D3992" s="2" t="s">
        <v>258</v>
      </c>
      <c r="E3992" s="3">
        <v>3.5</v>
      </c>
      <c r="F3992" s="3">
        <f>+E3992/9</f>
        <v>0.3888888888888889</v>
      </c>
      <c r="G3992" s="4">
        <v>42979</v>
      </c>
    </row>
    <row r="3993" spans="2:18" x14ac:dyDescent="0.15">
      <c r="B3993" s="1" t="s">
        <v>260</v>
      </c>
      <c r="C3993" s="2" t="s">
        <v>4</v>
      </c>
      <c r="D3993" s="2" t="s">
        <v>258</v>
      </c>
      <c r="E3993" s="3">
        <v>3.5</v>
      </c>
      <c r="F3993" s="3">
        <f>+E3993/9</f>
        <v>0.3888888888888889</v>
      </c>
      <c r="G3993" s="4">
        <v>42979</v>
      </c>
    </row>
    <row r="3994" spans="2:18" x14ac:dyDescent="0.15">
      <c r="B3994" s="1" t="s">
        <v>259</v>
      </c>
      <c r="C3994" s="2" t="s">
        <v>4</v>
      </c>
      <c r="D3994" s="2" t="s">
        <v>258</v>
      </c>
      <c r="E3994" s="3">
        <v>3.5</v>
      </c>
      <c r="F3994" s="3">
        <f>+E3994/9</f>
        <v>0.3888888888888889</v>
      </c>
      <c r="G3994" s="4">
        <v>42979</v>
      </c>
    </row>
    <row r="3995" spans="2:18" x14ac:dyDescent="0.15">
      <c r="B3995" s="1" t="s">
        <v>338</v>
      </c>
      <c r="C3995" s="2" t="s">
        <v>4</v>
      </c>
      <c r="D3995" s="2" t="s">
        <v>336</v>
      </c>
      <c r="E3995" s="3">
        <v>3</v>
      </c>
      <c r="F3995" s="3">
        <f>1.5/4</f>
        <v>0.375</v>
      </c>
      <c r="G3995" s="4">
        <v>44327</v>
      </c>
      <c r="M3995" s="1"/>
      <c r="N3995" s="1"/>
      <c r="O3995" s="1"/>
      <c r="P3995" s="1"/>
      <c r="Q3995" s="1"/>
      <c r="R3995" s="1"/>
    </row>
    <row r="3996" spans="2:18" x14ac:dyDescent="0.15">
      <c r="B3996" s="1" t="s">
        <v>337</v>
      </c>
      <c r="C3996" s="2" t="s">
        <v>4</v>
      </c>
      <c r="D3996" s="2" t="s">
        <v>336</v>
      </c>
      <c r="E3996" s="3">
        <v>3</v>
      </c>
      <c r="F3996" s="3">
        <f>1.5/4</f>
        <v>0.375</v>
      </c>
      <c r="G3996" s="4">
        <v>44327</v>
      </c>
      <c r="M3996" s="1"/>
      <c r="N3996" s="1"/>
      <c r="O3996" s="1"/>
      <c r="P3996" s="1"/>
      <c r="Q3996" s="1"/>
      <c r="R3996" s="1"/>
    </row>
    <row r="3997" spans="2:18" x14ac:dyDescent="0.15">
      <c r="B3997" s="1" t="s">
        <v>387</v>
      </c>
      <c r="C3997" s="2" t="s">
        <v>4</v>
      </c>
      <c r="D3997" s="2" t="s">
        <v>386</v>
      </c>
      <c r="E3997" s="3">
        <v>0.71</v>
      </c>
      <c r="F3997" s="3">
        <f>+E3997/2</f>
        <v>0.35499999999999998</v>
      </c>
      <c r="G3997" s="4">
        <v>41730</v>
      </c>
      <c r="M3997" s="1"/>
      <c r="N3997" s="1"/>
      <c r="O3997" s="1"/>
      <c r="P3997" s="1"/>
      <c r="Q3997" s="1"/>
      <c r="R3997" s="1"/>
    </row>
    <row r="3998" spans="2:18" x14ac:dyDescent="0.15">
      <c r="B3998" s="1" t="s">
        <v>350</v>
      </c>
      <c r="C3998" s="2" t="s">
        <v>4</v>
      </c>
      <c r="D3998" s="2" t="s">
        <v>347</v>
      </c>
      <c r="E3998" s="3">
        <v>3.5</v>
      </c>
      <c r="F3998" s="3">
        <f>E3998/10</f>
        <v>0.35</v>
      </c>
      <c r="G3998" s="4">
        <v>43046</v>
      </c>
      <c r="L3998" s="1">
        <v>0</v>
      </c>
      <c r="M3998" s="1"/>
      <c r="N3998" s="1"/>
      <c r="O3998" s="1"/>
      <c r="P3998" s="1"/>
      <c r="Q3998" s="1"/>
      <c r="R3998" s="1"/>
    </row>
    <row r="3999" spans="2:18" x14ac:dyDescent="0.15">
      <c r="B3999" s="1" t="s">
        <v>349</v>
      </c>
      <c r="C3999" s="2" t="s">
        <v>4</v>
      </c>
      <c r="D3999" s="2" t="s">
        <v>347</v>
      </c>
      <c r="E3999" s="3">
        <v>3.5</v>
      </c>
      <c r="F3999" s="3">
        <f>E3999/10</f>
        <v>0.35</v>
      </c>
      <c r="G3999" s="4">
        <v>43046</v>
      </c>
      <c r="L3999" s="1">
        <v>0</v>
      </c>
      <c r="M3999" s="1"/>
      <c r="N3999" s="1"/>
      <c r="O3999" s="1"/>
      <c r="P3999" s="1"/>
      <c r="Q3999" s="1"/>
      <c r="R3999" s="1"/>
    </row>
    <row r="4000" spans="2:18" x14ac:dyDescent="0.15">
      <c r="B4000" s="1" t="s">
        <v>348</v>
      </c>
      <c r="C4000" s="2" t="s">
        <v>4</v>
      </c>
      <c r="D4000" s="2" t="s">
        <v>347</v>
      </c>
      <c r="E4000" s="3">
        <v>3.5</v>
      </c>
      <c r="F4000" s="3">
        <f>E4000/10</f>
        <v>0.35</v>
      </c>
      <c r="G4000" s="4">
        <v>43046</v>
      </c>
      <c r="L4000" s="1">
        <v>0</v>
      </c>
      <c r="M4000" s="1"/>
      <c r="N4000" s="1"/>
      <c r="O4000" s="1"/>
      <c r="P4000" s="1"/>
      <c r="Q4000" s="1"/>
      <c r="R4000" s="1"/>
    </row>
    <row r="4001" spans="2:18" x14ac:dyDescent="0.15">
      <c r="B4001" s="1" t="s">
        <v>123</v>
      </c>
      <c r="C4001" s="2" t="s">
        <v>4</v>
      </c>
      <c r="D4001" s="2" t="s">
        <v>122</v>
      </c>
      <c r="E4001" s="3">
        <v>0.35</v>
      </c>
      <c r="F4001" s="3">
        <v>0.35</v>
      </c>
      <c r="G4001" s="4">
        <v>43864</v>
      </c>
    </row>
    <row r="4002" spans="2:18" x14ac:dyDescent="0.15">
      <c r="B4002" s="1" t="s">
        <v>745</v>
      </c>
      <c r="C4002" s="2" t="s">
        <v>4</v>
      </c>
      <c r="D4002" s="2" t="s">
        <v>700</v>
      </c>
      <c r="E4002" s="3">
        <v>2.5</v>
      </c>
      <c r="F4002" s="3">
        <f>2/6</f>
        <v>0.33333333333333331</v>
      </c>
      <c r="G4002" s="4">
        <v>44469</v>
      </c>
      <c r="M4002" s="1"/>
      <c r="N4002" s="1"/>
      <c r="O4002" s="1"/>
      <c r="P4002" s="1"/>
      <c r="Q4002" s="1"/>
      <c r="R4002" s="1"/>
    </row>
    <row r="4003" spans="2:18" x14ac:dyDescent="0.15">
      <c r="B4003" s="1" t="s">
        <v>744</v>
      </c>
      <c r="C4003" s="2" t="s">
        <v>4</v>
      </c>
      <c r="D4003" s="2" t="s">
        <v>700</v>
      </c>
      <c r="E4003" s="3">
        <v>2.5</v>
      </c>
      <c r="F4003" s="3">
        <f>2/6</f>
        <v>0.33333333333333331</v>
      </c>
      <c r="G4003" s="4">
        <v>44469</v>
      </c>
      <c r="M4003" s="1"/>
      <c r="N4003" s="1"/>
      <c r="O4003" s="1"/>
      <c r="P4003" s="1"/>
      <c r="Q4003" s="1"/>
      <c r="R4003" s="1"/>
    </row>
    <row r="4004" spans="2:18" x14ac:dyDescent="0.15">
      <c r="B4004" s="1" t="s">
        <v>743</v>
      </c>
      <c r="C4004" s="2" t="s">
        <v>4</v>
      </c>
      <c r="D4004" s="2" t="s">
        <v>700</v>
      </c>
      <c r="E4004" s="3">
        <v>2.5</v>
      </c>
      <c r="F4004" s="3">
        <f>2/6</f>
        <v>0.33333333333333331</v>
      </c>
      <c r="G4004" s="4">
        <v>44469</v>
      </c>
      <c r="M4004" s="1"/>
      <c r="N4004" s="1"/>
      <c r="O4004" s="1"/>
      <c r="P4004" s="1"/>
      <c r="Q4004" s="1"/>
      <c r="R4004" s="1"/>
    </row>
    <row r="4005" spans="2:18" x14ac:dyDescent="0.15">
      <c r="B4005" s="1" t="s">
        <v>742</v>
      </c>
      <c r="C4005" s="2" t="s">
        <v>4</v>
      </c>
      <c r="D4005" s="2" t="s">
        <v>700</v>
      </c>
      <c r="E4005" s="3">
        <v>2.5</v>
      </c>
      <c r="F4005" s="3">
        <f>2/6</f>
        <v>0.33333333333333331</v>
      </c>
      <c r="G4005" s="4">
        <v>44469</v>
      </c>
      <c r="I4005" s="5"/>
      <c r="M4005" s="1"/>
      <c r="N4005" s="1"/>
      <c r="O4005" s="1"/>
      <c r="P4005" s="1"/>
      <c r="Q4005" s="1"/>
      <c r="R4005" s="1"/>
    </row>
    <row r="4006" spans="2:18" x14ac:dyDescent="0.15">
      <c r="B4006" s="1" t="s">
        <v>550</v>
      </c>
      <c r="C4006" s="2" t="s">
        <v>278</v>
      </c>
      <c r="D4006" s="2" t="s">
        <v>549</v>
      </c>
      <c r="E4006" s="3">
        <v>0.5</v>
      </c>
      <c r="F4006" s="3">
        <v>0.3</v>
      </c>
      <c r="G4006" s="4">
        <v>43262</v>
      </c>
      <c r="M4006" s="1"/>
      <c r="N4006" s="1"/>
      <c r="O4006" s="1"/>
      <c r="P4006" s="1"/>
      <c r="Q4006" s="1"/>
      <c r="R4006" s="1"/>
    </row>
    <row r="4007" spans="2:18" x14ac:dyDescent="0.15">
      <c r="B4007" s="1" t="s">
        <v>514</v>
      </c>
      <c r="C4007" s="2" t="s">
        <v>278</v>
      </c>
      <c r="D4007" s="2" t="s">
        <v>510</v>
      </c>
      <c r="E4007" s="3">
        <v>1.2</v>
      </c>
      <c r="F4007" s="3">
        <v>0.3</v>
      </c>
      <c r="G4007" s="4">
        <v>44545</v>
      </c>
      <c r="M4007" s="1"/>
      <c r="N4007" s="1"/>
      <c r="O4007" s="1"/>
      <c r="P4007" s="1"/>
      <c r="Q4007" s="1"/>
      <c r="R4007" s="1"/>
    </row>
    <row r="4008" spans="2:18" x14ac:dyDescent="0.15">
      <c r="B4008" s="1" t="s">
        <v>513</v>
      </c>
      <c r="C4008" s="2" t="s">
        <v>278</v>
      </c>
      <c r="D4008" s="2" t="s">
        <v>510</v>
      </c>
      <c r="E4008" s="3">
        <v>1.2</v>
      </c>
      <c r="F4008" s="3">
        <v>0.3</v>
      </c>
      <c r="G4008" s="4">
        <v>44545</v>
      </c>
      <c r="M4008" s="1"/>
      <c r="N4008" s="1"/>
      <c r="O4008" s="1"/>
      <c r="P4008" s="1"/>
      <c r="Q4008" s="1"/>
      <c r="R4008" s="1"/>
    </row>
    <row r="4009" spans="2:18" x14ac:dyDescent="0.15">
      <c r="B4009" s="1" t="s">
        <v>512</v>
      </c>
      <c r="C4009" s="2" t="s">
        <v>278</v>
      </c>
      <c r="D4009" s="2" t="s">
        <v>510</v>
      </c>
      <c r="E4009" s="3">
        <v>1.2</v>
      </c>
      <c r="F4009" s="3">
        <v>0.3</v>
      </c>
      <c r="G4009" s="4">
        <v>44545</v>
      </c>
      <c r="M4009" s="1"/>
      <c r="N4009" s="1"/>
      <c r="O4009" s="1"/>
      <c r="P4009" s="1"/>
      <c r="Q4009" s="1"/>
      <c r="R4009" s="1"/>
    </row>
    <row r="4010" spans="2:18" x14ac:dyDescent="0.15">
      <c r="B4010" s="1" t="s">
        <v>511</v>
      </c>
      <c r="C4010" s="2" t="s">
        <v>278</v>
      </c>
      <c r="D4010" s="2" t="s">
        <v>510</v>
      </c>
      <c r="E4010" s="3">
        <v>1.2</v>
      </c>
      <c r="F4010" s="3">
        <v>0.3</v>
      </c>
      <c r="G4010" s="4">
        <v>44545</v>
      </c>
      <c r="M4010" s="1"/>
      <c r="N4010" s="1"/>
      <c r="O4010" s="1"/>
      <c r="P4010" s="1"/>
      <c r="Q4010" s="1"/>
      <c r="R4010" s="1"/>
    </row>
    <row r="4011" spans="2:18" x14ac:dyDescent="0.15">
      <c r="B4011" s="143" t="s">
        <v>6269</v>
      </c>
      <c r="C4011" s="149" t="s">
        <v>4</v>
      </c>
      <c r="D4011" s="149" t="s">
        <v>2062</v>
      </c>
      <c r="E4011" s="3">
        <v>2.2999999999999998</v>
      </c>
      <c r="F4011" s="3">
        <v>0.3</v>
      </c>
      <c r="G4011" s="4">
        <v>43195</v>
      </c>
    </row>
    <row r="4012" spans="2:18" x14ac:dyDescent="0.15">
      <c r="B4012" s="1" t="s">
        <v>343</v>
      </c>
      <c r="C4012" s="2" t="s">
        <v>278</v>
      </c>
      <c r="D4012" s="2" t="s">
        <v>341</v>
      </c>
      <c r="E4012" s="3">
        <v>0.75</v>
      </c>
      <c r="F4012" s="3">
        <f>+E4012/3</f>
        <v>0.25</v>
      </c>
      <c r="G4012" s="4">
        <v>44043</v>
      </c>
      <c r="M4012" s="1"/>
      <c r="N4012" s="1"/>
      <c r="O4012" s="1"/>
      <c r="P4012" s="1"/>
      <c r="Q4012" s="1"/>
      <c r="R4012" s="1"/>
    </row>
    <row r="4013" spans="2:18" x14ac:dyDescent="0.15">
      <c r="B4013" s="1" t="s">
        <v>342</v>
      </c>
      <c r="C4013" s="2" t="s">
        <v>278</v>
      </c>
      <c r="D4013" s="2" t="s">
        <v>341</v>
      </c>
      <c r="E4013" s="3">
        <v>0.75</v>
      </c>
      <c r="F4013" s="3">
        <f>+E4013/3</f>
        <v>0.25</v>
      </c>
      <c r="G4013" s="4">
        <v>44043</v>
      </c>
      <c r="M4013" s="1"/>
      <c r="N4013" s="1"/>
      <c r="O4013" s="1"/>
      <c r="P4013" s="1"/>
      <c r="Q4013" s="1"/>
      <c r="R4013" s="1"/>
    </row>
    <row r="4014" spans="2:18" x14ac:dyDescent="0.15">
      <c r="B4014" s="192" t="s">
        <v>6734</v>
      </c>
      <c r="C4014" s="193" t="s">
        <v>4</v>
      </c>
      <c r="D4014" s="190" t="s">
        <v>2035</v>
      </c>
      <c r="E4014" s="3">
        <v>2</v>
      </c>
      <c r="F4014" s="3">
        <f>1.5/6</f>
        <v>0.25</v>
      </c>
      <c r="G4014" s="4">
        <v>43522</v>
      </c>
    </row>
    <row r="4015" spans="2:18" x14ac:dyDescent="0.15">
      <c r="B4015" s="1" t="s">
        <v>306</v>
      </c>
      <c r="C4015" s="2" t="s">
        <v>4</v>
      </c>
      <c r="D4015" s="2" t="s">
        <v>302</v>
      </c>
      <c r="E4015" s="3">
        <v>1.8</v>
      </c>
      <c r="F4015" s="3">
        <f>+E4015/9</f>
        <v>0.2</v>
      </c>
      <c r="G4015" s="4">
        <v>42690</v>
      </c>
    </row>
    <row r="4016" spans="2:18" x14ac:dyDescent="0.15">
      <c r="B4016" s="1" t="s">
        <v>305</v>
      </c>
      <c r="C4016" s="2" t="s">
        <v>4</v>
      </c>
      <c r="D4016" s="2" t="s">
        <v>302</v>
      </c>
      <c r="E4016" s="3">
        <v>1.8</v>
      </c>
      <c r="F4016" s="3">
        <f>+E4016/9</f>
        <v>0.2</v>
      </c>
      <c r="G4016" s="4">
        <v>42690</v>
      </c>
    </row>
    <row r="4017" spans="2:7" x14ac:dyDescent="0.15">
      <c r="B4017" s="1" t="s">
        <v>304</v>
      </c>
      <c r="C4017" s="2" t="s">
        <v>4</v>
      </c>
      <c r="D4017" s="2" t="s">
        <v>302</v>
      </c>
      <c r="E4017" s="3">
        <v>1.8</v>
      </c>
      <c r="F4017" s="3">
        <f>+E4017/9</f>
        <v>0.2</v>
      </c>
      <c r="G4017" s="4">
        <v>42690</v>
      </c>
    </row>
    <row r="4018" spans="2:7" x14ac:dyDescent="0.15">
      <c r="B4018" s="1" t="s">
        <v>303</v>
      </c>
      <c r="C4018" s="2" t="s">
        <v>4</v>
      </c>
      <c r="D4018" s="2" t="s">
        <v>302</v>
      </c>
      <c r="E4018" s="3">
        <v>1.8</v>
      </c>
      <c r="F4018" s="3">
        <f>+E4018/9</f>
        <v>0.2</v>
      </c>
      <c r="G4018" s="4">
        <v>42690</v>
      </c>
    </row>
    <row r="4019" spans="2:7" x14ac:dyDescent="0.15">
      <c r="B4019" s="1" t="s">
        <v>279</v>
      </c>
      <c r="C4019" s="2" t="s">
        <v>278</v>
      </c>
      <c r="D4019" s="2" t="s">
        <v>277</v>
      </c>
      <c r="E4019" s="3">
        <v>0.2</v>
      </c>
      <c r="F4019" s="3">
        <v>0.1</v>
      </c>
      <c r="G4019" s="4">
        <v>44054</v>
      </c>
    </row>
    <row r="4020" spans="2:7" x14ac:dyDescent="0.15">
      <c r="B4020" s="1" t="s">
        <v>280</v>
      </c>
      <c r="C4020" s="2" t="s">
        <v>4</v>
      </c>
      <c r="D4020" s="2" t="s">
        <v>277</v>
      </c>
      <c r="E4020" s="3">
        <v>0.125</v>
      </c>
      <c r="F4020" s="3">
        <v>5.0000000000000001E-3</v>
      </c>
      <c r="G4020" s="4">
        <v>44265</v>
      </c>
    </row>
    <row r="4021" spans="2:7" x14ac:dyDescent="0.15">
      <c r="B4021" s="195" t="s">
        <v>7099</v>
      </c>
      <c r="C4021" s="2" t="s">
        <v>4</v>
      </c>
      <c r="D4021" s="193" t="s">
        <v>7098</v>
      </c>
      <c r="E4021" s="3">
        <v>5</v>
      </c>
      <c r="F4021" s="3">
        <v>2.5</v>
      </c>
      <c r="G4021" s="4">
        <v>44266</v>
      </c>
    </row>
    <row r="4022" spans="2:7" x14ac:dyDescent="0.15">
      <c r="B4022" s="195"/>
      <c r="C4022" s="2" t="s">
        <v>4</v>
      </c>
      <c r="D4022" s="193" t="s">
        <v>7098</v>
      </c>
      <c r="E4022" s="3">
        <v>1.5</v>
      </c>
      <c r="F4022" s="3">
        <v>0.75</v>
      </c>
      <c r="G4022" s="4">
        <v>43580</v>
      </c>
    </row>
    <row r="4023" spans="2:7" x14ac:dyDescent="0.15">
      <c r="B4023" s="195" t="s">
        <v>7100</v>
      </c>
      <c r="C4023" s="2" t="s">
        <v>4</v>
      </c>
      <c r="D4023" s="193" t="s">
        <v>7098</v>
      </c>
      <c r="E4023" s="3">
        <v>5</v>
      </c>
      <c r="F4023" s="3">
        <v>2.5</v>
      </c>
      <c r="G4023" s="4">
        <v>44266</v>
      </c>
    </row>
    <row r="4024" spans="2:7" x14ac:dyDescent="0.15">
      <c r="B4024" s="195"/>
      <c r="C4024" s="2" t="s">
        <v>4</v>
      </c>
      <c r="D4024" s="193" t="s">
        <v>7098</v>
      </c>
      <c r="E4024" s="3">
        <v>1.5</v>
      </c>
      <c r="F4024" s="3">
        <v>0.75</v>
      </c>
      <c r="G4024" s="4">
        <v>43580</v>
      </c>
    </row>
    <row r="4025" spans="2:7" x14ac:dyDescent="0.15">
      <c r="B4025" s="1" t="s">
        <v>7369</v>
      </c>
      <c r="C4025" s="2" t="s">
        <v>5</v>
      </c>
      <c r="D4025" s="2" t="s">
        <v>2022</v>
      </c>
      <c r="E4025" s="3">
        <v>10</v>
      </c>
      <c r="F4025" s="3">
        <v>3</v>
      </c>
      <c r="G4025" s="4">
        <v>44504</v>
      </c>
    </row>
    <row r="4026" spans="2:7" x14ac:dyDescent="0.15">
      <c r="C4026" s="2" t="s">
        <v>4</v>
      </c>
      <c r="D4026" s="2" t="s">
        <v>2022</v>
      </c>
      <c r="E4026" s="3">
        <v>4</v>
      </c>
      <c r="F4026" s="3">
        <v>1</v>
      </c>
      <c r="G4026" s="4">
        <v>44097</v>
      </c>
    </row>
    <row r="4027" spans="2:7" x14ac:dyDescent="0.15">
      <c r="B4027" s="1" t="s">
        <v>7370</v>
      </c>
      <c r="C4027" s="2" t="s">
        <v>5</v>
      </c>
      <c r="D4027" s="2" t="s">
        <v>2022</v>
      </c>
      <c r="E4027" s="3">
        <v>10</v>
      </c>
      <c r="F4027" s="3">
        <v>2</v>
      </c>
      <c r="G4027" s="4">
        <v>44504</v>
      </c>
    </row>
    <row r="4028" spans="2:7" x14ac:dyDescent="0.15">
      <c r="C4028" s="2" t="s">
        <v>4</v>
      </c>
      <c r="D4028" s="2" t="s">
        <v>2022</v>
      </c>
      <c r="E4028" s="3">
        <v>4</v>
      </c>
      <c r="F4028" s="3">
        <v>1</v>
      </c>
      <c r="G4028" s="4">
        <v>44097</v>
      </c>
    </row>
    <row r="4029" spans="2:7" x14ac:dyDescent="0.15">
      <c r="B4029" s="1" t="s">
        <v>7371</v>
      </c>
      <c r="C4029" s="2" t="s">
        <v>5</v>
      </c>
      <c r="D4029" s="2" t="s">
        <v>7366</v>
      </c>
      <c r="E4029" s="3">
        <v>8</v>
      </c>
      <c r="F4029" s="3">
        <v>6</v>
      </c>
      <c r="G4029" s="4">
        <v>44663</v>
      </c>
    </row>
    <row r="4030" spans="2:7" x14ac:dyDescent="0.15">
      <c r="B4030" s="1" t="s">
        <v>7372</v>
      </c>
      <c r="C4030" s="2" t="s">
        <v>5</v>
      </c>
      <c r="D4030" s="2" t="s">
        <v>7366</v>
      </c>
      <c r="E4030" s="3">
        <v>8</v>
      </c>
      <c r="F4030" s="3">
        <v>2</v>
      </c>
      <c r="G4030" s="4">
        <v>44663</v>
      </c>
    </row>
    <row r="4031" spans="2:7" x14ac:dyDescent="0.15">
      <c r="C4031" s="2" t="s">
        <v>5</v>
      </c>
      <c r="D4031" s="2" t="s">
        <v>7366</v>
      </c>
      <c r="E4031" s="3">
        <v>3</v>
      </c>
      <c r="F4031" s="3">
        <v>2</v>
      </c>
      <c r="G4031" s="4">
        <v>43858</v>
      </c>
    </row>
    <row r="4032" spans="2:7" x14ac:dyDescent="0.15">
      <c r="B4032" s="1" t="s">
        <v>7373</v>
      </c>
      <c r="C4032" s="2" t="s">
        <v>4</v>
      </c>
      <c r="D4032" s="2" t="s">
        <v>7368</v>
      </c>
      <c r="E4032" s="3">
        <v>3</v>
      </c>
      <c r="F4032" s="3">
        <v>0</v>
      </c>
      <c r="G4032" s="4">
        <v>44452</v>
      </c>
    </row>
    <row r="4033" spans="2:7" x14ac:dyDescent="0.15">
      <c r="B4033" s="1" t="s">
        <v>7374</v>
      </c>
      <c r="C4033" s="2" t="s">
        <v>4</v>
      </c>
      <c r="D4033" s="2" t="s">
        <v>7368</v>
      </c>
      <c r="E4033" s="3">
        <v>3</v>
      </c>
      <c r="F4033" s="3">
        <v>0</v>
      </c>
      <c r="G4033" s="4">
        <v>44452</v>
      </c>
    </row>
    <row r="4034" spans="2:7" x14ac:dyDescent="0.15">
      <c r="B4034" s="1" t="s">
        <v>7375</v>
      </c>
      <c r="C4034" s="2" t="s">
        <v>4</v>
      </c>
      <c r="D4034" s="2" t="s">
        <v>7368</v>
      </c>
      <c r="E4034" s="3">
        <v>3</v>
      </c>
      <c r="F4034" s="3">
        <v>0</v>
      </c>
      <c r="G4034" s="4">
        <v>44452</v>
      </c>
    </row>
    <row r="4035" spans="2:7" x14ac:dyDescent="0.15">
      <c r="B4035" s="1" t="s">
        <v>7376</v>
      </c>
      <c r="C4035" s="2" t="s">
        <v>4</v>
      </c>
      <c r="D4035" s="2" t="s">
        <v>7368</v>
      </c>
      <c r="E4035" s="3">
        <v>8</v>
      </c>
      <c r="F4035" s="3">
        <v>2</v>
      </c>
      <c r="G4035" s="4">
        <v>44880</v>
      </c>
    </row>
    <row r="4036" spans="2:7" x14ac:dyDescent="0.15">
      <c r="B4036" s="1" t="s">
        <v>7377</v>
      </c>
      <c r="C4036" s="2" t="s">
        <v>4</v>
      </c>
      <c r="D4036" s="2" t="s">
        <v>7368</v>
      </c>
      <c r="E4036" s="3">
        <v>8</v>
      </c>
      <c r="F4036" s="3">
        <v>2</v>
      </c>
      <c r="G4036" s="4">
        <v>44880</v>
      </c>
    </row>
    <row r="4037" spans="2:7" x14ac:dyDescent="0.15">
      <c r="B4037" s="1" t="s">
        <v>7378</v>
      </c>
      <c r="C4037" s="2" t="s">
        <v>4</v>
      </c>
      <c r="D4037" s="2" t="s">
        <v>7368</v>
      </c>
      <c r="E4037" s="3">
        <v>8</v>
      </c>
      <c r="F4037" s="3">
        <v>2</v>
      </c>
      <c r="G4037" s="4">
        <v>44880</v>
      </c>
    </row>
    <row r="4038" spans="2:7" x14ac:dyDescent="0.15">
      <c r="B4038" s="1" t="s">
        <v>7379</v>
      </c>
      <c r="C4038" s="2" t="s">
        <v>4</v>
      </c>
      <c r="D4038" s="2" t="s">
        <v>7368</v>
      </c>
      <c r="E4038" s="3">
        <v>8</v>
      </c>
      <c r="F4038" s="3">
        <v>2</v>
      </c>
      <c r="G4038" s="4">
        <v>44880</v>
      </c>
    </row>
    <row r="4039" spans="2:7" x14ac:dyDescent="0.15">
      <c r="B4039" s="258" t="s">
        <v>1678</v>
      </c>
      <c r="C4039" s="261" t="s">
        <v>4</v>
      </c>
      <c r="D4039" s="261" t="s">
        <v>2019</v>
      </c>
      <c r="E4039" s="3">
        <v>12</v>
      </c>
      <c r="F4039" s="3">
        <v>2</v>
      </c>
      <c r="G4039" s="4">
        <v>43872</v>
      </c>
    </row>
    <row r="4040" spans="2:7" x14ac:dyDescent="0.15">
      <c r="B4040" s="258" t="s">
        <v>7438</v>
      </c>
      <c r="C4040" s="261" t="s">
        <v>4</v>
      </c>
      <c r="D4040" s="261" t="s">
        <v>2019</v>
      </c>
      <c r="E4040" s="3">
        <v>12</v>
      </c>
      <c r="F4040" s="3">
        <v>2</v>
      </c>
      <c r="G4040" s="4">
        <v>43872</v>
      </c>
    </row>
    <row r="4041" spans="2:7" x14ac:dyDescent="0.15">
      <c r="B4041" s="258" t="s">
        <v>7468</v>
      </c>
      <c r="C4041" s="261" t="s">
        <v>4</v>
      </c>
      <c r="D4041" s="261" t="s">
        <v>2018</v>
      </c>
      <c r="E4041" s="3">
        <v>11</v>
      </c>
      <c r="F4041" s="3">
        <f>8/6</f>
        <v>1.3333333333333333</v>
      </c>
      <c r="G4041" s="4">
        <v>44686</v>
      </c>
    </row>
    <row r="4042" spans="2:7" x14ac:dyDescent="0.15">
      <c r="B4042" s="258" t="s">
        <v>7469</v>
      </c>
      <c r="C4042" s="261" t="s">
        <v>4</v>
      </c>
      <c r="D4042" s="261" t="s">
        <v>2018</v>
      </c>
      <c r="E4042" s="3">
        <v>11</v>
      </c>
      <c r="F4042" s="3">
        <f>8/6</f>
        <v>1.3333333333333333</v>
      </c>
      <c r="G4042" s="4">
        <v>44686</v>
      </c>
    </row>
    <row r="4043" spans="2:7" x14ac:dyDescent="0.15">
      <c r="B4043" s="258" t="s">
        <v>7470</v>
      </c>
      <c r="C4043" s="261" t="s">
        <v>4</v>
      </c>
      <c r="D4043" s="261" t="s">
        <v>2018</v>
      </c>
      <c r="E4043" s="3">
        <v>11</v>
      </c>
      <c r="F4043" s="3">
        <f>8/6</f>
        <v>1.3333333333333333</v>
      </c>
      <c r="G4043" s="4">
        <v>44686</v>
      </c>
    </row>
    <row r="4044" spans="2:7" x14ac:dyDescent="0.15">
      <c r="B4044" s="258" t="s">
        <v>7471</v>
      </c>
      <c r="C4044" s="261" t="s">
        <v>4</v>
      </c>
      <c r="D4044" s="261" t="s">
        <v>2018</v>
      </c>
      <c r="E4044" s="3">
        <v>11</v>
      </c>
      <c r="F4044" s="3">
        <f>8/6</f>
        <v>1.3333333333333333</v>
      </c>
      <c r="G4044" s="4">
        <v>44686</v>
      </c>
    </row>
    <row r="4045" spans="2:7" x14ac:dyDescent="0.15">
      <c r="B4045" s="258" t="s">
        <v>7479</v>
      </c>
      <c r="C4045" s="261" t="s">
        <v>7</v>
      </c>
      <c r="D4045" s="261" t="s">
        <v>2017</v>
      </c>
      <c r="E4045" s="3">
        <v>20</v>
      </c>
      <c r="F4045" s="3">
        <v>8</v>
      </c>
      <c r="G4045" s="4">
        <v>45001</v>
      </c>
    </row>
    <row r="4046" spans="2:7" x14ac:dyDescent="0.15">
      <c r="B4046" s="258" t="s">
        <v>7480</v>
      </c>
      <c r="C4046" s="261" t="s">
        <v>7</v>
      </c>
      <c r="D4046" s="261" t="s">
        <v>2017</v>
      </c>
      <c r="E4046" s="3">
        <v>20</v>
      </c>
      <c r="F4046" s="3">
        <f>12/3</f>
        <v>4</v>
      </c>
      <c r="G4046" s="4">
        <v>45001</v>
      </c>
    </row>
    <row r="4047" spans="2:7" x14ac:dyDescent="0.15">
      <c r="B4047" s="258"/>
      <c r="C4047" s="261"/>
      <c r="D4047" s="261"/>
      <c r="E4047" s="3">
        <v>9</v>
      </c>
      <c r="F4047" s="3">
        <v>3</v>
      </c>
      <c r="G4047" s="4">
        <v>44152</v>
      </c>
    </row>
    <row r="4048" spans="2:7" x14ac:dyDescent="0.15">
      <c r="B4048" s="258" t="s">
        <v>7481</v>
      </c>
      <c r="C4048" s="261" t="s">
        <v>7</v>
      </c>
      <c r="D4048" s="261" t="s">
        <v>2017</v>
      </c>
      <c r="E4048" s="3">
        <v>20</v>
      </c>
      <c r="F4048" s="3">
        <f>12/3</f>
        <v>4</v>
      </c>
      <c r="G4048" s="4">
        <v>45001</v>
      </c>
    </row>
    <row r="4049" spans="2:7" x14ac:dyDescent="0.15">
      <c r="C4049" s="261" t="s">
        <v>5</v>
      </c>
      <c r="D4049" s="261" t="s">
        <v>2017</v>
      </c>
      <c r="E4049" s="3">
        <v>9</v>
      </c>
      <c r="F4049" s="3">
        <v>3</v>
      </c>
      <c r="G4049" s="4">
        <v>44152</v>
      </c>
    </row>
    <row r="4050" spans="2:7" x14ac:dyDescent="0.15">
      <c r="B4050" s="258" t="s">
        <v>7487</v>
      </c>
      <c r="C4050" s="261" t="s">
        <v>7486</v>
      </c>
      <c r="D4050" s="261" t="s">
        <v>2017</v>
      </c>
      <c r="E4050" s="3">
        <v>0.8</v>
      </c>
      <c r="F4050" s="3">
        <v>0.8</v>
      </c>
      <c r="G4050" s="4">
        <v>40332</v>
      </c>
    </row>
    <row r="4051" spans="2:7" x14ac:dyDescent="0.15">
      <c r="B4051" s="258" t="s">
        <v>7497</v>
      </c>
      <c r="C4051" s="261" t="s">
        <v>5</v>
      </c>
      <c r="D4051" s="261" t="s">
        <v>2015</v>
      </c>
      <c r="E4051" s="3">
        <v>9</v>
      </c>
      <c r="F4051" s="3">
        <f>6/4</f>
        <v>1.5</v>
      </c>
      <c r="G4051" s="4">
        <v>44540</v>
      </c>
    </row>
    <row r="4052" spans="2:7" x14ac:dyDescent="0.15">
      <c r="B4052" s="258"/>
      <c r="C4052" s="261" t="s">
        <v>4</v>
      </c>
      <c r="D4052" s="261" t="s">
        <v>2015</v>
      </c>
      <c r="E4052" s="3">
        <v>2.5</v>
      </c>
      <c r="F4052" s="3">
        <f>1.5/3</f>
        <v>0.5</v>
      </c>
      <c r="G4052" s="4">
        <v>44296</v>
      </c>
    </row>
    <row r="4053" spans="2:7" x14ac:dyDescent="0.15">
      <c r="B4053" s="258" t="s">
        <v>7499</v>
      </c>
      <c r="C4053" s="261" t="s">
        <v>4</v>
      </c>
      <c r="D4053" s="261" t="s">
        <v>2015</v>
      </c>
      <c r="E4053" s="3">
        <v>2.5</v>
      </c>
      <c r="F4053" s="3">
        <f>1.5/3</f>
        <v>0.5</v>
      </c>
      <c r="G4053" s="4">
        <v>44296</v>
      </c>
    </row>
    <row r="4054" spans="2:7" x14ac:dyDescent="0.15">
      <c r="B4054" s="258" t="s">
        <v>7500</v>
      </c>
      <c r="C4054" s="261" t="s">
        <v>4</v>
      </c>
      <c r="D4054" s="261" t="s">
        <v>2015</v>
      </c>
      <c r="E4054" s="3">
        <v>2.5</v>
      </c>
      <c r="F4054" s="3">
        <f>1.5/3</f>
        <v>0.5</v>
      </c>
      <c r="G4054" s="4">
        <v>44296</v>
      </c>
    </row>
    <row r="4055" spans="2:7" x14ac:dyDescent="0.15">
      <c r="B4055" s="258" t="s">
        <v>7508</v>
      </c>
      <c r="C4055" s="261" t="s">
        <v>5</v>
      </c>
      <c r="D4055" s="261" t="s">
        <v>7502</v>
      </c>
      <c r="E4055" s="3">
        <v>10</v>
      </c>
      <c r="F4055" s="3">
        <v>2</v>
      </c>
      <c r="G4055" s="4">
        <v>44384</v>
      </c>
    </row>
    <row r="4056" spans="2:7" x14ac:dyDescent="0.15">
      <c r="B4056" s="258" t="s">
        <v>7517</v>
      </c>
      <c r="C4056" s="261" t="s">
        <v>5</v>
      </c>
      <c r="D4056" s="261" t="s">
        <v>2013</v>
      </c>
      <c r="E4056" s="3">
        <v>11.5</v>
      </c>
      <c r="F4056" s="3">
        <f>6/3</f>
        <v>2</v>
      </c>
      <c r="G4056" s="4">
        <v>45063</v>
      </c>
    </row>
    <row r="4057" spans="2:7" x14ac:dyDescent="0.15">
      <c r="B4057" s="258"/>
      <c r="C4057" s="261" t="s">
        <v>4</v>
      </c>
      <c r="D4057" s="261" t="s">
        <v>2013</v>
      </c>
      <c r="E4057" s="3">
        <v>7</v>
      </c>
      <c r="F4057" s="3">
        <v>3.5</v>
      </c>
      <c r="G4057" s="4">
        <v>44216</v>
      </c>
    </row>
    <row r="4058" spans="2:7" x14ac:dyDescent="0.15">
      <c r="B4058" s="258" t="s">
        <v>7518</v>
      </c>
      <c r="C4058" s="261" t="s">
        <v>5</v>
      </c>
      <c r="D4058" s="261" t="s">
        <v>2013</v>
      </c>
      <c r="E4058" s="3">
        <v>11.5</v>
      </c>
      <c r="F4058" s="3">
        <f>6/3</f>
        <v>2</v>
      </c>
      <c r="G4058" s="4">
        <v>45063</v>
      </c>
    </row>
    <row r="4059" spans="2:7" x14ac:dyDescent="0.15">
      <c r="B4059" s="258" t="s">
        <v>7646</v>
      </c>
      <c r="C4059" s="261" t="s">
        <v>5</v>
      </c>
      <c r="D4059" s="261" t="s">
        <v>2012</v>
      </c>
      <c r="E4059" s="3">
        <v>10</v>
      </c>
      <c r="F4059" s="3">
        <v>5</v>
      </c>
      <c r="G4059" s="4">
        <v>44307</v>
      </c>
    </row>
    <row r="4060" spans="2:7" x14ac:dyDescent="0.15">
      <c r="B4060" s="258" t="s">
        <v>7647</v>
      </c>
      <c r="C4060" s="261" t="s">
        <v>5</v>
      </c>
      <c r="D4060" s="261" t="s">
        <v>2012</v>
      </c>
      <c r="E4060" s="3">
        <v>10</v>
      </c>
      <c r="F4060" s="3">
        <v>5</v>
      </c>
      <c r="G4060" s="4">
        <v>44307</v>
      </c>
    </row>
    <row r="4061" spans="2:7" x14ac:dyDescent="0.15">
      <c r="B4061" s="258" t="s">
        <v>3309</v>
      </c>
      <c r="C4061" s="261" t="s">
        <v>4</v>
      </c>
      <c r="D4061" s="261" t="s">
        <v>7657</v>
      </c>
      <c r="E4061" s="3">
        <v>2.2000000000000002</v>
      </c>
      <c r="F4061" s="3">
        <v>0.6</v>
      </c>
      <c r="G4061" s="4">
        <v>43544</v>
      </c>
    </row>
    <row r="4062" spans="2:7" x14ac:dyDescent="0.15">
      <c r="B4062" s="258" t="s">
        <v>7663</v>
      </c>
      <c r="C4062" s="261" t="s">
        <v>4</v>
      </c>
      <c r="D4062" s="261" t="s">
        <v>7657</v>
      </c>
      <c r="E4062" s="3">
        <v>2.2000000000000002</v>
      </c>
      <c r="F4062" s="3">
        <v>1</v>
      </c>
      <c r="G4062" s="4">
        <v>43544</v>
      </c>
    </row>
    <row r="4063" spans="2:7" x14ac:dyDescent="0.15">
      <c r="B4063" s="258" t="s">
        <v>7693</v>
      </c>
      <c r="C4063" s="261" t="s">
        <v>4</v>
      </c>
      <c r="D4063" s="261" t="s">
        <v>2009</v>
      </c>
      <c r="E4063" s="3">
        <v>7</v>
      </c>
      <c r="F4063" s="3">
        <v>5</v>
      </c>
      <c r="G4063" s="4">
        <v>44763</v>
      </c>
    </row>
    <row r="4064" spans="2:7" x14ac:dyDescent="0.15">
      <c r="B4064" s="258"/>
      <c r="C4064" s="261" t="s">
        <v>278</v>
      </c>
      <c r="D4064" s="261" t="s">
        <v>2009</v>
      </c>
      <c r="E4064" s="3">
        <v>2</v>
      </c>
      <c r="F4064" s="3">
        <f>1/4</f>
        <v>0.25</v>
      </c>
      <c r="G4064" s="4">
        <v>44181</v>
      </c>
    </row>
    <row r="4065" spans="2:7" x14ac:dyDescent="0.15">
      <c r="B4065" s="258" t="s">
        <v>7694</v>
      </c>
      <c r="C4065" s="261" t="s">
        <v>4</v>
      </c>
      <c r="D4065" s="261" t="s">
        <v>2009</v>
      </c>
      <c r="E4065" s="3">
        <v>7</v>
      </c>
      <c r="F4065" s="3">
        <v>1</v>
      </c>
      <c r="G4065" s="4">
        <v>44763</v>
      </c>
    </row>
    <row r="4066" spans="2:7" x14ac:dyDescent="0.15">
      <c r="C4066" s="261" t="s">
        <v>278</v>
      </c>
      <c r="D4066" s="261" t="s">
        <v>2009</v>
      </c>
      <c r="E4066" s="3">
        <v>2</v>
      </c>
      <c r="F4066" s="3">
        <v>0.5</v>
      </c>
      <c r="G4066" s="4">
        <v>44181</v>
      </c>
    </row>
    <row r="4067" spans="2:7" x14ac:dyDescent="0.15">
      <c r="B4067" s="258" t="s">
        <v>7699</v>
      </c>
      <c r="C4067" s="261" t="s">
        <v>278</v>
      </c>
      <c r="D4067" s="261" t="s">
        <v>2009</v>
      </c>
      <c r="E4067" s="3">
        <v>2</v>
      </c>
      <c r="F4067" s="3">
        <v>0.5</v>
      </c>
      <c r="G4067" s="4">
        <v>44181</v>
      </c>
    </row>
  </sheetData>
  <sortState xmlns:xlrd2="http://schemas.microsoft.com/office/spreadsheetml/2017/richdata2" ref="A3408:S4020">
    <sortCondition descending="1" ref="F3408:F4020"/>
  </sortState>
  <hyperlinks>
    <hyperlink ref="J333" r:id="rId1" xr:uid="{A05CDC27-286A-B746-9B5F-5B1E1B4E390C}"/>
    <hyperlink ref="J334" r:id="rId2" xr:uid="{38B35697-7F24-EC4B-A57C-DE1DBE79B23B}"/>
    <hyperlink ref="A1" location="Main!A1" display="Main" xr:uid="{F31EBBCB-3380-9C42-888A-851D8D1133D4}"/>
    <hyperlink ref="J375" r:id="rId3" xr:uid="{20A0E90C-AB43-B241-92A1-573A60CE2643}"/>
    <hyperlink ref="J376" r:id="rId4" xr:uid="{26AFB997-BCB0-BB40-9711-DDC7E3D45A27}"/>
    <hyperlink ref="J377" r:id="rId5" xr:uid="{4AF1ABAC-9AA9-4348-AAD5-005639523D12}"/>
    <hyperlink ref="J378" r:id="rId6" xr:uid="{53E22B75-910D-FA42-B4F9-5BBFBBACD597}"/>
    <hyperlink ref="J379" r:id="rId7" xr:uid="{ECD11D25-991A-1547-9A89-905FC9B1101F}"/>
    <hyperlink ref="J380" r:id="rId8" xr:uid="{5B43E000-5FB6-054A-9C7A-188CFB49418C}"/>
    <hyperlink ref="J381" r:id="rId9" xr:uid="{B3933FA6-C805-CD4C-B140-692B5686FBB8}"/>
    <hyperlink ref="J382" r:id="rId10" xr:uid="{68FC11E9-3503-C64A-9749-7F0682609AF6}"/>
    <hyperlink ref="J383"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9"/>
  <sheetViews>
    <sheetView topLeftCell="A46" zoomScale="160" zoomScaleNormal="160" workbookViewId="0">
      <selection activeCell="C68" sqref="C68"/>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1167</v>
      </c>
    </row>
    <row r="2" spans="1:3" x14ac:dyDescent="0.15">
      <c r="A2" s="25"/>
      <c r="B2" s="117" t="s">
        <v>5287</v>
      </c>
      <c r="C2" s="117" t="s">
        <v>5293</v>
      </c>
    </row>
    <row r="3" spans="1:3" x14ac:dyDescent="0.15">
      <c r="A3" s="25"/>
      <c r="B3" s="117" t="s">
        <v>4901</v>
      </c>
      <c r="C3" s="117" t="s">
        <v>4902</v>
      </c>
    </row>
    <row r="4" spans="1:3" x14ac:dyDescent="0.15">
      <c r="A4" s="25"/>
      <c r="B4" s="191" t="s">
        <v>6726</v>
      </c>
      <c r="C4" s="191" t="s">
        <v>6727</v>
      </c>
    </row>
    <row r="5" spans="1:3" x14ac:dyDescent="0.15">
      <c r="A5" s="25"/>
      <c r="B5" s="117" t="s">
        <v>4271</v>
      </c>
      <c r="C5" s="117" t="s">
        <v>5980</v>
      </c>
    </row>
    <row r="6" spans="1:3" x14ac:dyDescent="0.15">
      <c r="A6" s="25"/>
      <c r="B6" s="117" t="s">
        <v>4451</v>
      </c>
      <c r="C6" s="117" t="s">
        <v>5257</v>
      </c>
    </row>
    <row r="7" spans="1:3" x14ac:dyDescent="0.15">
      <c r="A7" s="25"/>
      <c r="B7" s="117" t="s">
        <v>4447</v>
      </c>
    </row>
    <row r="8" spans="1:3" x14ac:dyDescent="0.15">
      <c r="A8" s="25"/>
      <c r="B8" s="117" t="s">
        <v>4295</v>
      </c>
      <c r="C8" s="117" t="s">
        <v>4296</v>
      </c>
    </row>
    <row r="9" spans="1:3" x14ac:dyDescent="0.15">
      <c r="B9" s="117" t="s">
        <v>4197</v>
      </c>
      <c r="C9" s="117" t="s">
        <v>4196</v>
      </c>
    </row>
    <row r="10" spans="1:3" x14ac:dyDescent="0.15">
      <c r="B10" s="117" t="s">
        <v>5242</v>
      </c>
      <c r="C10" s="117" t="s">
        <v>5243</v>
      </c>
    </row>
    <row r="11" spans="1:3" x14ac:dyDescent="0.15">
      <c r="B11" s="117" t="s">
        <v>4195</v>
      </c>
      <c r="C11" s="117" t="s">
        <v>4194</v>
      </c>
    </row>
    <row r="12" spans="1:3" x14ac:dyDescent="0.15">
      <c r="B12" s="117" t="s">
        <v>4466</v>
      </c>
      <c r="C12" s="117" t="s">
        <v>4486</v>
      </c>
    </row>
    <row r="13" spans="1:3" x14ac:dyDescent="0.15">
      <c r="B13" s="117" t="s">
        <v>4191</v>
      </c>
      <c r="C13" s="117" t="s">
        <v>4190</v>
      </c>
    </row>
    <row r="14" spans="1:3" x14ac:dyDescent="0.15">
      <c r="B14" s="117" t="s">
        <v>4877</v>
      </c>
    </row>
    <row r="15" spans="1:3" x14ac:dyDescent="0.15">
      <c r="B15" s="117" t="s">
        <v>4187</v>
      </c>
      <c r="C15" s="117" t="s">
        <v>4186</v>
      </c>
    </row>
    <row r="16" spans="1:3" x14ac:dyDescent="0.15">
      <c r="B16" s="117" t="s">
        <v>4684</v>
      </c>
      <c r="C16" s="117" t="s">
        <v>6152</v>
      </c>
    </row>
    <row r="17" spans="2:3" x14ac:dyDescent="0.15">
      <c r="B17" s="117" t="s">
        <v>4445</v>
      </c>
    </row>
    <row r="18" spans="2:3" x14ac:dyDescent="0.15">
      <c r="B18" s="117" t="s">
        <v>6392</v>
      </c>
    </row>
    <row r="19" spans="2:3" x14ac:dyDescent="0.15">
      <c r="B19" s="117" t="s">
        <v>4686</v>
      </c>
      <c r="C19" s="117" t="s">
        <v>4434</v>
      </c>
    </row>
    <row r="20" spans="2:3" x14ac:dyDescent="0.15">
      <c r="B20" s="117" t="s">
        <v>4181</v>
      </c>
      <c r="C20" s="117" t="s">
        <v>4180</v>
      </c>
    </row>
    <row r="21" spans="2:3" x14ac:dyDescent="0.15">
      <c r="B21" s="117" t="s">
        <v>4178</v>
      </c>
    </row>
    <row r="22" spans="2:3" x14ac:dyDescent="0.15">
      <c r="B22" s="117" t="s">
        <v>5306</v>
      </c>
    </row>
    <row r="23" spans="2:3" x14ac:dyDescent="0.15">
      <c r="B23" s="117" t="s">
        <v>4175</v>
      </c>
      <c r="C23" s="117" t="s">
        <v>5425</v>
      </c>
    </row>
    <row r="24" spans="2:3" x14ac:dyDescent="0.15">
      <c r="B24" s="117" t="s">
        <v>4267</v>
      </c>
    </row>
    <row r="25" spans="2:3" x14ac:dyDescent="0.15">
      <c r="B25" s="117" t="s">
        <v>4172</v>
      </c>
      <c r="C25" s="117" t="s">
        <v>4171</v>
      </c>
    </row>
    <row r="26" spans="2:3" x14ac:dyDescent="0.15">
      <c r="B26" s="117" t="s">
        <v>4293</v>
      </c>
      <c r="C26" s="117" t="s">
        <v>4294</v>
      </c>
    </row>
    <row r="27" spans="2:3" x14ac:dyDescent="0.15">
      <c r="B27" s="117" t="s">
        <v>4170</v>
      </c>
      <c r="C27" s="117" t="s">
        <v>4024</v>
      </c>
    </row>
    <row r="28" spans="2:3" x14ac:dyDescent="0.15">
      <c r="B28" s="222" t="s">
        <v>7274</v>
      </c>
      <c r="C28" s="222" t="s">
        <v>7275</v>
      </c>
    </row>
    <row r="29" spans="2:3" x14ac:dyDescent="0.15">
      <c r="B29" s="117" t="s">
        <v>6174</v>
      </c>
      <c r="C29" s="117" t="s">
        <v>6175</v>
      </c>
    </row>
    <row r="30" spans="2:3" x14ac:dyDescent="0.15">
      <c r="B30" s="117" t="s">
        <v>5999</v>
      </c>
      <c r="C30" s="117" t="s">
        <v>6000</v>
      </c>
    </row>
    <row r="31" spans="2:3" x14ac:dyDescent="0.15">
      <c r="B31" s="117" t="s">
        <v>6156</v>
      </c>
      <c r="C31" s="117" t="s">
        <v>6155</v>
      </c>
    </row>
    <row r="32" spans="2:3" x14ac:dyDescent="0.15">
      <c r="B32" s="117" t="s">
        <v>4167</v>
      </c>
      <c r="C32" s="117" t="s">
        <v>4024</v>
      </c>
    </row>
    <row r="33" spans="2:3" x14ac:dyDescent="0.15">
      <c r="B33" s="117" t="s">
        <v>4165</v>
      </c>
      <c r="C33" s="117" t="s">
        <v>4164</v>
      </c>
    </row>
    <row r="34" spans="2:3" x14ac:dyDescent="0.15">
      <c r="B34" s="117" t="s">
        <v>6157</v>
      </c>
    </row>
    <row r="35" spans="2:3" x14ac:dyDescent="0.15">
      <c r="B35" s="117" t="s">
        <v>6158</v>
      </c>
      <c r="C35" s="117" t="s">
        <v>6155</v>
      </c>
    </row>
    <row r="36" spans="2:3" x14ac:dyDescent="0.15">
      <c r="B36" s="191" t="s">
        <v>7033</v>
      </c>
      <c r="C36" s="191" t="s">
        <v>7034</v>
      </c>
    </row>
    <row r="37" spans="2:3" x14ac:dyDescent="0.15">
      <c r="B37" s="117" t="s">
        <v>4162</v>
      </c>
      <c r="C37" s="117" t="s">
        <v>4683</v>
      </c>
    </row>
    <row r="38" spans="2:3" x14ac:dyDescent="0.15">
      <c r="B38" s="117" t="s">
        <v>3873</v>
      </c>
      <c r="C38" s="117" t="s">
        <v>6391</v>
      </c>
    </row>
    <row r="39" spans="2:3" x14ac:dyDescent="0.15">
      <c r="B39" s="191" t="s">
        <v>7039</v>
      </c>
      <c r="C39" s="191" t="s">
        <v>7040</v>
      </c>
    </row>
    <row r="40" spans="2:3" x14ac:dyDescent="0.15">
      <c r="B40" s="117" t="s">
        <v>5365</v>
      </c>
      <c r="C40" s="117" t="s">
        <v>5366</v>
      </c>
    </row>
    <row r="41" spans="2:3" x14ac:dyDescent="0.15">
      <c r="B41" s="191" t="s">
        <v>6799</v>
      </c>
      <c r="C41" s="191" t="s">
        <v>6000</v>
      </c>
    </row>
    <row r="42" spans="2:3" x14ac:dyDescent="0.15">
      <c r="B42" s="191" t="s">
        <v>7167</v>
      </c>
      <c r="C42" s="191" t="s">
        <v>7168</v>
      </c>
    </row>
    <row r="43" spans="2:3" x14ac:dyDescent="0.15">
      <c r="B43" s="117" t="s">
        <v>5984</v>
      </c>
      <c r="C43" s="117" t="s">
        <v>5985</v>
      </c>
    </row>
    <row r="44" spans="2:3" x14ac:dyDescent="0.15">
      <c r="B44" s="117" t="s">
        <v>4160</v>
      </c>
    </row>
    <row r="45" spans="2:3" x14ac:dyDescent="0.15">
      <c r="B45" s="117" t="s">
        <v>4157</v>
      </c>
      <c r="C45" s="117" t="s">
        <v>4156</v>
      </c>
    </row>
    <row r="46" spans="2:3" x14ac:dyDescent="0.15">
      <c r="B46" s="117" t="s">
        <v>5986</v>
      </c>
      <c r="C46" s="117" t="s">
        <v>5987</v>
      </c>
    </row>
    <row r="47" spans="2:3" x14ac:dyDescent="0.15">
      <c r="B47" s="117" t="s">
        <v>4439</v>
      </c>
    </row>
    <row r="48" spans="2:3" x14ac:dyDescent="0.15">
      <c r="B48" s="117" t="s">
        <v>6170</v>
      </c>
    </row>
    <row r="49" spans="2:3" x14ac:dyDescent="0.15">
      <c r="B49" s="117" t="s">
        <v>5302</v>
      </c>
    </row>
    <row r="50" spans="2:3" x14ac:dyDescent="0.15">
      <c r="B50" s="44" t="s">
        <v>4154</v>
      </c>
      <c r="C50" s="117" t="s">
        <v>6164</v>
      </c>
    </row>
    <row r="51" spans="2:3" x14ac:dyDescent="0.15">
      <c r="B51" s="117" t="s">
        <v>4153</v>
      </c>
      <c r="C51" s="117" t="s">
        <v>4152</v>
      </c>
    </row>
    <row r="52" spans="2:3" x14ac:dyDescent="0.15">
      <c r="B52" s="117" t="s">
        <v>4150</v>
      </c>
    </row>
    <row r="53" spans="2:3" x14ac:dyDescent="0.15">
      <c r="B53" s="117" t="s">
        <v>4476</v>
      </c>
      <c r="C53" s="117" t="s">
        <v>4937</v>
      </c>
    </row>
    <row r="54" spans="2:3" x14ac:dyDescent="0.15">
      <c r="B54" s="117" t="s">
        <v>4147</v>
      </c>
      <c r="C54" s="117" t="s">
        <v>4146</v>
      </c>
    </row>
    <row r="55" spans="2:3" x14ac:dyDescent="0.15">
      <c r="B55" s="117" t="s">
        <v>4468</v>
      </c>
    </row>
    <row r="56" spans="2:3" x14ac:dyDescent="0.15">
      <c r="B56" s="117" t="s">
        <v>4266</v>
      </c>
    </row>
    <row r="57" spans="2:3" x14ac:dyDescent="0.15">
      <c r="B57" s="222" t="s">
        <v>7276</v>
      </c>
      <c r="C57" s="222" t="s">
        <v>7277</v>
      </c>
    </row>
    <row r="58" spans="2:3" x14ac:dyDescent="0.15">
      <c r="B58" s="117" t="s">
        <v>6389</v>
      </c>
      <c r="C58" s="117" t="s">
        <v>6390</v>
      </c>
    </row>
    <row r="59" spans="2:3" x14ac:dyDescent="0.15">
      <c r="B59" s="117" t="s">
        <v>4143</v>
      </c>
      <c r="C59" s="117" t="s">
        <v>4485</v>
      </c>
    </row>
    <row r="60" spans="2:3" x14ac:dyDescent="0.15">
      <c r="B60" s="117" t="s">
        <v>4473</v>
      </c>
      <c r="C60" s="117" t="s">
        <v>4474</v>
      </c>
    </row>
    <row r="61" spans="2:3" x14ac:dyDescent="0.15">
      <c r="B61" s="117" t="s">
        <v>4140</v>
      </c>
      <c r="C61" s="117" t="s">
        <v>4139</v>
      </c>
    </row>
    <row r="62" spans="2:3" x14ac:dyDescent="0.15">
      <c r="B62" s="117" t="s">
        <v>5991</v>
      </c>
      <c r="C62" s="117" t="s">
        <v>5992</v>
      </c>
    </row>
    <row r="63" spans="2:3" x14ac:dyDescent="0.15">
      <c r="B63" s="117" t="s">
        <v>4488</v>
      </c>
      <c r="C63" s="117" t="s">
        <v>4489</v>
      </c>
    </row>
    <row r="64" spans="2:3" x14ac:dyDescent="0.15">
      <c r="B64" s="117" t="s">
        <v>4137</v>
      </c>
    </row>
    <row r="65" spans="2:3" x14ac:dyDescent="0.15">
      <c r="B65" s="222" t="s">
        <v>7201</v>
      </c>
      <c r="C65" s="222" t="s">
        <v>7202</v>
      </c>
    </row>
    <row r="66" spans="2:3" x14ac:dyDescent="0.15">
      <c r="B66" s="117" t="s">
        <v>4135</v>
      </c>
      <c r="C66" s="117" t="s">
        <v>4134</v>
      </c>
    </row>
    <row r="67" spans="2:3" x14ac:dyDescent="0.15">
      <c r="B67" s="117" t="s">
        <v>5320</v>
      </c>
      <c r="C67" s="117" t="s">
        <v>5321</v>
      </c>
    </row>
    <row r="68" spans="2:3" x14ac:dyDescent="0.15">
      <c r="B68" s="117" t="s">
        <v>4278</v>
      </c>
      <c r="C68" s="265" t="s">
        <v>7737</v>
      </c>
    </row>
    <row r="69" spans="2:3" x14ac:dyDescent="0.15">
      <c r="B69" s="117" t="s">
        <v>5248</v>
      </c>
      <c r="C69" s="117" t="s">
        <v>5245</v>
      </c>
    </row>
    <row r="70" spans="2:3" x14ac:dyDescent="0.15">
      <c r="B70" s="191" t="s">
        <v>7041</v>
      </c>
      <c r="C70" s="191" t="s">
        <v>7042</v>
      </c>
    </row>
    <row r="71" spans="2:3" x14ac:dyDescent="0.15">
      <c r="B71" s="117" t="s">
        <v>5997</v>
      </c>
      <c r="C71" s="117" t="s">
        <v>5998</v>
      </c>
    </row>
    <row r="72" spans="2:3" x14ac:dyDescent="0.15">
      <c r="B72" s="117" t="s">
        <v>5988</v>
      </c>
      <c r="C72" s="117" t="s">
        <v>5989</v>
      </c>
    </row>
    <row r="73" spans="2:3" x14ac:dyDescent="0.15">
      <c r="B73" s="117" t="s">
        <v>5303</v>
      </c>
    </row>
    <row r="74" spans="2:3" x14ac:dyDescent="0.15">
      <c r="B74" s="117" t="s">
        <v>1252</v>
      </c>
      <c r="C74" s="117" t="s">
        <v>4281</v>
      </c>
    </row>
    <row r="75" spans="2:3" x14ac:dyDescent="0.15">
      <c r="B75" s="117" t="s">
        <v>4446</v>
      </c>
      <c r="C75" s="117" t="s">
        <v>6153</v>
      </c>
    </row>
    <row r="76" spans="2:3" x14ac:dyDescent="0.15">
      <c r="B76" s="191" t="s">
        <v>7186</v>
      </c>
      <c r="C76" s="191" t="s">
        <v>7187</v>
      </c>
    </row>
    <row r="77" spans="2:3" x14ac:dyDescent="0.15">
      <c r="B77" s="117" t="s">
        <v>4458</v>
      </c>
    </row>
    <row r="78" spans="2:3" x14ac:dyDescent="0.15">
      <c r="B78" s="117" t="s">
        <v>5430</v>
      </c>
    </row>
    <row r="79" spans="2:3" x14ac:dyDescent="0.15">
      <c r="B79" s="117" t="s">
        <v>4131</v>
      </c>
      <c r="C79" s="117" t="s">
        <v>4130</v>
      </c>
    </row>
    <row r="80" spans="2:3" x14ac:dyDescent="0.15">
      <c r="B80" s="191" t="s">
        <v>7190</v>
      </c>
      <c r="C80" s="191" t="s">
        <v>7191</v>
      </c>
    </row>
    <row r="81" spans="2:3" x14ac:dyDescent="0.15">
      <c r="B81" s="117" t="s">
        <v>4127</v>
      </c>
      <c r="C81" s="117" t="s">
        <v>4484</v>
      </c>
    </row>
    <row r="82" spans="2:3" x14ac:dyDescent="0.15">
      <c r="B82" s="117" t="s">
        <v>4444</v>
      </c>
    </row>
    <row r="83" spans="2:3" x14ac:dyDescent="0.15">
      <c r="B83" s="175" t="s">
        <v>6651</v>
      </c>
      <c r="C83" s="175" t="s">
        <v>6652</v>
      </c>
    </row>
    <row r="84" spans="2:3" x14ac:dyDescent="0.15">
      <c r="B84" s="117" t="s">
        <v>5314</v>
      </c>
      <c r="C84" s="117" t="s">
        <v>5315</v>
      </c>
    </row>
    <row r="85" spans="2:3" x14ac:dyDescent="0.15">
      <c r="B85" s="117" t="s">
        <v>4124</v>
      </c>
      <c r="C85" s="117" t="s">
        <v>4123</v>
      </c>
    </row>
    <row r="86" spans="2:3" x14ac:dyDescent="0.15">
      <c r="B86" s="222" t="s">
        <v>7210</v>
      </c>
      <c r="C86" s="222" t="s">
        <v>7211</v>
      </c>
    </row>
    <row r="87" spans="2:3" x14ac:dyDescent="0.15">
      <c r="B87" s="191" t="s">
        <v>7054</v>
      </c>
      <c r="C87" s="191" t="s">
        <v>7055</v>
      </c>
    </row>
    <row r="88" spans="2:3" x14ac:dyDescent="0.15">
      <c r="B88" s="117" t="s">
        <v>5238</v>
      </c>
      <c r="C88" s="117" t="s">
        <v>5239</v>
      </c>
    </row>
    <row r="89" spans="2:3" x14ac:dyDescent="0.15">
      <c r="B89" s="117" t="s">
        <v>5310</v>
      </c>
      <c r="C89" s="117" t="s">
        <v>5311</v>
      </c>
    </row>
    <row r="90" spans="2:3" x14ac:dyDescent="0.15">
      <c r="B90" s="117" t="s">
        <v>5255</v>
      </c>
      <c r="C90" s="117" t="s">
        <v>5289</v>
      </c>
    </row>
    <row r="91" spans="2:3" x14ac:dyDescent="0.15">
      <c r="B91" s="117" t="s">
        <v>5256</v>
      </c>
    </row>
    <row r="92" spans="2:3" x14ac:dyDescent="0.15">
      <c r="B92" s="117" t="s">
        <v>5322</v>
      </c>
      <c r="C92" s="117" t="s">
        <v>5323</v>
      </c>
    </row>
    <row r="93" spans="2:3" x14ac:dyDescent="0.15">
      <c r="B93" s="117" t="s">
        <v>4481</v>
      </c>
      <c r="C93" s="117" t="s">
        <v>4482</v>
      </c>
    </row>
    <row r="94" spans="2:3" x14ac:dyDescent="0.15">
      <c r="B94" s="117" t="s">
        <v>4122</v>
      </c>
      <c r="C94" s="117" t="s">
        <v>4680</v>
      </c>
    </row>
    <row r="95" spans="2:3" x14ac:dyDescent="0.15">
      <c r="B95" s="265" t="s">
        <v>7735</v>
      </c>
    </row>
    <row r="96" spans="2:3" x14ac:dyDescent="0.15">
      <c r="B96" s="222" t="s">
        <v>7257</v>
      </c>
      <c r="C96" s="222" t="s">
        <v>7258</v>
      </c>
    </row>
    <row r="97" spans="2:3" x14ac:dyDescent="0.15">
      <c r="B97" s="117" t="s">
        <v>4121</v>
      </c>
    </row>
    <row r="98" spans="2:3" x14ac:dyDescent="0.15">
      <c r="B98" s="265" t="s">
        <v>7715</v>
      </c>
      <c r="C98" s="265" t="s">
        <v>7716</v>
      </c>
    </row>
    <row r="99" spans="2:3" x14ac:dyDescent="0.15">
      <c r="B99" s="117" t="s">
        <v>4682</v>
      </c>
    </row>
    <row r="100" spans="2:3" x14ac:dyDescent="0.15">
      <c r="B100" s="222" t="s">
        <v>7253</v>
      </c>
      <c r="C100" s="222" t="s">
        <v>7254</v>
      </c>
    </row>
    <row r="101" spans="2:3" x14ac:dyDescent="0.15">
      <c r="B101" s="117" t="s">
        <v>4470</v>
      </c>
    </row>
    <row r="102" spans="2:3" x14ac:dyDescent="0.15">
      <c r="B102" s="117" t="s">
        <v>4120</v>
      </c>
    </row>
    <row r="103" spans="2:3" x14ac:dyDescent="0.15">
      <c r="B103" s="117" t="s">
        <v>4119</v>
      </c>
      <c r="C103" s="117" t="s">
        <v>4118</v>
      </c>
    </row>
    <row r="104" spans="2:3" x14ac:dyDescent="0.15">
      <c r="B104" s="117" t="s">
        <v>4283</v>
      </c>
      <c r="C104" s="117" t="s">
        <v>4284</v>
      </c>
    </row>
    <row r="105" spans="2:3" x14ac:dyDescent="0.15">
      <c r="B105" s="117" t="s">
        <v>4117</v>
      </c>
      <c r="C105" s="117" t="s">
        <v>4116</v>
      </c>
    </row>
    <row r="106" spans="2:3" x14ac:dyDescent="0.15">
      <c r="B106" s="117" t="s">
        <v>5309</v>
      </c>
    </row>
    <row r="107" spans="2:3" x14ac:dyDescent="0.15">
      <c r="B107" s="117" t="s">
        <v>4115</v>
      </c>
      <c r="C107" s="117" t="s">
        <v>5426</v>
      </c>
    </row>
    <row r="108" spans="2:3" x14ac:dyDescent="0.15">
      <c r="B108" s="117" t="s">
        <v>4114</v>
      </c>
    </row>
    <row r="109" spans="2:3" x14ac:dyDescent="0.15">
      <c r="B109" s="117" t="s">
        <v>4113</v>
      </c>
      <c r="C109" s="117" t="s">
        <v>4112</v>
      </c>
    </row>
    <row r="110" spans="2:3" x14ac:dyDescent="0.15">
      <c r="B110" s="191" t="s">
        <v>7169</v>
      </c>
      <c r="C110" s="191" t="s">
        <v>7170</v>
      </c>
    </row>
    <row r="111" spans="2:3" x14ac:dyDescent="0.15">
      <c r="B111" s="117" t="s">
        <v>4111</v>
      </c>
      <c r="C111" s="117" t="s">
        <v>4110</v>
      </c>
    </row>
    <row r="112" spans="2:3" x14ac:dyDescent="0.15">
      <c r="B112" s="117" t="s">
        <v>4109</v>
      </c>
      <c r="C112" s="117" t="s">
        <v>4108</v>
      </c>
    </row>
    <row r="113" spans="2:3" x14ac:dyDescent="0.15">
      <c r="B113" s="117" t="s">
        <v>4107</v>
      </c>
      <c r="C113" s="117" t="s">
        <v>4685</v>
      </c>
    </row>
    <row r="114" spans="2:3" x14ac:dyDescent="0.15">
      <c r="B114" s="117" t="s">
        <v>5714</v>
      </c>
      <c r="C114" s="117" t="s">
        <v>5990</v>
      </c>
    </row>
    <row r="115" spans="2:3" x14ac:dyDescent="0.15">
      <c r="B115" s="117" t="s">
        <v>5307</v>
      </c>
    </row>
    <row r="116" spans="2:3" x14ac:dyDescent="0.15">
      <c r="B116" s="117" t="s">
        <v>4106</v>
      </c>
      <c r="C116" s="117" t="s">
        <v>4105</v>
      </c>
    </row>
    <row r="117" spans="2:3" x14ac:dyDescent="0.15">
      <c r="B117" s="117" t="s">
        <v>5299</v>
      </c>
    </row>
    <row r="118" spans="2:3" x14ac:dyDescent="0.15">
      <c r="B118" s="117" t="s">
        <v>4104</v>
      </c>
      <c r="C118" s="117" t="s">
        <v>4103</v>
      </c>
    </row>
    <row r="119" spans="2:3" x14ac:dyDescent="0.15">
      <c r="B119" s="117" t="s">
        <v>4469</v>
      </c>
    </row>
    <row r="120" spans="2:3" x14ac:dyDescent="0.15">
      <c r="B120" s="222" t="s">
        <v>7208</v>
      </c>
      <c r="C120" s="222" t="s">
        <v>7209</v>
      </c>
    </row>
    <row r="121" spans="2:3" x14ac:dyDescent="0.15">
      <c r="B121" s="117" t="s">
        <v>4897</v>
      </c>
      <c r="C121" s="117" t="s">
        <v>4898</v>
      </c>
    </row>
    <row r="122" spans="2:3" x14ac:dyDescent="0.15">
      <c r="B122" s="222" t="s">
        <v>7264</v>
      </c>
    </row>
    <row r="123" spans="2:3" x14ac:dyDescent="0.15">
      <c r="B123" s="117" t="s">
        <v>5247</v>
      </c>
      <c r="C123" s="117" t="s">
        <v>5291</v>
      </c>
    </row>
    <row r="124" spans="2:3" x14ac:dyDescent="0.15">
      <c r="B124" s="117" t="s">
        <v>5260</v>
      </c>
      <c r="C124" s="117" t="s">
        <v>5261</v>
      </c>
    </row>
    <row r="125" spans="2:3" x14ac:dyDescent="0.15">
      <c r="B125" s="117" t="s">
        <v>927</v>
      </c>
      <c r="C125" s="117" t="s">
        <v>4463</v>
      </c>
    </row>
    <row r="126" spans="2:3" x14ac:dyDescent="0.15">
      <c r="B126" s="117" t="s">
        <v>4906</v>
      </c>
      <c r="C126" s="117" t="s">
        <v>6169</v>
      </c>
    </row>
    <row r="127" spans="2:3" x14ac:dyDescent="0.15">
      <c r="B127" s="117" t="s">
        <v>4462</v>
      </c>
      <c r="C127" s="191" t="s">
        <v>7043</v>
      </c>
    </row>
    <row r="128" spans="2:3" x14ac:dyDescent="0.15">
      <c r="B128" s="191" t="s">
        <v>7047</v>
      </c>
      <c r="C128" s="191" t="s">
        <v>7048</v>
      </c>
    </row>
    <row r="129" spans="2:3" x14ac:dyDescent="0.15">
      <c r="B129" s="117" t="s">
        <v>6165</v>
      </c>
      <c r="C129" s="117" t="s">
        <v>6176</v>
      </c>
    </row>
    <row r="130" spans="2:3" x14ac:dyDescent="0.15">
      <c r="B130" s="117" t="s">
        <v>4275</v>
      </c>
      <c r="C130" s="117" t="s">
        <v>6177</v>
      </c>
    </row>
    <row r="131" spans="2:3" x14ac:dyDescent="0.15">
      <c r="B131" s="175" t="s">
        <v>6657</v>
      </c>
      <c r="C131" s="175" t="s">
        <v>6658</v>
      </c>
    </row>
    <row r="132" spans="2:3" x14ac:dyDescent="0.15">
      <c r="B132" s="117" t="s">
        <v>6366</v>
      </c>
      <c r="C132" s="117" t="s">
        <v>6367</v>
      </c>
    </row>
    <row r="133" spans="2:3" x14ac:dyDescent="0.15">
      <c r="B133" s="117" t="s">
        <v>5232</v>
      </c>
      <c r="C133" s="117" t="s">
        <v>5233</v>
      </c>
    </row>
    <row r="134" spans="2:3" x14ac:dyDescent="0.15">
      <c r="B134" s="117" t="s">
        <v>4475</v>
      </c>
      <c r="C134" s="222" t="s">
        <v>7207</v>
      </c>
    </row>
    <row r="135" spans="2:3" x14ac:dyDescent="0.15">
      <c r="B135" s="191" t="s">
        <v>7163</v>
      </c>
      <c r="C135" s="191" t="s">
        <v>7164</v>
      </c>
    </row>
    <row r="136" spans="2:3" x14ac:dyDescent="0.15">
      <c r="B136" s="117" t="s">
        <v>6161</v>
      </c>
    </row>
    <row r="137" spans="2:3" x14ac:dyDescent="0.15">
      <c r="B137" s="117" t="s">
        <v>6162</v>
      </c>
      <c r="C137" s="117" t="s">
        <v>6163</v>
      </c>
    </row>
    <row r="138" spans="2:3" x14ac:dyDescent="0.15">
      <c r="B138" s="117" t="s">
        <v>4265</v>
      </c>
    </row>
    <row r="139" spans="2:3" x14ac:dyDescent="0.15">
      <c r="B139" s="265" t="s">
        <v>7736</v>
      </c>
    </row>
    <row r="140" spans="2:3" x14ac:dyDescent="0.15">
      <c r="B140" s="117" t="s">
        <v>5316</v>
      </c>
      <c r="C140" s="117" t="s">
        <v>5317</v>
      </c>
    </row>
    <row r="141" spans="2:3" x14ac:dyDescent="0.15">
      <c r="B141" s="117" t="s">
        <v>4102</v>
      </c>
      <c r="C141" s="117" t="s">
        <v>4101</v>
      </c>
    </row>
    <row r="142" spans="2:3" x14ac:dyDescent="0.15">
      <c r="B142" s="117" t="s">
        <v>4100</v>
      </c>
    </row>
    <row r="143" spans="2:3" x14ac:dyDescent="0.15">
      <c r="B143" s="117" t="s">
        <v>4099</v>
      </c>
      <c r="C143" s="117" t="s">
        <v>4098</v>
      </c>
    </row>
    <row r="144" spans="2:3" x14ac:dyDescent="0.15">
      <c r="B144" s="117" t="s">
        <v>4459</v>
      </c>
    </row>
    <row r="145" spans="2:3" x14ac:dyDescent="0.15">
      <c r="B145" s="117" t="s">
        <v>4452</v>
      </c>
    </row>
    <row r="146" spans="2:3" x14ac:dyDescent="0.15">
      <c r="B146" s="117" t="s">
        <v>4097</v>
      </c>
      <c r="C146" s="117" t="s">
        <v>4096</v>
      </c>
    </row>
    <row r="147" spans="2:3" x14ac:dyDescent="0.15">
      <c r="B147" s="117" t="s">
        <v>4095</v>
      </c>
      <c r="C147" s="117" t="s">
        <v>4094</v>
      </c>
    </row>
    <row r="148" spans="2:3" x14ac:dyDescent="0.15">
      <c r="B148" s="117" t="s">
        <v>5250</v>
      </c>
    </row>
    <row r="149" spans="2:3" x14ac:dyDescent="0.15">
      <c r="B149" s="117" t="s">
        <v>4093</v>
      </c>
      <c r="C149" s="117" t="s">
        <v>6059</v>
      </c>
    </row>
    <row r="150" spans="2:3" x14ac:dyDescent="0.15">
      <c r="B150" s="229" t="s">
        <v>7380</v>
      </c>
      <c r="C150" s="229" t="s">
        <v>7381</v>
      </c>
    </row>
    <row r="151" spans="2:3" x14ac:dyDescent="0.15">
      <c r="B151" s="117" t="s">
        <v>5251</v>
      </c>
    </row>
    <row r="152" spans="2:3" x14ac:dyDescent="0.15">
      <c r="B152" s="117" t="s">
        <v>6171</v>
      </c>
    </row>
    <row r="153" spans="2:3" x14ac:dyDescent="0.15">
      <c r="B153" s="222" t="s">
        <v>7280</v>
      </c>
      <c r="C153" s="222" t="s">
        <v>7281</v>
      </c>
    </row>
    <row r="154" spans="2:3" x14ac:dyDescent="0.15">
      <c r="B154" s="222" t="s">
        <v>7382</v>
      </c>
      <c r="C154" s="222" t="s">
        <v>7383</v>
      </c>
    </row>
    <row r="155" spans="2:3" x14ac:dyDescent="0.15">
      <c r="B155" s="222" t="s">
        <v>7384</v>
      </c>
      <c r="C155" s="222" t="s">
        <v>7385</v>
      </c>
    </row>
    <row r="156" spans="2:3" x14ac:dyDescent="0.15">
      <c r="B156" s="117" t="s">
        <v>4092</v>
      </c>
      <c r="C156" s="117" t="s">
        <v>4944</v>
      </c>
    </row>
    <row r="157" spans="2:3" x14ac:dyDescent="0.15">
      <c r="B157" s="117" t="s">
        <v>4091</v>
      </c>
    </row>
    <row r="158" spans="2:3" x14ac:dyDescent="0.15">
      <c r="B158" s="117" t="s">
        <v>4090</v>
      </c>
      <c r="C158" s="117" t="s">
        <v>4460</v>
      </c>
    </row>
    <row r="159" spans="2:3" x14ac:dyDescent="0.15">
      <c r="B159" s="44" t="s">
        <v>4089</v>
      </c>
      <c r="C159" s="44" t="s">
        <v>4088</v>
      </c>
    </row>
    <row r="160" spans="2:3" x14ac:dyDescent="0.15">
      <c r="B160" s="44" t="s">
        <v>5252</v>
      </c>
      <c r="C160" s="44"/>
    </row>
    <row r="161" spans="2:3" x14ac:dyDescent="0.15">
      <c r="B161" s="117" t="s">
        <v>4477</v>
      </c>
      <c r="C161" s="117" t="s">
        <v>4478</v>
      </c>
    </row>
    <row r="162" spans="2:3" x14ac:dyDescent="0.15">
      <c r="B162" s="117" t="s">
        <v>4279</v>
      </c>
      <c r="C162" s="117" t="s">
        <v>4280</v>
      </c>
    </row>
    <row r="163" spans="2:3" x14ac:dyDescent="0.15">
      <c r="B163" s="117" t="s">
        <v>4450</v>
      </c>
    </row>
    <row r="164" spans="2:3" x14ac:dyDescent="0.15">
      <c r="B164" s="117" t="s">
        <v>4087</v>
      </c>
      <c r="C164" s="117" t="s">
        <v>4086</v>
      </c>
    </row>
    <row r="165" spans="2:3" x14ac:dyDescent="0.15">
      <c r="B165" s="117" t="s">
        <v>4085</v>
      </c>
      <c r="C165" s="117" t="s">
        <v>4084</v>
      </c>
    </row>
    <row r="166" spans="2:3" x14ac:dyDescent="0.15">
      <c r="B166" s="191" t="s">
        <v>7188</v>
      </c>
      <c r="C166" s="191" t="s">
        <v>7189</v>
      </c>
    </row>
    <row r="167" spans="2:3" x14ac:dyDescent="0.15">
      <c r="B167" s="117" t="s">
        <v>4083</v>
      </c>
      <c r="C167" s="117" t="s">
        <v>4082</v>
      </c>
    </row>
    <row r="168" spans="2:3" x14ac:dyDescent="0.15">
      <c r="B168" s="222" t="s">
        <v>7259</v>
      </c>
      <c r="C168" s="222" t="s">
        <v>7260</v>
      </c>
    </row>
    <row r="169" spans="2:3" x14ac:dyDescent="0.15">
      <c r="B169" s="175" t="s">
        <v>6655</v>
      </c>
      <c r="C169" s="175" t="s">
        <v>6656</v>
      </c>
    </row>
    <row r="170" spans="2:3" x14ac:dyDescent="0.15">
      <c r="B170" s="117" t="s">
        <v>4285</v>
      </c>
      <c r="C170" s="117" t="s">
        <v>4286</v>
      </c>
    </row>
    <row r="171" spans="2:3" x14ac:dyDescent="0.15">
      <c r="B171" s="117" t="s">
        <v>4081</v>
      </c>
      <c r="C171" s="117" t="s">
        <v>6023</v>
      </c>
    </row>
    <row r="172" spans="2:3" x14ac:dyDescent="0.15">
      <c r="B172" s="117" t="s">
        <v>5285</v>
      </c>
      <c r="C172" s="117" t="s">
        <v>5292</v>
      </c>
    </row>
    <row r="173" spans="2:3" x14ac:dyDescent="0.15">
      <c r="B173" s="117" t="s">
        <v>5257</v>
      </c>
      <c r="C173" s="117" t="s">
        <v>5290</v>
      </c>
    </row>
    <row r="174" spans="2:3" x14ac:dyDescent="0.15">
      <c r="B174" s="117" t="s">
        <v>4080</v>
      </c>
      <c r="C174" s="117" t="s">
        <v>4075</v>
      </c>
    </row>
    <row r="175" spans="2:3" x14ac:dyDescent="0.15">
      <c r="B175" s="117" t="s">
        <v>4273</v>
      </c>
      <c r="C175" s="117" t="s">
        <v>4274</v>
      </c>
    </row>
    <row r="176" spans="2:3" x14ac:dyDescent="0.15">
      <c r="B176" s="117" t="s">
        <v>6178</v>
      </c>
    </row>
    <row r="177" spans="2:3" x14ac:dyDescent="0.15">
      <c r="B177" s="117" t="s">
        <v>5327</v>
      </c>
      <c r="C177" s="117" t="s">
        <v>5328</v>
      </c>
    </row>
    <row r="178" spans="2:3" x14ac:dyDescent="0.15">
      <c r="B178" s="117" t="s">
        <v>4442</v>
      </c>
    </row>
    <row r="179" spans="2:3" x14ac:dyDescent="0.15">
      <c r="B179" s="117" t="s">
        <v>4079</v>
      </c>
      <c r="C179" s="117" t="s">
        <v>4078</v>
      </c>
    </row>
    <row r="180" spans="2:3" x14ac:dyDescent="0.15">
      <c r="B180" s="117" t="s">
        <v>5427</v>
      </c>
      <c r="C180" s="117" t="s">
        <v>5428</v>
      </c>
    </row>
    <row r="181" spans="2:3" x14ac:dyDescent="0.15">
      <c r="B181" s="117" t="s">
        <v>4077</v>
      </c>
      <c r="C181" s="117" t="s">
        <v>4024</v>
      </c>
    </row>
    <row r="182" spans="2:3" x14ac:dyDescent="0.15">
      <c r="B182" s="117" t="s">
        <v>6001</v>
      </c>
      <c r="C182" s="117" t="s">
        <v>6000</v>
      </c>
    </row>
    <row r="183" spans="2:3" x14ac:dyDescent="0.15">
      <c r="B183" s="222" t="s">
        <v>7212</v>
      </c>
      <c r="C183" s="222" t="s">
        <v>7213</v>
      </c>
    </row>
    <row r="184" spans="2:3" x14ac:dyDescent="0.15">
      <c r="B184" s="117" t="s">
        <v>4479</v>
      </c>
      <c r="C184" s="117" t="s">
        <v>4480</v>
      </c>
    </row>
    <row r="185" spans="2:3" x14ac:dyDescent="0.15">
      <c r="B185" s="117" t="s">
        <v>4076</v>
      </c>
      <c r="C185" s="117" t="s">
        <v>4075</v>
      </c>
    </row>
    <row r="186" spans="2:3" x14ac:dyDescent="0.15">
      <c r="B186" s="191" t="s">
        <v>7161</v>
      </c>
      <c r="C186" s="191" t="s">
        <v>7162</v>
      </c>
    </row>
    <row r="187" spans="2:3" x14ac:dyDescent="0.15">
      <c r="B187" s="117" t="s">
        <v>4074</v>
      </c>
      <c r="C187" s="117" t="s">
        <v>4073</v>
      </c>
    </row>
    <row r="188" spans="2:3" x14ac:dyDescent="0.15">
      <c r="B188" s="117" t="s">
        <v>4270</v>
      </c>
      <c r="C188" s="117" t="s">
        <v>5983</v>
      </c>
    </row>
    <row r="189" spans="2:3" x14ac:dyDescent="0.15">
      <c r="B189" s="117" t="s">
        <v>4269</v>
      </c>
    </row>
    <row r="190" spans="2:3" x14ac:dyDescent="0.15">
      <c r="B190" s="117" t="s">
        <v>4072</v>
      </c>
    </row>
    <row r="191" spans="2:3" x14ac:dyDescent="0.15">
      <c r="B191" s="117" t="s">
        <v>4071</v>
      </c>
    </row>
    <row r="192" spans="2:3" x14ac:dyDescent="0.15">
      <c r="B192" s="117" t="s">
        <v>4070</v>
      </c>
      <c r="C192" s="117" t="s">
        <v>4069</v>
      </c>
    </row>
    <row r="193" spans="2:3" x14ac:dyDescent="0.15">
      <c r="B193" s="117" t="s">
        <v>4440</v>
      </c>
    </row>
    <row r="194" spans="2:3" x14ac:dyDescent="0.15">
      <c r="B194" s="117" t="s">
        <v>6154</v>
      </c>
      <c r="C194" s="117" t="s">
        <v>6155</v>
      </c>
    </row>
    <row r="195" spans="2:3" x14ac:dyDescent="0.15">
      <c r="B195" s="117" t="s">
        <v>4436</v>
      </c>
    </row>
    <row r="196" spans="2:3" x14ac:dyDescent="0.15">
      <c r="B196" s="117" t="s">
        <v>4268</v>
      </c>
    </row>
    <row r="197" spans="2:3" x14ac:dyDescent="0.15">
      <c r="B197" s="191" t="s">
        <v>7052</v>
      </c>
      <c r="C197" s="191" t="s">
        <v>7053</v>
      </c>
    </row>
    <row r="198" spans="2:3" x14ac:dyDescent="0.15">
      <c r="B198" s="117" t="s">
        <v>4291</v>
      </c>
      <c r="C198" s="117" t="s">
        <v>4292</v>
      </c>
    </row>
    <row r="199" spans="2:3" x14ac:dyDescent="0.15">
      <c r="B199" s="117" t="s">
        <v>4438</v>
      </c>
    </row>
    <row r="200" spans="2:3" x14ac:dyDescent="0.15">
      <c r="B200" s="117" t="s">
        <v>6166</v>
      </c>
      <c r="C200" s="191" t="s">
        <v>7056</v>
      </c>
    </row>
    <row r="201" spans="2:3" x14ac:dyDescent="0.15">
      <c r="B201" s="175" t="s">
        <v>6650</v>
      </c>
      <c r="C201" s="191" t="s">
        <v>7059</v>
      </c>
    </row>
    <row r="202" spans="2:3" x14ac:dyDescent="0.15">
      <c r="B202" s="117" t="s">
        <v>4263</v>
      </c>
      <c r="C202" s="117" t="s">
        <v>4264</v>
      </c>
    </row>
    <row r="203" spans="2:3" x14ac:dyDescent="0.15">
      <c r="B203" s="117" t="s">
        <v>4472</v>
      </c>
    </row>
    <row r="204" spans="2:3" x14ac:dyDescent="0.15">
      <c r="B204" s="117" t="s">
        <v>4435</v>
      </c>
    </row>
    <row r="205" spans="2:3" x14ac:dyDescent="0.15">
      <c r="B205" s="265" t="s">
        <v>7717</v>
      </c>
      <c r="C205" s="265" t="s">
        <v>7718</v>
      </c>
    </row>
    <row r="206" spans="2:3" x14ac:dyDescent="0.15">
      <c r="B206" s="117" t="s">
        <v>6167</v>
      </c>
      <c r="C206" s="117" t="s">
        <v>6168</v>
      </c>
    </row>
    <row r="207" spans="2:3" x14ac:dyDescent="0.15">
      <c r="B207" s="191" t="s">
        <v>6728</v>
      </c>
      <c r="C207" s="191" t="s">
        <v>6729</v>
      </c>
    </row>
    <row r="208" spans="2:3" x14ac:dyDescent="0.15">
      <c r="B208" s="117" t="s">
        <v>4068</v>
      </c>
      <c r="C208" s="117" t="s">
        <v>4067</v>
      </c>
    </row>
    <row r="209" spans="2:3" x14ac:dyDescent="0.15">
      <c r="B209" s="117" t="s">
        <v>4437</v>
      </c>
    </row>
    <row r="210" spans="2:3" x14ac:dyDescent="0.15">
      <c r="B210" s="117" t="s">
        <v>4940</v>
      </c>
      <c r="C210" s="117" t="s">
        <v>4941</v>
      </c>
    </row>
    <row r="211" spans="2:3" x14ac:dyDescent="0.15">
      <c r="B211" s="117" t="s">
        <v>7386</v>
      </c>
      <c r="C211" s="117" t="s">
        <v>7387</v>
      </c>
    </row>
    <row r="212" spans="2:3" x14ac:dyDescent="0.15">
      <c r="B212" s="117" t="s">
        <v>7388</v>
      </c>
      <c r="C212" s="117" t="s">
        <v>7389</v>
      </c>
    </row>
    <row r="213" spans="2:3" x14ac:dyDescent="0.15">
      <c r="B213" s="265" t="s">
        <v>7619</v>
      </c>
    </row>
    <row r="214" spans="2:3" x14ac:dyDescent="0.15">
      <c r="B214" s="222" t="s">
        <v>7251</v>
      </c>
      <c r="C214" s="222" t="s">
        <v>7252</v>
      </c>
    </row>
    <row r="215" spans="2:3" x14ac:dyDescent="0.15">
      <c r="B215" s="117" t="s">
        <v>4899</v>
      </c>
      <c r="C215" s="117" t="s">
        <v>4900</v>
      </c>
    </row>
    <row r="216" spans="2:3" x14ac:dyDescent="0.15">
      <c r="B216" s="117" t="s">
        <v>4453</v>
      </c>
    </row>
    <row r="217" spans="2:3" x14ac:dyDescent="0.15">
      <c r="B217" s="117" t="s">
        <v>4066</v>
      </c>
      <c r="C217" s="117" t="s">
        <v>4938</v>
      </c>
    </row>
    <row r="218" spans="2:3" x14ac:dyDescent="0.15">
      <c r="B218" s="117" t="s">
        <v>4464</v>
      </c>
      <c r="C218" s="117" t="s">
        <v>4465</v>
      </c>
    </row>
    <row r="219" spans="2:3" x14ac:dyDescent="0.15">
      <c r="B219" s="117" t="s">
        <v>4454</v>
      </c>
    </row>
    <row r="220" spans="2:3" x14ac:dyDescent="0.15">
      <c r="B220" s="222" t="s">
        <v>7250</v>
      </c>
    </row>
    <row r="221" spans="2:3" x14ac:dyDescent="0.15">
      <c r="B221" s="117" t="s">
        <v>5258</v>
      </c>
      <c r="C221" s="117" t="s">
        <v>5259</v>
      </c>
    </row>
    <row r="222" spans="2:3" x14ac:dyDescent="0.15">
      <c r="B222" s="117" t="s">
        <v>4467</v>
      </c>
      <c r="C222" s="117" t="s">
        <v>4939</v>
      </c>
    </row>
    <row r="223" spans="2:3" x14ac:dyDescent="0.15">
      <c r="B223" s="117" t="s">
        <v>5995</v>
      </c>
      <c r="C223" s="117" t="s">
        <v>5994</v>
      </c>
    </row>
    <row r="224" spans="2:3" x14ac:dyDescent="0.15">
      <c r="B224" s="117" t="s">
        <v>5996</v>
      </c>
      <c r="C224" s="191" t="s">
        <v>6798</v>
      </c>
    </row>
    <row r="225" spans="2:3" x14ac:dyDescent="0.15">
      <c r="B225" s="222" t="s">
        <v>7255</v>
      </c>
      <c r="C225" s="222" t="s">
        <v>7256</v>
      </c>
    </row>
    <row r="226" spans="2:3" x14ac:dyDescent="0.15">
      <c r="B226" s="191" t="s">
        <v>7037</v>
      </c>
      <c r="C226" s="191" t="s">
        <v>7038</v>
      </c>
    </row>
    <row r="227" spans="2:3" x14ac:dyDescent="0.15">
      <c r="B227" s="117" t="s">
        <v>4908</v>
      </c>
      <c r="C227" s="117" t="s">
        <v>6173</v>
      </c>
    </row>
    <row r="228" spans="2:3" x14ac:dyDescent="0.15">
      <c r="B228" s="117" t="s">
        <v>4065</v>
      </c>
      <c r="C228" s="117" t="s">
        <v>4461</v>
      </c>
    </row>
    <row r="229" spans="2:3" x14ac:dyDescent="0.15">
      <c r="B229" s="117" t="s">
        <v>4457</v>
      </c>
    </row>
    <row r="230" spans="2:3" x14ac:dyDescent="0.15">
      <c r="B230" s="191" t="s">
        <v>7035</v>
      </c>
      <c r="C230" s="191" t="s">
        <v>7036</v>
      </c>
    </row>
    <row r="231" spans="2:3" x14ac:dyDescent="0.15">
      <c r="B231" s="117" t="s">
        <v>4433</v>
      </c>
      <c r="C231" s="117" t="s">
        <v>4434</v>
      </c>
    </row>
    <row r="232" spans="2:3" x14ac:dyDescent="0.15">
      <c r="B232" s="117" t="s">
        <v>4907</v>
      </c>
      <c r="C232" s="117" t="s">
        <v>6172</v>
      </c>
    </row>
    <row r="233" spans="2:3" x14ac:dyDescent="0.15">
      <c r="B233" s="117" t="s">
        <v>4483</v>
      </c>
      <c r="C233" s="117" t="s">
        <v>4487</v>
      </c>
    </row>
    <row r="234" spans="2:3" x14ac:dyDescent="0.15">
      <c r="B234" s="117" t="s">
        <v>4064</v>
      </c>
      <c r="C234" s="117" t="s">
        <v>4063</v>
      </c>
    </row>
    <row r="235" spans="2:3" x14ac:dyDescent="0.15">
      <c r="B235" s="117" t="s">
        <v>5312</v>
      </c>
      <c r="C235" s="117" t="s">
        <v>5313</v>
      </c>
    </row>
    <row r="236" spans="2:3" x14ac:dyDescent="0.15">
      <c r="B236" s="117" t="s">
        <v>4062</v>
      </c>
    </row>
    <row r="237" spans="2:3" x14ac:dyDescent="0.15">
      <c r="B237" s="117" t="s">
        <v>4061</v>
      </c>
      <c r="C237" s="265" t="s">
        <v>7700</v>
      </c>
    </row>
    <row r="238" spans="2:3" x14ac:dyDescent="0.15">
      <c r="B238" s="117" t="s">
        <v>4060</v>
      </c>
      <c r="C238" s="117" t="s">
        <v>4024</v>
      </c>
    </row>
    <row r="239" spans="2:3" x14ac:dyDescent="0.15">
      <c r="B239" s="117" t="s">
        <v>5324</v>
      </c>
      <c r="C239" s="117" t="s">
        <v>5325</v>
      </c>
    </row>
    <row r="240" spans="2:3" x14ac:dyDescent="0.15">
      <c r="B240" s="117" t="s">
        <v>7392</v>
      </c>
      <c r="C240" s="117" t="s">
        <v>7393</v>
      </c>
    </row>
    <row r="241" spans="2:3" x14ac:dyDescent="0.15">
      <c r="B241" s="117" t="s">
        <v>4059</v>
      </c>
      <c r="C241" s="117" t="s">
        <v>4058</v>
      </c>
    </row>
    <row r="242" spans="2:3" x14ac:dyDescent="0.15">
      <c r="B242" s="117" t="s">
        <v>4057</v>
      </c>
    </row>
    <row r="243" spans="2:3" x14ac:dyDescent="0.15">
      <c r="B243" s="117" t="s">
        <v>4441</v>
      </c>
      <c r="C243" s="191" t="s">
        <v>7049</v>
      </c>
    </row>
    <row r="244" spans="2:3" x14ac:dyDescent="0.15">
      <c r="B244" s="117" t="s">
        <v>4056</v>
      </c>
      <c r="C244" s="117" t="s">
        <v>4055</v>
      </c>
    </row>
    <row r="245" spans="2:3" x14ac:dyDescent="0.15">
      <c r="B245" s="117" t="s">
        <v>4054</v>
      </c>
      <c r="C245" s="117" t="s">
        <v>4053</v>
      </c>
    </row>
    <row r="246" spans="2:3" x14ac:dyDescent="0.15">
      <c r="B246" s="117" t="s">
        <v>4455</v>
      </c>
      <c r="C246" s="117" t="s">
        <v>4456</v>
      </c>
    </row>
    <row r="247" spans="2:3" x14ac:dyDescent="0.15">
      <c r="B247" s="117" t="s">
        <v>7390</v>
      </c>
      <c r="C247" s="117" t="s">
        <v>7391</v>
      </c>
    </row>
    <row r="248" spans="2:3" x14ac:dyDescent="0.15">
      <c r="B248" s="117" t="s">
        <v>4902</v>
      </c>
      <c r="C248" s="117" t="s">
        <v>4903</v>
      </c>
    </row>
    <row r="249" spans="2:3" x14ac:dyDescent="0.15">
      <c r="B249" s="117" t="s">
        <v>5230</v>
      </c>
      <c r="C249" s="117" t="s">
        <v>5231</v>
      </c>
    </row>
    <row r="250" spans="2:3" x14ac:dyDescent="0.15">
      <c r="B250" s="117" t="s">
        <v>4052</v>
      </c>
      <c r="C250" s="117" t="s">
        <v>4051</v>
      </c>
    </row>
    <row r="251" spans="2:3" x14ac:dyDescent="0.15">
      <c r="B251" s="229" t="s">
        <v>7418</v>
      </c>
      <c r="C251" s="229" t="s">
        <v>7419</v>
      </c>
    </row>
    <row r="252" spans="2:3" x14ac:dyDescent="0.15">
      <c r="B252" s="222" t="s">
        <v>7267</v>
      </c>
      <c r="C252" s="222" t="s">
        <v>7268</v>
      </c>
    </row>
    <row r="253" spans="2:3" x14ac:dyDescent="0.15">
      <c r="B253" s="117" t="s">
        <v>4909</v>
      </c>
      <c r="C253" s="117" t="s">
        <v>4910</v>
      </c>
    </row>
    <row r="254" spans="2:3" x14ac:dyDescent="0.15">
      <c r="B254" s="117" t="s">
        <v>5240</v>
      </c>
      <c r="C254" s="117" t="s">
        <v>5241</v>
      </c>
    </row>
    <row r="255" spans="2:3" x14ac:dyDescent="0.15">
      <c r="B255" s="117" t="s">
        <v>4443</v>
      </c>
    </row>
    <row r="256" spans="2:3" x14ac:dyDescent="0.15">
      <c r="B256" s="44" t="s">
        <v>4050</v>
      </c>
      <c r="C256" s="44" t="s">
        <v>5429</v>
      </c>
    </row>
    <row r="257" spans="2:3" x14ac:dyDescent="0.15">
      <c r="B257" s="191" t="s">
        <v>7046</v>
      </c>
      <c r="C257" s="191" t="s">
        <v>4089</v>
      </c>
    </row>
    <row r="258" spans="2:3" x14ac:dyDescent="0.15">
      <c r="B258" s="175" t="s">
        <v>6653</v>
      </c>
      <c r="C258" s="175" t="s">
        <v>6654</v>
      </c>
    </row>
    <row r="259" spans="2:3" x14ac:dyDescent="0.15">
      <c r="B259" s="117" t="s">
        <v>4049</v>
      </c>
      <c r="C259" s="44"/>
    </row>
    <row r="260" spans="2:3" x14ac:dyDescent="0.15">
      <c r="B260" s="222" t="s">
        <v>7272</v>
      </c>
      <c r="C260" s="222" t="s">
        <v>7273</v>
      </c>
    </row>
    <row r="261" spans="2:3" x14ac:dyDescent="0.15">
      <c r="B261" s="117" t="s">
        <v>4048</v>
      </c>
      <c r="C261" s="117" t="s">
        <v>5979</v>
      </c>
    </row>
    <row r="262" spans="2:3" x14ac:dyDescent="0.15">
      <c r="B262" s="191" t="s">
        <v>7031</v>
      </c>
      <c r="C262" s="191" t="s">
        <v>7032</v>
      </c>
    </row>
    <row r="263" spans="2:3" x14ac:dyDescent="0.15">
      <c r="B263" s="117" t="s">
        <v>4047</v>
      </c>
      <c r="C263" s="117" t="s">
        <v>4046</v>
      </c>
    </row>
    <row r="264" spans="2:3" x14ac:dyDescent="0.15">
      <c r="B264" s="117" t="s">
        <v>4045</v>
      </c>
      <c r="C264" s="117" t="s">
        <v>4044</v>
      </c>
    </row>
    <row r="265" spans="2:3" x14ac:dyDescent="0.15">
      <c r="B265" s="117" t="s">
        <v>6150</v>
      </c>
      <c r="C265" s="117" t="s">
        <v>6151</v>
      </c>
    </row>
    <row r="266" spans="2:3" x14ac:dyDescent="0.15">
      <c r="B266" s="117" t="s">
        <v>4043</v>
      </c>
    </row>
    <row r="267" spans="2:3" x14ac:dyDescent="0.15">
      <c r="B267" s="117" t="s">
        <v>5318</v>
      </c>
      <c r="C267" s="117" t="s">
        <v>5319</v>
      </c>
    </row>
    <row r="268" spans="2:3" x14ac:dyDescent="0.15">
      <c r="B268" s="117" t="s">
        <v>4042</v>
      </c>
      <c r="C268" s="117" t="s">
        <v>4041</v>
      </c>
    </row>
    <row r="269" spans="2:3" x14ac:dyDescent="0.15">
      <c r="B269" s="117" t="s">
        <v>4276</v>
      </c>
      <c r="C269" s="117" t="s">
        <v>4277</v>
      </c>
    </row>
    <row r="270" spans="2:3" x14ac:dyDescent="0.15">
      <c r="B270" s="117" t="s">
        <v>4040</v>
      </c>
      <c r="C270" s="117" t="s">
        <v>4039</v>
      </c>
    </row>
    <row r="271" spans="2:3" x14ac:dyDescent="0.15">
      <c r="B271" s="117" t="s">
        <v>4038</v>
      </c>
      <c r="C271" s="117" t="s">
        <v>4037</v>
      </c>
    </row>
    <row r="272" spans="2:3" x14ac:dyDescent="0.15">
      <c r="B272" s="117" t="s">
        <v>5253</v>
      </c>
      <c r="C272" s="117" t="s">
        <v>5288</v>
      </c>
    </row>
    <row r="273" spans="2:16" x14ac:dyDescent="0.15">
      <c r="B273" s="117" t="s">
        <v>4471</v>
      </c>
    </row>
    <row r="274" spans="2:16" x14ac:dyDescent="0.15">
      <c r="B274" s="117" t="s">
        <v>4448</v>
      </c>
      <c r="P274" s="116"/>
    </row>
    <row r="275" spans="2:16" x14ac:dyDescent="0.15">
      <c r="B275" s="117" t="s">
        <v>4449</v>
      </c>
    </row>
    <row r="276" spans="2:16" x14ac:dyDescent="0.15">
      <c r="B276" s="117" t="s">
        <v>4904</v>
      </c>
      <c r="C276" s="117" t="s">
        <v>4905</v>
      </c>
    </row>
    <row r="277" spans="2:16" x14ac:dyDescent="0.15">
      <c r="B277" s="117" t="s">
        <v>5993</v>
      </c>
      <c r="C277" s="191" t="s">
        <v>6800</v>
      </c>
    </row>
    <row r="278" spans="2:16" x14ac:dyDescent="0.15">
      <c r="B278" s="117" t="s">
        <v>4272</v>
      </c>
    </row>
    <row r="279" spans="2:16" x14ac:dyDescent="0.15">
      <c r="B279" s="117" t="s">
        <v>4036</v>
      </c>
      <c r="C279" s="117" t="s">
        <v>4035</v>
      </c>
    </row>
    <row r="280" spans="2:16" x14ac:dyDescent="0.15">
      <c r="B280" s="191" t="s">
        <v>6801</v>
      </c>
      <c r="C280" s="191" t="s">
        <v>6802</v>
      </c>
    </row>
    <row r="281" spans="2:16" x14ac:dyDescent="0.15">
      <c r="B281" s="191" t="s">
        <v>7165</v>
      </c>
      <c r="C281" s="191" t="s">
        <v>7166</v>
      </c>
    </row>
    <row r="282" spans="2:16" x14ac:dyDescent="0.15">
      <c r="B282" s="191" t="s">
        <v>7050</v>
      </c>
      <c r="C282" s="191" t="s">
        <v>7051</v>
      </c>
    </row>
    <row r="283" spans="2:16" x14ac:dyDescent="0.15">
      <c r="B283" s="117" t="s">
        <v>4034</v>
      </c>
    </row>
    <row r="284" spans="2:16" x14ac:dyDescent="0.15">
      <c r="B284" s="117" t="s">
        <v>4033</v>
      </c>
      <c r="C284" s="117" t="s">
        <v>4032</v>
      </c>
    </row>
    <row r="285" spans="2:16" x14ac:dyDescent="0.15">
      <c r="B285" s="117" t="s">
        <v>5254</v>
      </c>
    </row>
    <row r="286" spans="2:16" x14ac:dyDescent="0.15">
      <c r="B286" s="117" t="s">
        <v>4031</v>
      </c>
      <c r="C286" s="117" t="s">
        <v>4030</v>
      </c>
    </row>
    <row r="287" spans="2:16" x14ac:dyDescent="0.15">
      <c r="B287" s="117" t="s">
        <v>4029</v>
      </c>
      <c r="C287" s="117" t="s">
        <v>4028</v>
      </c>
    </row>
    <row r="288" spans="2:16" x14ac:dyDescent="0.15">
      <c r="B288" s="117" t="s">
        <v>5297</v>
      </c>
      <c r="C288" s="117" t="s">
        <v>5305</v>
      </c>
    </row>
    <row r="289" spans="2:21" x14ac:dyDescent="0.15">
      <c r="B289" s="117" t="s">
        <v>2601</v>
      </c>
      <c r="C289" s="117" t="s">
        <v>5286</v>
      </c>
    </row>
    <row r="290" spans="2:21" x14ac:dyDescent="0.15">
      <c r="B290" s="191" t="s">
        <v>7159</v>
      </c>
      <c r="C290" s="191" t="s">
        <v>7160</v>
      </c>
    </row>
    <row r="291" spans="2:21" x14ac:dyDescent="0.15">
      <c r="B291" s="191" t="s">
        <v>7057</v>
      </c>
      <c r="C291" s="191" t="s">
        <v>7058</v>
      </c>
    </row>
    <row r="292" spans="2:21" x14ac:dyDescent="0.15">
      <c r="B292" s="117" t="s">
        <v>4687</v>
      </c>
      <c r="C292" s="117" t="s">
        <v>4689</v>
      </c>
    </row>
    <row r="293" spans="2:21" x14ac:dyDescent="0.15">
      <c r="B293" s="117" t="s">
        <v>4688</v>
      </c>
      <c r="C293" s="117" t="s">
        <v>4434</v>
      </c>
    </row>
    <row r="294" spans="2:21" x14ac:dyDescent="0.15">
      <c r="B294" s="117" t="s">
        <v>5020</v>
      </c>
      <c r="C294" s="117" t="s">
        <v>5021</v>
      </c>
    </row>
    <row r="295" spans="2:21" x14ac:dyDescent="0.15">
      <c r="B295" s="117" t="s">
        <v>5294</v>
      </c>
      <c r="C295" s="117" t="s">
        <v>5296</v>
      </c>
    </row>
    <row r="296" spans="2:21" x14ac:dyDescent="0.15">
      <c r="B296" s="117" t="s">
        <v>5300</v>
      </c>
      <c r="C296" s="117" t="s">
        <v>5301</v>
      </c>
    </row>
    <row r="297" spans="2:21" x14ac:dyDescent="0.15">
      <c r="B297" s="117" t="s">
        <v>4027</v>
      </c>
      <c r="C297" s="117" t="s">
        <v>4026</v>
      </c>
    </row>
    <row r="298" spans="2:21" x14ac:dyDescent="0.15">
      <c r="B298" s="117" t="s">
        <v>4942</v>
      </c>
      <c r="C298" s="117" t="s">
        <v>4943</v>
      </c>
    </row>
    <row r="299" spans="2:21" x14ac:dyDescent="0.15">
      <c r="B299" s="117" t="s">
        <v>5308</v>
      </c>
      <c r="C299" s="117" t="s">
        <v>5326</v>
      </c>
    </row>
    <row r="300" spans="2:21" x14ac:dyDescent="0.15">
      <c r="B300" s="117" t="s">
        <v>5234</v>
      </c>
      <c r="C300" s="117" t="s">
        <v>5235</v>
      </c>
      <c r="U300" s="117" t="s">
        <v>5297</v>
      </c>
    </row>
    <row r="301" spans="2:21" x14ac:dyDescent="0.15">
      <c r="B301" s="117" t="s">
        <v>5284</v>
      </c>
      <c r="C301" s="117" t="s">
        <v>6060</v>
      </c>
    </row>
    <row r="302" spans="2:21" x14ac:dyDescent="0.15">
      <c r="B302" s="117" t="s">
        <v>5266</v>
      </c>
      <c r="C302" s="117" t="s">
        <v>5267</v>
      </c>
    </row>
    <row r="303" spans="2:21" x14ac:dyDescent="0.15">
      <c r="B303" s="117" t="s">
        <v>5295</v>
      </c>
      <c r="C303" s="117" t="s">
        <v>5304</v>
      </c>
    </row>
    <row r="304" spans="2:21" x14ac:dyDescent="0.15">
      <c r="B304" s="117" t="s">
        <v>5249</v>
      </c>
      <c r="C304" s="117" t="s">
        <v>5298</v>
      </c>
    </row>
    <row r="305" spans="2:3" x14ac:dyDescent="0.15">
      <c r="B305" s="117" t="s">
        <v>5244</v>
      </c>
      <c r="C305" s="265" t="s">
        <v>7618</v>
      </c>
    </row>
    <row r="306" spans="2:3" x14ac:dyDescent="0.15">
      <c r="B306" s="117" t="s">
        <v>5246</v>
      </c>
      <c r="C306" s="117" t="s">
        <v>5245</v>
      </c>
    </row>
    <row r="307" spans="2:3" x14ac:dyDescent="0.15">
      <c r="B307" s="117" t="s">
        <v>6179</v>
      </c>
      <c r="C307" s="117" t="s">
        <v>6180</v>
      </c>
    </row>
    <row r="308" spans="2:3" x14ac:dyDescent="0.15">
      <c r="B308" s="117" t="s">
        <v>4025</v>
      </c>
      <c r="C308" s="117" t="s">
        <v>4024</v>
      </c>
    </row>
    <row r="309" spans="2:3" x14ac:dyDescent="0.15">
      <c r="B309" s="117" t="s">
        <v>4023</v>
      </c>
      <c r="C309" s="117" t="s">
        <v>4022</v>
      </c>
    </row>
    <row r="310" spans="2:3" x14ac:dyDescent="0.15">
      <c r="B310" s="117" t="s">
        <v>4021</v>
      </c>
    </row>
    <row r="311" spans="2:3" x14ac:dyDescent="0.15">
      <c r="B311" s="117" t="s">
        <v>4020</v>
      </c>
      <c r="C311" s="117" t="s">
        <v>4019</v>
      </c>
    </row>
    <row r="312" spans="2:3" x14ac:dyDescent="0.15">
      <c r="B312" s="117" t="s">
        <v>5236</v>
      </c>
      <c r="C312" s="117" t="s">
        <v>5237</v>
      </c>
    </row>
    <row r="313" spans="2:3" x14ac:dyDescent="0.15">
      <c r="B313" s="117" t="s">
        <v>4018</v>
      </c>
      <c r="C313" s="117" t="s">
        <v>4017</v>
      </c>
    </row>
    <row r="314" spans="2:3" x14ac:dyDescent="0.15">
      <c r="B314" s="117" t="s">
        <v>4287</v>
      </c>
      <c r="C314" s="117" t="s">
        <v>4288</v>
      </c>
    </row>
    <row r="315" spans="2:3" x14ac:dyDescent="0.15">
      <c r="B315" s="265" t="s">
        <v>7701</v>
      </c>
      <c r="C315" s="265" t="s">
        <v>7702</v>
      </c>
    </row>
    <row r="316" spans="2:3" x14ac:dyDescent="0.15">
      <c r="B316" s="117" t="s">
        <v>5981</v>
      </c>
      <c r="C316" s="117" t="s">
        <v>5982</v>
      </c>
    </row>
    <row r="317" spans="2:3" x14ac:dyDescent="0.15">
      <c r="B317" s="191" t="s">
        <v>7044</v>
      </c>
      <c r="C317" s="191" t="s">
        <v>7045</v>
      </c>
    </row>
    <row r="319" spans="2:3" x14ac:dyDescent="0.15">
      <c r="B319" s="117" t="s">
        <v>4016</v>
      </c>
    </row>
    <row r="321" spans="3:26" x14ac:dyDescent="0.15">
      <c r="C321" s="140"/>
      <c r="D321" s="141"/>
      <c r="F321" s="141"/>
      <c r="G321" s="142"/>
      <c r="O321" s="118"/>
      <c r="P321" s="118"/>
      <c r="Q321" s="118"/>
      <c r="R321" s="118"/>
      <c r="S321" s="118"/>
      <c r="T321" s="118"/>
      <c r="U321" s="118"/>
      <c r="V321" s="118"/>
      <c r="W321" s="118"/>
      <c r="X321" s="118"/>
      <c r="Y321" s="118"/>
      <c r="Z321" s="118"/>
    </row>
    <row r="322" spans="3:26" x14ac:dyDescent="0.15">
      <c r="P322" s="118"/>
      <c r="Q322" s="118"/>
      <c r="R322" s="118"/>
      <c r="S322" s="118"/>
      <c r="T322" s="118"/>
      <c r="U322" s="118"/>
      <c r="V322" s="118"/>
      <c r="W322" s="118"/>
      <c r="X322" s="118"/>
      <c r="Y322" s="118"/>
      <c r="Z322" s="118"/>
    </row>
    <row r="323" spans="3:26" x14ac:dyDescent="0.15">
      <c r="P323" s="118"/>
      <c r="Q323" s="118"/>
      <c r="R323" s="118"/>
      <c r="S323" s="118"/>
      <c r="T323" s="118"/>
      <c r="U323" s="118"/>
      <c r="V323" s="118"/>
      <c r="W323" s="118"/>
      <c r="X323" s="118"/>
      <c r="Y323" s="118"/>
      <c r="Z323" s="118"/>
    </row>
    <row r="324" spans="3:26" x14ac:dyDescent="0.15">
      <c r="P324" s="118"/>
      <c r="Q324" s="118"/>
      <c r="R324" s="118"/>
      <c r="S324" s="118"/>
      <c r="T324" s="118"/>
      <c r="U324" s="118"/>
      <c r="V324" s="118"/>
      <c r="W324" s="118"/>
      <c r="X324" s="118"/>
      <c r="Y324" s="118"/>
      <c r="Z324" s="118"/>
    </row>
    <row r="325" spans="3:26" x14ac:dyDescent="0.15">
      <c r="P325" s="118"/>
      <c r="Q325" s="118"/>
      <c r="R325" s="118"/>
      <c r="S325" s="118"/>
      <c r="T325" s="118"/>
      <c r="U325" s="118"/>
      <c r="V325" s="118"/>
      <c r="W325" s="118"/>
      <c r="X325" s="118"/>
      <c r="Y325" s="118"/>
      <c r="Z325" s="118"/>
    </row>
    <row r="326" spans="3:26" x14ac:dyDescent="0.15">
      <c r="P326" s="118"/>
      <c r="Q326" s="118"/>
      <c r="R326" s="118"/>
      <c r="S326" s="118"/>
      <c r="T326" s="118"/>
      <c r="U326" s="118"/>
      <c r="V326" s="118"/>
      <c r="W326" s="118"/>
      <c r="X326" s="118"/>
      <c r="Y326" s="118"/>
      <c r="Z326" s="118"/>
    </row>
    <row r="327" spans="3:26" x14ac:dyDescent="0.15">
      <c r="P327" s="118"/>
      <c r="Q327" s="118"/>
      <c r="R327" s="118"/>
      <c r="S327" s="118"/>
      <c r="T327" s="118"/>
      <c r="U327" s="118"/>
      <c r="V327" s="118"/>
      <c r="W327" s="118"/>
      <c r="X327" s="118"/>
      <c r="Y327" s="118"/>
      <c r="Z327" s="118"/>
    </row>
    <row r="328" spans="3:26" x14ac:dyDescent="0.15">
      <c r="P328" s="118"/>
      <c r="Q328" s="118"/>
      <c r="R328" s="118"/>
      <c r="S328" s="118"/>
      <c r="T328" s="118" t="s">
        <v>5294</v>
      </c>
      <c r="U328" s="118"/>
      <c r="V328" s="118"/>
      <c r="W328" s="118"/>
      <c r="X328" s="118"/>
      <c r="Y328" s="118"/>
      <c r="Z328" s="118"/>
    </row>
    <row r="329" spans="3:26" x14ac:dyDescent="0.15">
      <c r="S329"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78"/>
  <sheetViews>
    <sheetView topLeftCell="A791" zoomScale="130" zoomScaleNormal="130" workbookViewId="0">
      <selection activeCell="B805" sqref="B805"/>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1167</v>
      </c>
    </row>
    <row r="2" spans="1:3" x14ac:dyDescent="0.15">
      <c r="A2" s="229" t="s">
        <v>7323</v>
      </c>
      <c r="B2" s="43" t="s">
        <v>7325</v>
      </c>
    </row>
    <row r="3" spans="1:3" x14ac:dyDescent="0.15">
      <c r="A3" s="25"/>
      <c r="B3" s="229" t="s">
        <v>5787</v>
      </c>
      <c r="C3" s="230" t="s">
        <v>7324</v>
      </c>
    </row>
    <row r="4" spans="1:3" x14ac:dyDescent="0.15">
      <c r="A4" s="25"/>
    </row>
    <row r="5" spans="1:3" x14ac:dyDescent="0.15">
      <c r="A5" s="229" t="s">
        <v>7305</v>
      </c>
      <c r="B5" s="43" t="s">
        <v>7306</v>
      </c>
    </row>
    <row r="6" spans="1:3" x14ac:dyDescent="0.15">
      <c r="A6" s="25"/>
      <c r="B6" s="229" t="s">
        <v>5787</v>
      </c>
      <c r="C6" s="230" t="s">
        <v>7307</v>
      </c>
    </row>
    <row r="7" spans="1:3" x14ac:dyDescent="0.15">
      <c r="A7" s="25"/>
    </row>
    <row r="8" spans="1:3" x14ac:dyDescent="0.15">
      <c r="A8" s="25"/>
    </row>
    <row r="9" spans="1:3" x14ac:dyDescent="0.15">
      <c r="A9" s="229" t="s">
        <v>7311</v>
      </c>
      <c r="B9" s="43" t="s">
        <v>7312</v>
      </c>
    </row>
    <row r="10" spans="1:3" x14ac:dyDescent="0.15">
      <c r="A10" s="25"/>
      <c r="B10" s="229" t="s">
        <v>5787</v>
      </c>
      <c r="C10" s="230" t="s">
        <v>7313</v>
      </c>
    </row>
    <row r="11" spans="1:3" x14ac:dyDescent="0.15">
      <c r="A11" s="25"/>
    </row>
    <row r="12" spans="1:3" x14ac:dyDescent="0.15">
      <c r="A12" s="25"/>
    </row>
    <row r="13" spans="1:3" x14ac:dyDescent="0.15">
      <c r="A13" s="229" t="s">
        <v>7317</v>
      </c>
      <c r="B13" s="43" t="s">
        <v>7318</v>
      </c>
    </row>
    <row r="14" spans="1:3" x14ac:dyDescent="0.15">
      <c r="A14" s="25"/>
      <c r="B14" s="229" t="s">
        <v>5787</v>
      </c>
      <c r="C14" s="230" t="s">
        <v>7319</v>
      </c>
    </row>
    <row r="15" spans="1:3" x14ac:dyDescent="0.15">
      <c r="A15" s="25"/>
    </row>
    <row r="16" spans="1:3" x14ac:dyDescent="0.15">
      <c r="A16" s="229" t="s">
        <v>7308</v>
      </c>
      <c r="B16" s="43" t="s">
        <v>7309</v>
      </c>
    </row>
    <row r="17" spans="1:3" x14ac:dyDescent="0.15">
      <c r="A17" s="25"/>
      <c r="B17" s="229" t="s">
        <v>5787</v>
      </c>
      <c r="C17" s="230" t="s">
        <v>7310</v>
      </c>
    </row>
    <row r="18" spans="1:3" x14ac:dyDescent="0.15">
      <c r="A18" s="25"/>
    </row>
    <row r="19" spans="1:3" x14ac:dyDescent="0.15">
      <c r="A19" s="229" t="s">
        <v>7329</v>
      </c>
      <c r="B19" s="43" t="s">
        <v>7330</v>
      </c>
    </row>
    <row r="20" spans="1:3" x14ac:dyDescent="0.15">
      <c r="A20" s="25"/>
      <c r="B20" s="229" t="s">
        <v>5787</v>
      </c>
      <c r="C20" s="230" t="s">
        <v>4129</v>
      </c>
    </row>
    <row r="21" spans="1:3" x14ac:dyDescent="0.15">
      <c r="A21" s="25"/>
    </row>
    <row r="22" spans="1:3" x14ac:dyDescent="0.15">
      <c r="A22" s="229" t="s">
        <v>7326</v>
      </c>
      <c r="B22" s="43" t="s">
        <v>7327</v>
      </c>
    </row>
    <row r="23" spans="1:3" x14ac:dyDescent="0.15">
      <c r="A23" s="25"/>
      <c r="B23" s="229" t="s">
        <v>5787</v>
      </c>
      <c r="C23" s="230" t="s">
        <v>7328</v>
      </c>
    </row>
    <row r="24" spans="1:3" x14ac:dyDescent="0.15">
      <c r="A24" s="25"/>
    </row>
    <row r="25" spans="1:3" x14ac:dyDescent="0.15">
      <c r="A25" s="229" t="s">
        <v>7394</v>
      </c>
      <c r="B25" s="43" t="s">
        <v>7395</v>
      </c>
    </row>
    <row r="26" spans="1:3" x14ac:dyDescent="0.15">
      <c r="A26" s="25"/>
      <c r="B26" s="117" t="s">
        <v>5787</v>
      </c>
      <c r="C26" s="118" t="s">
        <v>7396</v>
      </c>
    </row>
    <row r="27" spans="1:3" x14ac:dyDescent="0.15">
      <c r="A27" s="25"/>
    </row>
    <row r="28" spans="1:3" x14ac:dyDescent="0.15">
      <c r="A28" s="117" t="s">
        <v>6082</v>
      </c>
      <c r="B28" s="43" t="s">
        <v>7061</v>
      </c>
    </row>
    <row r="29" spans="1:3" x14ac:dyDescent="0.15">
      <c r="A29" s="25"/>
      <c r="B29" s="117" t="s">
        <v>5787</v>
      </c>
      <c r="C29" s="210" t="s">
        <v>7060</v>
      </c>
    </row>
    <row r="30" spans="1:3" x14ac:dyDescent="0.15">
      <c r="A30" s="25"/>
      <c r="B30" s="117" t="s">
        <v>5722</v>
      </c>
      <c r="C30" s="121">
        <v>39254</v>
      </c>
    </row>
    <row r="31" spans="1:3" x14ac:dyDescent="0.15">
      <c r="A31" s="25"/>
      <c r="B31" s="117" t="s">
        <v>5720</v>
      </c>
      <c r="C31" s="110" t="s">
        <v>6091</v>
      </c>
    </row>
    <row r="32" spans="1:3" x14ac:dyDescent="0.15">
      <c r="A32" s="25"/>
      <c r="B32" s="191" t="s">
        <v>7066</v>
      </c>
      <c r="C32" s="210" t="s">
        <v>7089</v>
      </c>
    </row>
    <row r="33" spans="1:3" x14ac:dyDescent="0.15">
      <c r="A33" s="25"/>
      <c r="B33" s="191" t="s">
        <v>4233</v>
      </c>
      <c r="C33" s="210" t="s">
        <v>7067</v>
      </c>
    </row>
    <row r="34" spans="1:3" x14ac:dyDescent="0.15">
      <c r="A34" s="25"/>
      <c r="B34" s="191"/>
      <c r="C34" s="210" t="s">
        <v>7068</v>
      </c>
    </row>
    <row r="35" spans="1:3" x14ac:dyDescent="0.15">
      <c r="A35" s="25"/>
      <c r="B35" s="191"/>
      <c r="C35" s="210" t="s">
        <v>7069</v>
      </c>
    </row>
    <row r="36" spans="1:3" x14ac:dyDescent="0.15">
      <c r="A36" s="25"/>
      <c r="B36" s="191"/>
      <c r="C36" s="210" t="s">
        <v>7070</v>
      </c>
    </row>
    <row r="37" spans="1:3" x14ac:dyDescent="0.15">
      <c r="A37" s="25"/>
      <c r="B37" s="191"/>
      <c r="C37" s="210" t="s">
        <v>7071</v>
      </c>
    </row>
    <row r="38" spans="1:3" x14ac:dyDescent="0.15">
      <c r="A38" s="25"/>
      <c r="B38" s="191"/>
      <c r="C38" s="210" t="s">
        <v>7072</v>
      </c>
    </row>
    <row r="39" spans="1:3" x14ac:dyDescent="0.15">
      <c r="A39" s="25"/>
      <c r="B39" s="191"/>
      <c r="C39" s="210" t="s">
        <v>7073</v>
      </c>
    </row>
    <row r="40" spans="1:3" x14ac:dyDescent="0.15">
      <c r="A40" s="25"/>
      <c r="B40" s="191"/>
      <c r="C40" s="210" t="s">
        <v>7074</v>
      </c>
    </row>
    <row r="41" spans="1:3" x14ac:dyDescent="0.15">
      <c r="A41" s="25"/>
      <c r="B41" s="191"/>
      <c r="C41" s="210" t="s">
        <v>7075</v>
      </c>
    </row>
    <row r="42" spans="1:3" x14ac:dyDescent="0.15">
      <c r="A42" s="25"/>
      <c r="B42" s="191"/>
      <c r="C42" s="210" t="s">
        <v>7076</v>
      </c>
    </row>
    <row r="43" spans="1:3" x14ac:dyDescent="0.15">
      <c r="A43" s="25"/>
      <c r="B43" s="191"/>
      <c r="C43" s="210" t="s">
        <v>7077</v>
      </c>
    </row>
    <row r="44" spans="1:3" x14ac:dyDescent="0.15">
      <c r="A44" s="25"/>
      <c r="B44" s="191"/>
      <c r="C44" s="210" t="s">
        <v>7078</v>
      </c>
    </row>
    <row r="45" spans="1:3" x14ac:dyDescent="0.15">
      <c r="A45" s="25"/>
      <c r="B45" s="191"/>
      <c r="C45" s="210" t="s">
        <v>7079</v>
      </c>
    </row>
    <row r="46" spans="1:3" x14ac:dyDescent="0.15">
      <c r="A46" s="25"/>
      <c r="B46" s="191"/>
      <c r="C46" s="210" t="s">
        <v>7080</v>
      </c>
    </row>
    <row r="47" spans="1:3" x14ac:dyDescent="0.15">
      <c r="A47" s="25"/>
      <c r="B47" s="191"/>
      <c r="C47" s="210" t="s">
        <v>7081</v>
      </c>
    </row>
    <row r="48" spans="1:3" x14ac:dyDescent="0.15">
      <c r="A48" s="25"/>
      <c r="B48" s="191"/>
      <c r="C48" s="210" t="s">
        <v>7082</v>
      </c>
    </row>
    <row r="49" spans="1:3" x14ac:dyDescent="0.15">
      <c r="A49" s="25"/>
      <c r="B49" s="191"/>
      <c r="C49" s="210" t="s">
        <v>7083</v>
      </c>
    </row>
    <row r="50" spans="1:3" x14ac:dyDescent="0.15">
      <c r="A50" s="25"/>
      <c r="B50" s="191"/>
      <c r="C50" s="210" t="s">
        <v>7084</v>
      </c>
    </row>
    <row r="51" spans="1:3" x14ac:dyDescent="0.15">
      <c r="A51" s="25"/>
      <c r="B51" s="191"/>
      <c r="C51" s="210" t="s">
        <v>7085</v>
      </c>
    </row>
    <row r="52" spans="1:3" x14ac:dyDescent="0.15">
      <c r="A52" s="25"/>
      <c r="B52" s="191"/>
      <c r="C52" s="210" t="s">
        <v>7086</v>
      </c>
    </row>
    <row r="53" spans="1:3" x14ac:dyDescent="0.15">
      <c r="A53" s="25"/>
      <c r="B53" s="191"/>
      <c r="C53" s="210" t="s">
        <v>7087</v>
      </c>
    </row>
    <row r="54" spans="1:3" x14ac:dyDescent="0.15">
      <c r="A54" s="25"/>
      <c r="B54" s="191"/>
      <c r="C54" s="210" t="s">
        <v>7088</v>
      </c>
    </row>
    <row r="55" spans="1:3" x14ac:dyDescent="0.15">
      <c r="A55" s="25"/>
    </row>
    <row r="56" spans="1:3" x14ac:dyDescent="0.15">
      <c r="A56" s="229" t="s">
        <v>7314</v>
      </c>
      <c r="B56" s="43" t="s">
        <v>7315</v>
      </c>
    </row>
    <row r="57" spans="1:3" x14ac:dyDescent="0.15">
      <c r="A57" s="25"/>
      <c r="B57" s="229" t="s">
        <v>5787</v>
      </c>
      <c r="C57" s="230" t="s">
        <v>7316</v>
      </c>
    </row>
    <row r="58" spans="1:3" x14ac:dyDescent="0.15">
      <c r="A58" s="25"/>
    </row>
    <row r="59" spans="1:3" x14ac:dyDescent="0.15">
      <c r="A59" s="229" t="s">
        <v>7320</v>
      </c>
      <c r="B59" s="43" t="s">
        <v>7321</v>
      </c>
    </row>
    <row r="60" spans="1:3" x14ac:dyDescent="0.15">
      <c r="A60" s="25"/>
      <c r="B60" s="229" t="s">
        <v>5787</v>
      </c>
      <c r="C60" s="230" t="s">
        <v>7322</v>
      </c>
    </row>
    <row r="61" spans="1:3" x14ac:dyDescent="0.15">
      <c r="A61" s="25"/>
    </row>
    <row r="62" spans="1:3" x14ac:dyDescent="0.15">
      <c r="A62" s="229" t="s">
        <v>7301</v>
      </c>
      <c r="B62" s="43" t="s">
        <v>7299</v>
      </c>
    </row>
    <row r="63" spans="1:3" x14ac:dyDescent="0.15">
      <c r="A63" s="25"/>
      <c r="B63" s="229" t="s">
        <v>5787</v>
      </c>
      <c r="C63" s="230" t="s">
        <v>4129</v>
      </c>
    </row>
    <row r="64" spans="1:3" x14ac:dyDescent="0.15">
      <c r="A64" s="25"/>
      <c r="B64" s="229" t="s">
        <v>5722</v>
      </c>
      <c r="C64" s="121">
        <v>21162</v>
      </c>
    </row>
    <row r="65" spans="1:3" x14ac:dyDescent="0.15">
      <c r="A65" s="25"/>
      <c r="B65" s="229" t="s">
        <v>5720</v>
      </c>
      <c r="C65" s="110" t="s">
        <v>7300</v>
      </c>
    </row>
    <row r="66" spans="1:3" x14ac:dyDescent="0.15">
      <c r="A66" s="25"/>
      <c r="B66" s="229" t="s">
        <v>6219</v>
      </c>
      <c r="C66" s="231">
        <v>45172</v>
      </c>
    </row>
    <row r="67" spans="1:3" x14ac:dyDescent="0.15">
      <c r="A67" s="25"/>
      <c r="B67" s="229" t="s">
        <v>4233</v>
      </c>
      <c r="C67" s="231" t="s">
        <v>7331</v>
      </c>
    </row>
    <row r="68" spans="1:3" x14ac:dyDescent="0.15">
      <c r="A68" s="25"/>
    </row>
    <row r="69" spans="1:3" x14ac:dyDescent="0.15">
      <c r="A69" s="229" t="s">
        <v>7302</v>
      </c>
      <c r="B69" s="43" t="s">
        <v>7303</v>
      </c>
    </row>
    <row r="70" spans="1:3" x14ac:dyDescent="0.15">
      <c r="A70" s="25"/>
      <c r="B70" s="229" t="s">
        <v>5787</v>
      </c>
      <c r="C70" s="230" t="s">
        <v>4129</v>
      </c>
    </row>
    <row r="71" spans="1:3" x14ac:dyDescent="0.15">
      <c r="A71" s="25"/>
      <c r="B71" s="229" t="s">
        <v>5722</v>
      </c>
      <c r="C71" s="120">
        <v>259</v>
      </c>
    </row>
    <row r="72" spans="1:3" x14ac:dyDescent="0.15">
      <c r="A72" s="25"/>
      <c r="B72" s="229" t="s">
        <v>5720</v>
      </c>
      <c r="C72" s="110" t="s">
        <v>7304</v>
      </c>
    </row>
    <row r="73" spans="1:3" x14ac:dyDescent="0.15">
      <c r="A73" s="25"/>
    </row>
    <row r="74" spans="1:3" x14ac:dyDescent="0.15">
      <c r="A74" s="191" t="s">
        <v>7090</v>
      </c>
      <c r="B74" s="43" t="s">
        <v>6090</v>
      </c>
    </row>
    <row r="75" spans="1:3" x14ac:dyDescent="0.15">
      <c r="A75" s="25"/>
      <c r="B75" s="117" t="s">
        <v>5787</v>
      </c>
      <c r="C75" s="118" t="s">
        <v>6089</v>
      </c>
    </row>
    <row r="76" spans="1:3" x14ac:dyDescent="0.15">
      <c r="A76" s="25"/>
      <c r="B76" s="117" t="s">
        <v>5722</v>
      </c>
      <c r="C76" s="120">
        <v>3169</v>
      </c>
    </row>
    <row r="77" spans="1:3" x14ac:dyDescent="0.15">
      <c r="A77" s="25"/>
      <c r="B77" s="117" t="s">
        <v>5720</v>
      </c>
      <c r="C77" s="110" t="s">
        <v>6092</v>
      </c>
    </row>
    <row r="78" spans="1:3" x14ac:dyDescent="0.15">
      <c r="A78" s="25"/>
    </row>
    <row r="79" spans="1:3" x14ac:dyDescent="0.15">
      <c r="A79" s="117" t="s">
        <v>5732</v>
      </c>
      <c r="B79" s="43" t="s">
        <v>5525</v>
      </c>
    </row>
    <row r="80" spans="1:3" x14ac:dyDescent="0.15">
      <c r="A80" s="25"/>
      <c r="B80" s="117" t="s">
        <v>5721</v>
      </c>
      <c r="C80" s="118" t="s">
        <v>5526</v>
      </c>
    </row>
    <row r="81" spans="1:3" x14ac:dyDescent="0.15">
      <c r="A81" s="25"/>
      <c r="B81" s="117" t="s">
        <v>5722</v>
      </c>
      <c r="C81" s="120">
        <v>2971</v>
      </c>
    </row>
    <row r="82" spans="1:3" x14ac:dyDescent="0.15">
      <c r="A82" s="25"/>
      <c r="B82" s="117" t="s">
        <v>5720</v>
      </c>
      <c r="C82" s="110" t="s">
        <v>5729</v>
      </c>
    </row>
    <row r="83" spans="1:3" x14ac:dyDescent="0.15">
      <c r="A83" s="25"/>
      <c r="C83" s="25" t="s">
        <v>7298</v>
      </c>
    </row>
    <row r="84" spans="1:3" x14ac:dyDescent="0.15">
      <c r="A84" s="25"/>
      <c r="B84" s="191" t="s">
        <v>6219</v>
      </c>
      <c r="C84" s="146">
        <v>45168</v>
      </c>
    </row>
    <row r="85" spans="1:3" x14ac:dyDescent="0.15">
      <c r="A85" s="25"/>
    </row>
    <row r="86" spans="1:3" x14ac:dyDescent="0.15">
      <c r="A86" s="117" t="s">
        <v>5733</v>
      </c>
      <c r="B86" s="43" t="s">
        <v>5730</v>
      </c>
    </row>
    <row r="87" spans="1:3" x14ac:dyDescent="0.15">
      <c r="B87" s="117" t="s">
        <v>5721</v>
      </c>
      <c r="C87" s="118" t="s">
        <v>5351</v>
      </c>
    </row>
    <row r="88" spans="1:3" x14ac:dyDescent="0.15">
      <c r="B88" s="117" t="s">
        <v>5722</v>
      </c>
      <c r="C88" s="121">
        <v>17453</v>
      </c>
    </row>
    <row r="89" spans="1:3" x14ac:dyDescent="0.15">
      <c r="B89" s="117" t="s">
        <v>5720</v>
      </c>
      <c r="C89" s="248" t="s">
        <v>5731</v>
      </c>
    </row>
    <row r="91" spans="1:3" x14ac:dyDescent="0.15">
      <c r="A91" s="117" t="s">
        <v>5734</v>
      </c>
      <c r="B91" s="43" t="s">
        <v>5538</v>
      </c>
    </row>
    <row r="92" spans="1:3" x14ac:dyDescent="0.15">
      <c r="B92" s="117" t="s">
        <v>5721</v>
      </c>
      <c r="C92" s="118" t="s">
        <v>4155</v>
      </c>
    </row>
    <row r="93" spans="1:3" x14ac:dyDescent="0.15">
      <c r="B93" s="117" t="s">
        <v>5722</v>
      </c>
      <c r="C93" s="120">
        <v>1984</v>
      </c>
    </row>
    <row r="94" spans="1:3" x14ac:dyDescent="0.15">
      <c r="B94" s="117" t="s">
        <v>5720</v>
      </c>
      <c r="C94" s="110" t="s">
        <v>5743</v>
      </c>
    </row>
    <row r="96" spans="1:3" x14ac:dyDescent="0.15">
      <c r="A96" s="117" t="s">
        <v>5735</v>
      </c>
      <c r="B96" s="43" t="s">
        <v>5745</v>
      </c>
    </row>
    <row r="97" spans="1:3" x14ac:dyDescent="0.15">
      <c r="B97" s="117" t="s">
        <v>5721</v>
      </c>
      <c r="C97" s="118" t="s">
        <v>5744</v>
      </c>
    </row>
    <row r="98" spans="1:3" x14ac:dyDescent="0.15">
      <c r="B98" s="117" t="s">
        <v>5722</v>
      </c>
      <c r="C98" s="120">
        <v>2957</v>
      </c>
    </row>
    <row r="99" spans="1:3" x14ac:dyDescent="0.15">
      <c r="B99" s="117" t="s">
        <v>5720</v>
      </c>
      <c r="C99" s="110" t="s">
        <v>5746</v>
      </c>
    </row>
    <row r="101" spans="1:3" x14ac:dyDescent="0.15">
      <c r="A101" s="117" t="s">
        <v>5736</v>
      </c>
      <c r="B101" s="43" t="s">
        <v>5357</v>
      </c>
    </row>
    <row r="102" spans="1:3" x14ac:dyDescent="0.15">
      <c r="B102" s="117" t="s">
        <v>5721</v>
      </c>
      <c r="C102" s="118" t="s">
        <v>5351</v>
      </c>
    </row>
    <row r="103" spans="1:3" x14ac:dyDescent="0.15">
      <c r="B103" s="117" t="s">
        <v>5722</v>
      </c>
      <c r="C103" s="122">
        <v>9588</v>
      </c>
    </row>
    <row r="104" spans="1:3" x14ac:dyDescent="0.15">
      <c r="B104" s="117" t="s">
        <v>5720</v>
      </c>
      <c r="C104" s="110" t="s">
        <v>5747</v>
      </c>
    </row>
    <row r="106" spans="1:3" x14ac:dyDescent="0.15">
      <c r="A106" s="117" t="s">
        <v>5737</v>
      </c>
      <c r="B106" s="43" t="s">
        <v>5748</v>
      </c>
    </row>
    <row r="107" spans="1:3" x14ac:dyDescent="0.15">
      <c r="B107" s="117" t="s">
        <v>5721</v>
      </c>
      <c r="C107" s="118" t="s">
        <v>4522</v>
      </c>
    </row>
    <row r="108" spans="1:3" x14ac:dyDescent="0.15">
      <c r="B108" s="117" t="s">
        <v>5722</v>
      </c>
      <c r="C108" s="120">
        <v>2896</v>
      </c>
    </row>
    <row r="109" spans="1:3" x14ac:dyDescent="0.15">
      <c r="B109" s="117" t="s">
        <v>5720</v>
      </c>
      <c r="C109" s="110" t="s">
        <v>5749</v>
      </c>
    </row>
    <row r="111" spans="1:3" x14ac:dyDescent="0.15">
      <c r="A111" s="117" t="s">
        <v>5738</v>
      </c>
      <c r="B111" s="43" t="s">
        <v>5358</v>
      </c>
    </row>
    <row r="112" spans="1:3" x14ac:dyDescent="0.15">
      <c r="B112" s="117" t="s">
        <v>5721</v>
      </c>
      <c r="C112" s="118" t="s">
        <v>5359</v>
      </c>
    </row>
    <row r="113" spans="1:3" x14ac:dyDescent="0.15">
      <c r="B113" s="117" t="s">
        <v>5722</v>
      </c>
      <c r="C113" s="123">
        <v>12004</v>
      </c>
    </row>
    <row r="114" spans="1:3" x14ac:dyDescent="0.15">
      <c r="B114" s="117" t="s">
        <v>5720</v>
      </c>
      <c r="C114" s="110" t="s">
        <v>5752</v>
      </c>
    </row>
    <row r="116" spans="1:3" x14ac:dyDescent="0.15">
      <c r="A116" s="117" t="s">
        <v>5739</v>
      </c>
      <c r="B116" s="43" t="s">
        <v>5750</v>
      </c>
    </row>
    <row r="117" spans="1:3" x14ac:dyDescent="0.15">
      <c r="B117" s="117" t="s">
        <v>5721</v>
      </c>
      <c r="C117" s="118" t="s">
        <v>5751</v>
      </c>
    </row>
    <row r="118" spans="1:3" x14ac:dyDescent="0.15">
      <c r="B118" s="117" t="s">
        <v>5722</v>
      </c>
      <c r="C118" s="120">
        <v>1026</v>
      </c>
    </row>
    <row r="119" spans="1:3" x14ac:dyDescent="0.15">
      <c r="B119" s="117" t="s">
        <v>5720</v>
      </c>
      <c r="C119" s="110" t="s">
        <v>5753</v>
      </c>
    </row>
    <row r="121" spans="1:3" x14ac:dyDescent="0.15">
      <c r="A121" s="117" t="s">
        <v>6345</v>
      </c>
      <c r="B121" s="43" t="s">
        <v>6347</v>
      </c>
    </row>
    <row r="122" spans="1:3" x14ac:dyDescent="0.15">
      <c r="B122" s="117" t="s">
        <v>5721</v>
      </c>
      <c r="C122" s="118" t="s">
        <v>6346</v>
      </c>
    </row>
    <row r="123" spans="1:3" x14ac:dyDescent="0.15">
      <c r="B123" s="117" t="s">
        <v>5722</v>
      </c>
      <c r="C123" s="120">
        <v>429</v>
      </c>
    </row>
    <row r="124" spans="1:3" x14ac:dyDescent="0.15">
      <c r="B124" s="117" t="s">
        <v>5720</v>
      </c>
      <c r="C124" s="110" t="s">
        <v>6348</v>
      </c>
    </row>
    <row r="126" spans="1:3" x14ac:dyDescent="0.15">
      <c r="A126" s="117" t="s">
        <v>5740</v>
      </c>
      <c r="B126" s="43" t="s">
        <v>5754</v>
      </c>
    </row>
    <row r="127" spans="1:3" x14ac:dyDescent="0.15">
      <c r="B127" s="117" t="s">
        <v>5721</v>
      </c>
      <c r="C127" s="118" t="s">
        <v>5539</v>
      </c>
    </row>
    <row r="128" spans="1:3" x14ac:dyDescent="0.15">
      <c r="B128" s="117" t="s">
        <v>5722</v>
      </c>
      <c r="C128" s="124">
        <v>17070</v>
      </c>
    </row>
    <row r="129" spans="1:3" x14ac:dyDescent="0.15">
      <c r="B129" s="118" t="s">
        <v>5720</v>
      </c>
      <c r="C129" s="110" t="s">
        <v>5755</v>
      </c>
    </row>
    <row r="131" spans="1:3" x14ac:dyDescent="0.15">
      <c r="A131" s="117" t="s">
        <v>6217</v>
      </c>
      <c r="B131" s="43" t="s">
        <v>6221</v>
      </c>
    </row>
    <row r="132" spans="1:3" x14ac:dyDescent="0.15">
      <c r="B132" s="117" t="s">
        <v>5721</v>
      </c>
      <c r="C132" s="118" t="s">
        <v>6220</v>
      </c>
    </row>
    <row r="133" spans="1:3" x14ac:dyDescent="0.15">
      <c r="B133" s="117" t="s">
        <v>5722</v>
      </c>
      <c r="C133" s="125">
        <v>8121</v>
      </c>
    </row>
    <row r="134" spans="1:3" x14ac:dyDescent="0.15">
      <c r="B134" s="117" t="s">
        <v>5720</v>
      </c>
      <c r="C134" s="110" t="s">
        <v>6218</v>
      </c>
    </row>
    <row r="136" spans="1:3" x14ac:dyDescent="0.15">
      <c r="B136" s="43" t="s">
        <v>7278</v>
      </c>
    </row>
    <row r="137" spans="1:3" x14ac:dyDescent="0.15">
      <c r="B137" s="222" t="s">
        <v>5787</v>
      </c>
      <c r="C137" s="224" t="s">
        <v>7279</v>
      </c>
    </row>
    <row r="140" spans="1:3" x14ac:dyDescent="0.15">
      <c r="A140" s="117" t="s">
        <v>5741</v>
      </c>
      <c r="B140" s="43" t="s">
        <v>5756</v>
      </c>
    </row>
    <row r="141" spans="1:3" x14ac:dyDescent="0.15">
      <c r="B141" s="117" t="s">
        <v>5721</v>
      </c>
      <c r="C141" s="118" t="s">
        <v>5757</v>
      </c>
    </row>
    <row r="142" spans="1:3" x14ac:dyDescent="0.15">
      <c r="B142" s="117" t="s">
        <v>5722</v>
      </c>
      <c r="C142" s="125">
        <v>6002</v>
      </c>
    </row>
    <row r="143" spans="1:3" x14ac:dyDescent="0.15">
      <c r="B143" s="117" t="s">
        <v>5720</v>
      </c>
      <c r="C143" s="25" t="s">
        <v>5758</v>
      </c>
    </row>
    <row r="145" spans="1:3" x14ac:dyDescent="0.15">
      <c r="A145" s="117" t="s">
        <v>5742</v>
      </c>
      <c r="B145" s="43" t="s">
        <v>5523</v>
      </c>
    </row>
    <row r="146" spans="1:3" x14ac:dyDescent="0.15">
      <c r="B146" s="117" t="s">
        <v>5721</v>
      </c>
      <c r="C146" s="118" t="s">
        <v>5524</v>
      </c>
    </row>
    <row r="147" spans="1:3" x14ac:dyDescent="0.15">
      <c r="B147" s="117" t="s">
        <v>5722</v>
      </c>
      <c r="C147" s="125">
        <v>9169</v>
      </c>
    </row>
    <row r="148" spans="1:3" x14ac:dyDescent="0.15">
      <c r="B148" s="117" t="s">
        <v>5720</v>
      </c>
      <c r="C148" s="25" t="s">
        <v>5759</v>
      </c>
    </row>
    <row r="150" spans="1:3" x14ac:dyDescent="0.15">
      <c r="A150" s="222" t="s">
        <v>7284</v>
      </c>
      <c r="B150" s="43" t="s">
        <v>7282</v>
      </c>
    </row>
    <row r="151" spans="1:3" x14ac:dyDescent="0.15">
      <c r="B151" s="222" t="s">
        <v>5721</v>
      </c>
      <c r="C151" s="224" t="s">
        <v>7283</v>
      </c>
    </row>
    <row r="153" spans="1:3" x14ac:dyDescent="0.15">
      <c r="A153" s="117" t="s">
        <v>5726</v>
      </c>
      <c r="B153" s="43" t="s">
        <v>5725</v>
      </c>
    </row>
    <row r="154" spans="1:3" x14ac:dyDescent="0.15">
      <c r="B154" s="117" t="s">
        <v>5721</v>
      </c>
      <c r="C154" s="118" t="s">
        <v>5724</v>
      </c>
    </row>
    <row r="155" spans="1:3" x14ac:dyDescent="0.15">
      <c r="B155" s="117" t="s">
        <v>5722</v>
      </c>
      <c r="C155" s="122">
        <v>5349</v>
      </c>
    </row>
    <row r="156" spans="1:3" x14ac:dyDescent="0.15">
      <c r="B156" s="117" t="s">
        <v>5720</v>
      </c>
      <c r="C156" s="25" t="s">
        <v>5760</v>
      </c>
    </row>
    <row r="158" spans="1:3" x14ac:dyDescent="0.15">
      <c r="A158" s="117" t="s">
        <v>5728</v>
      </c>
      <c r="B158" s="43" t="s">
        <v>5727</v>
      </c>
    </row>
    <row r="159" spans="1:3" x14ac:dyDescent="0.15">
      <c r="B159" s="117" t="s">
        <v>5721</v>
      </c>
      <c r="C159" s="118" t="s">
        <v>4163</v>
      </c>
    </row>
    <row r="160" spans="1:3" x14ac:dyDescent="0.15">
      <c r="B160" s="117" t="s">
        <v>5722</v>
      </c>
      <c r="C160" s="120">
        <v>391</v>
      </c>
    </row>
    <row r="161" spans="1:3" x14ac:dyDescent="0.15">
      <c r="B161" s="117" t="s">
        <v>5720</v>
      </c>
      <c r="C161" s="110" t="s">
        <v>5761</v>
      </c>
    </row>
    <row r="162" spans="1:3" x14ac:dyDescent="0.15">
      <c r="C162" s="110"/>
    </row>
    <row r="163" spans="1:3" x14ac:dyDescent="0.15">
      <c r="A163" s="117" t="s">
        <v>5762</v>
      </c>
      <c r="B163" s="43" t="s">
        <v>5764</v>
      </c>
    </row>
    <row r="164" spans="1:3" x14ac:dyDescent="0.15">
      <c r="B164" s="117" t="s">
        <v>5721</v>
      </c>
      <c r="C164" s="266" t="s">
        <v>5364</v>
      </c>
    </row>
    <row r="165" spans="1:3" x14ac:dyDescent="0.15">
      <c r="B165" s="117" t="s">
        <v>5722</v>
      </c>
      <c r="C165" s="126">
        <v>34391</v>
      </c>
    </row>
    <row r="166" spans="1:3" x14ac:dyDescent="0.15">
      <c r="B166" s="117" t="s">
        <v>5720</v>
      </c>
      <c r="C166" s="25" t="s">
        <v>5765</v>
      </c>
    </row>
    <row r="167" spans="1:3" x14ac:dyDescent="0.15">
      <c r="B167" s="117" t="s">
        <v>4233</v>
      </c>
      <c r="C167" s="118" t="s">
        <v>5766</v>
      </c>
    </row>
    <row r="170" spans="1:3" x14ac:dyDescent="0.15">
      <c r="A170" s="117" t="s">
        <v>5763</v>
      </c>
      <c r="B170" s="43" t="s">
        <v>5363</v>
      </c>
    </row>
    <row r="171" spans="1:3" x14ac:dyDescent="0.15">
      <c r="B171" s="117" t="s">
        <v>5721</v>
      </c>
      <c r="C171" s="118" t="s">
        <v>5364</v>
      </c>
    </row>
    <row r="172" spans="1:3" x14ac:dyDescent="0.15">
      <c r="B172" s="117" t="s">
        <v>5722</v>
      </c>
      <c r="C172" s="127">
        <v>26462</v>
      </c>
    </row>
    <row r="173" spans="1:3" x14ac:dyDescent="0.15">
      <c r="B173" s="117" t="s">
        <v>5720</v>
      </c>
      <c r="C173" s="25" t="s">
        <v>5767</v>
      </c>
    </row>
    <row r="174" spans="1:3" x14ac:dyDescent="0.15">
      <c r="C174" s="25"/>
    </row>
    <row r="175" spans="1:3" x14ac:dyDescent="0.15">
      <c r="A175" s="117" t="s">
        <v>6051</v>
      </c>
      <c r="B175" s="43" t="s">
        <v>6052</v>
      </c>
      <c r="C175" s="25"/>
    </row>
    <row r="176" spans="1:3" x14ac:dyDescent="0.15">
      <c r="B176" s="117" t="s">
        <v>5721</v>
      </c>
      <c r="C176" s="118" t="s">
        <v>6053</v>
      </c>
    </row>
    <row r="177" spans="1:3" x14ac:dyDescent="0.15">
      <c r="B177" s="117" t="s">
        <v>5722</v>
      </c>
      <c r="C177" s="120">
        <v>193</v>
      </c>
    </row>
    <row r="178" spans="1:3" x14ac:dyDescent="0.15">
      <c r="B178" s="117" t="s">
        <v>5720</v>
      </c>
      <c r="C178" s="25" t="s">
        <v>6054</v>
      </c>
    </row>
    <row r="180" spans="1:3" x14ac:dyDescent="0.15">
      <c r="A180" s="222" t="s">
        <v>7265</v>
      </c>
      <c r="B180" s="43" t="s">
        <v>7266</v>
      </c>
    </row>
    <row r="181" spans="1:3" x14ac:dyDescent="0.15">
      <c r="B181" s="222" t="s">
        <v>5787</v>
      </c>
      <c r="C181" s="224" t="s">
        <v>4541</v>
      </c>
    </row>
    <row r="185" spans="1:3" x14ac:dyDescent="0.15">
      <c r="A185" s="117" t="s">
        <v>5768</v>
      </c>
      <c r="B185" s="43" t="s">
        <v>5542</v>
      </c>
    </row>
    <row r="186" spans="1:3" x14ac:dyDescent="0.15">
      <c r="B186" s="117" t="s">
        <v>5721</v>
      </c>
      <c r="C186" s="118" t="s">
        <v>5543</v>
      </c>
    </row>
    <row r="187" spans="1:3" x14ac:dyDescent="0.15">
      <c r="B187" s="117" t="s">
        <v>5722</v>
      </c>
      <c r="C187" s="128">
        <v>14928</v>
      </c>
    </row>
    <row r="188" spans="1:3" x14ac:dyDescent="0.15">
      <c r="B188" s="117" t="s">
        <v>5720</v>
      </c>
      <c r="C188" s="25" t="s">
        <v>5779</v>
      </c>
    </row>
    <row r="190" spans="1:3" x14ac:dyDescent="0.15">
      <c r="A190" s="117" t="s">
        <v>5769</v>
      </c>
      <c r="B190" s="43" t="s">
        <v>5780</v>
      </c>
    </row>
    <row r="191" spans="1:3" x14ac:dyDescent="0.15">
      <c r="B191" s="117" t="s">
        <v>5721</v>
      </c>
      <c r="C191" s="118" t="s">
        <v>5781</v>
      </c>
    </row>
    <row r="192" spans="1:3" x14ac:dyDescent="0.15">
      <c r="B192" s="117" t="s">
        <v>5722</v>
      </c>
      <c r="C192" s="125">
        <v>5956</v>
      </c>
    </row>
    <row r="193" spans="1:3" x14ac:dyDescent="0.15">
      <c r="B193" s="117" t="s">
        <v>5720</v>
      </c>
      <c r="C193" s="25" t="s">
        <v>5782</v>
      </c>
    </row>
    <row r="194" spans="1:3" x14ac:dyDescent="0.15">
      <c r="C194" s="25"/>
    </row>
    <row r="195" spans="1:3" x14ac:dyDescent="0.15">
      <c r="A195" s="117" t="s">
        <v>6055</v>
      </c>
      <c r="B195" s="43" t="s">
        <v>6057</v>
      </c>
      <c r="C195" s="25"/>
    </row>
    <row r="196" spans="1:3" x14ac:dyDescent="0.15">
      <c r="B196" s="117" t="s">
        <v>5721</v>
      </c>
      <c r="C196" s="129" t="s">
        <v>6058</v>
      </c>
    </row>
    <row r="197" spans="1:3" x14ac:dyDescent="0.15">
      <c r="B197" s="117" t="s">
        <v>5722</v>
      </c>
      <c r="C197" s="120">
        <v>1950</v>
      </c>
    </row>
    <row r="198" spans="1:3" x14ac:dyDescent="0.15">
      <c r="B198" s="117" t="s">
        <v>5720</v>
      </c>
      <c r="C198" s="25" t="s">
        <v>6056</v>
      </c>
    </row>
    <row r="200" spans="1:3" x14ac:dyDescent="0.15">
      <c r="A200" s="117" t="s">
        <v>5771</v>
      </c>
      <c r="B200" s="43" t="s">
        <v>5783</v>
      </c>
    </row>
    <row r="201" spans="1:3" x14ac:dyDescent="0.15">
      <c r="B201" s="117" t="s">
        <v>5721</v>
      </c>
      <c r="C201" s="118" t="s">
        <v>5784</v>
      </c>
    </row>
    <row r="202" spans="1:3" x14ac:dyDescent="0.15">
      <c r="B202" s="117" t="s">
        <v>5722</v>
      </c>
      <c r="C202" s="128">
        <v>11169</v>
      </c>
    </row>
    <row r="203" spans="1:3" x14ac:dyDescent="0.15">
      <c r="B203" s="117" t="s">
        <v>5720</v>
      </c>
      <c r="C203" s="25" t="s">
        <v>5785</v>
      </c>
    </row>
    <row r="205" spans="1:3" x14ac:dyDescent="0.15">
      <c r="A205" s="117" t="s">
        <v>6252</v>
      </c>
      <c r="B205" s="43" t="s">
        <v>6249</v>
      </c>
    </row>
    <row r="206" spans="1:3" x14ac:dyDescent="0.15">
      <c r="B206" s="117" t="s">
        <v>5721</v>
      </c>
      <c r="C206" s="118" t="s">
        <v>6251</v>
      </c>
    </row>
    <row r="207" spans="1:3" x14ac:dyDescent="0.15">
      <c r="B207" s="117" t="s">
        <v>5722</v>
      </c>
      <c r="C207" s="125">
        <v>5749</v>
      </c>
    </row>
    <row r="208" spans="1:3" x14ac:dyDescent="0.15">
      <c r="B208" s="117" t="s">
        <v>5720</v>
      </c>
      <c r="C208" s="110" t="s">
        <v>6250</v>
      </c>
    </row>
    <row r="210" spans="1:3" x14ac:dyDescent="0.15">
      <c r="A210" s="117" t="s">
        <v>5770</v>
      </c>
      <c r="B210" s="43" t="s">
        <v>5537</v>
      </c>
    </row>
    <row r="211" spans="1:3" x14ac:dyDescent="0.15">
      <c r="B211" s="117" t="s">
        <v>5787</v>
      </c>
      <c r="C211" s="266" t="s">
        <v>5786</v>
      </c>
    </row>
    <row r="212" spans="1:3" x14ac:dyDescent="0.15">
      <c r="B212" s="117" t="s">
        <v>5722</v>
      </c>
      <c r="C212" s="130">
        <v>80021</v>
      </c>
    </row>
    <row r="213" spans="1:3" x14ac:dyDescent="0.15">
      <c r="B213" s="117" t="s">
        <v>5720</v>
      </c>
      <c r="C213" s="25" t="s">
        <v>5788</v>
      </c>
    </row>
    <row r="215" spans="1:3" x14ac:dyDescent="0.15">
      <c r="A215" s="191" t="s">
        <v>6910</v>
      </c>
      <c r="B215" s="43" t="s">
        <v>6913</v>
      </c>
    </row>
    <row r="216" spans="1:3" x14ac:dyDescent="0.15">
      <c r="A216" s="191"/>
      <c r="B216" s="191" t="s">
        <v>5721</v>
      </c>
      <c r="C216" s="215" t="s">
        <v>6911</v>
      </c>
    </row>
    <row r="217" spans="1:3" x14ac:dyDescent="0.15">
      <c r="B217" s="191" t="s">
        <v>5722</v>
      </c>
      <c r="C217" s="120">
        <v>4388</v>
      </c>
    </row>
    <row r="218" spans="1:3" x14ac:dyDescent="0.15">
      <c r="B218" s="191" t="s">
        <v>5720</v>
      </c>
      <c r="C218" s="110" t="s">
        <v>6912</v>
      </c>
    </row>
    <row r="220" spans="1:3" x14ac:dyDescent="0.15">
      <c r="A220" s="222" t="s">
        <v>7287</v>
      </c>
      <c r="B220" s="43" t="s">
        <v>7285</v>
      </c>
    </row>
    <row r="221" spans="1:3" x14ac:dyDescent="0.15">
      <c r="B221" s="222" t="s">
        <v>5721</v>
      </c>
      <c r="C221" s="224" t="s">
        <v>7286</v>
      </c>
    </row>
    <row r="224" spans="1:3" x14ac:dyDescent="0.15">
      <c r="A224" s="117" t="s">
        <v>5772</v>
      </c>
      <c r="B224" s="43" t="s">
        <v>5789</v>
      </c>
    </row>
    <row r="225" spans="1:3" x14ac:dyDescent="0.15">
      <c r="B225" s="117" t="s">
        <v>5721</v>
      </c>
      <c r="C225" s="118" t="s">
        <v>5790</v>
      </c>
    </row>
    <row r="226" spans="1:3" x14ac:dyDescent="0.15">
      <c r="B226" s="117" t="s">
        <v>5722</v>
      </c>
      <c r="C226" s="128">
        <v>11155</v>
      </c>
    </row>
    <row r="227" spans="1:3" x14ac:dyDescent="0.15">
      <c r="B227" s="117" t="s">
        <v>5720</v>
      </c>
      <c r="C227" s="25" t="s">
        <v>5791</v>
      </c>
    </row>
    <row r="229" spans="1:3" x14ac:dyDescent="0.15">
      <c r="A229" s="117" t="s">
        <v>5773</v>
      </c>
      <c r="B229" s="43" t="s">
        <v>5792</v>
      </c>
    </row>
    <row r="230" spans="1:3" x14ac:dyDescent="0.15">
      <c r="B230" s="117" t="s">
        <v>5721</v>
      </c>
      <c r="C230" s="118" t="s">
        <v>5793</v>
      </c>
    </row>
    <row r="231" spans="1:3" x14ac:dyDescent="0.15">
      <c r="B231" s="117" t="s">
        <v>5722</v>
      </c>
      <c r="C231" s="131">
        <v>1218</v>
      </c>
    </row>
    <row r="232" spans="1:3" x14ac:dyDescent="0.15">
      <c r="B232" s="118" t="s">
        <v>5720</v>
      </c>
      <c r="C232" s="110" t="s">
        <v>5794</v>
      </c>
    </row>
    <row r="234" spans="1:3" x14ac:dyDescent="0.15">
      <c r="A234" s="117" t="s">
        <v>5774</v>
      </c>
      <c r="B234" s="43" t="s">
        <v>5795</v>
      </c>
    </row>
    <row r="235" spans="1:3" x14ac:dyDescent="0.15">
      <c r="B235" s="117" t="s">
        <v>5721</v>
      </c>
      <c r="C235" s="118" t="s">
        <v>5796</v>
      </c>
    </row>
    <row r="236" spans="1:3" x14ac:dyDescent="0.15">
      <c r="B236" s="117" t="s">
        <v>5722</v>
      </c>
      <c r="C236" s="125">
        <v>6961</v>
      </c>
    </row>
    <row r="237" spans="1:3" x14ac:dyDescent="0.15">
      <c r="B237" s="118" t="s">
        <v>5720</v>
      </c>
      <c r="C237" s="110" t="s">
        <v>5797</v>
      </c>
    </row>
    <row r="239" spans="1:3" x14ac:dyDescent="0.15">
      <c r="A239" s="222" t="s">
        <v>7263</v>
      </c>
      <c r="B239" s="43" t="s">
        <v>7261</v>
      </c>
    </row>
    <row r="240" spans="1:3" x14ac:dyDescent="0.15">
      <c r="B240" s="222" t="s">
        <v>5787</v>
      </c>
      <c r="C240" s="224" t="s">
        <v>7262</v>
      </c>
    </row>
    <row r="243" spans="1:3" x14ac:dyDescent="0.15">
      <c r="A243" s="117" t="s">
        <v>5776</v>
      </c>
      <c r="B243" s="43" t="s">
        <v>5800</v>
      </c>
    </row>
    <row r="244" spans="1:3" x14ac:dyDescent="0.15">
      <c r="B244" s="118" t="s">
        <v>5721</v>
      </c>
      <c r="C244" s="118" t="s">
        <v>5798</v>
      </c>
    </row>
    <row r="245" spans="1:3" x14ac:dyDescent="0.15">
      <c r="B245" s="118" t="s">
        <v>5722</v>
      </c>
      <c r="C245" s="130">
        <v>62084</v>
      </c>
    </row>
    <row r="246" spans="1:3" x14ac:dyDescent="0.15">
      <c r="B246" s="118" t="s">
        <v>5720</v>
      </c>
      <c r="C246" s="110" t="s">
        <v>5799</v>
      </c>
    </row>
    <row r="248" spans="1:3" x14ac:dyDescent="0.15">
      <c r="A248" s="117" t="s">
        <v>5775</v>
      </c>
      <c r="B248" s="43" t="s">
        <v>5802</v>
      </c>
    </row>
    <row r="249" spans="1:3" x14ac:dyDescent="0.15">
      <c r="B249" s="117" t="s">
        <v>5721</v>
      </c>
      <c r="C249" s="118" t="s">
        <v>5541</v>
      </c>
    </row>
    <row r="250" spans="1:3" x14ac:dyDescent="0.15">
      <c r="B250" s="117" t="s">
        <v>5722</v>
      </c>
      <c r="C250" s="130">
        <v>57102</v>
      </c>
    </row>
    <row r="251" spans="1:3" x14ac:dyDescent="0.15">
      <c r="B251" s="117" t="s">
        <v>5720</v>
      </c>
      <c r="C251" s="110" t="s">
        <v>5801</v>
      </c>
    </row>
    <row r="253" spans="1:3" x14ac:dyDescent="0.15">
      <c r="A253" s="117" t="s">
        <v>6093</v>
      </c>
      <c r="B253" s="43" t="s">
        <v>6189</v>
      </c>
    </row>
    <row r="254" spans="1:3" x14ac:dyDescent="0.15">
      <c r="B254" s="117" t="s">
        <v>5721</v>
      </c>
      <c r="C254" s="118" t="s">
        <v>6188</v>
      </c>
    </row>
    <row r="255" spans="1:3" x14ac:dyDescent="0.15">
      <c r="B255" s="117" t="s">
        <v>5722</v>
      </c>
      <c r="C255" s="145">
        <v>113005</v>
      </c>
    </row>
    <row r="256" spans="1:3" x14ac:dyDescent="0.15">
      <c r="B256" s="117" t="s">
        <v>5720</v>
      </c>
      <c r="C256" s="110" t="s">
        <v>6187</v>
      </c>
    </row>
    <row r="258" spans="1:3" x14ac:dyDescent="0.15">
      <c r="A258" s="117" t="s">
        <v>5777</v>
      </c>
      <c r="B258" s="43" t="s">
        <v>5803</v>
      </c>
    </row>
    <row r="259" spans="1:3" x14ac:dyDescent="0.15">
      <c r="B259" s="117" t="s">
        <v>5721</v>
      </c>
      <c r="C259" s="118" t="s">
        <v>5804</v>
      </c>
    </row>
    <row r="260" spans="1:3" x14ac:dyDescent="0.15">
      <c r="B260" s="117" t="s">
        <v>5722</v>
      </c>
      <c r="C260" s="131">
        <v>1812</v>
      </c>
    </row>
    <row r="261" spans="1:3" x14ac:dyDescent="0.15">
      <c r="B261" s="117" t="s">
        <v>5720</v>
      </c>
      <c r="C261" s="110" t="s">
        <v>5808</v>
      </c>
    </row>
    <row r="263" spans="1:3" x14ac:dyDescent="0.15">
      <c r="B263" s="43" t="s">
        <v>6086</v>
      </c>
    </row>
    <row r="264" spans="1:3" x14ac:dyDescent="0.15">
      <c r="B264" s="117" t="s">
        <v>5721</v>
      </c>
      <c r="C264" s="118" t="s">
        <v>6085</v>
      </c>
    </row>
    <row r="265" spans="1:3" x14ac:dyDescent="0.15">
      <c r="B265" s="117" t="s">
        <v>5722</v>
      </c>
    </row>
    <row r="266" spans="1:3" x14ac:dyDescent="0.15">
      <c r="B266" s="117" t="s">
        <v>5720</v>
      </c>
    </row>
    <row r="268" spans="1:3" x14ac:dyDescent="0.15">
      <c r="A268" s="117" t="s">
        <v>5778</v>
      </c>
      <c r="B268" s="43" t="s">
        <v>5690</v>
      </c>
    </row>
    <row r="269" spans="1:3" x14ac:dyDescent="0.15">
      <c r="B269" s="117" t="s">
        <v>5721</v>
      </c>
      <c r="C269" s="118" t="s">
        <v>5691</v>
      </c>
    </row>
    <row r="270" spans="1:3" x14ac:dyDescent="0.15">
      <c r="B270" s="117" t="s">
        <v>5722</v>
      </c>
      <c r="C270" s="128">
        <v>12844</v>
      </c>
    </row>
    <row r="271" spans="1:3" x14ac:dyDescent="0.15">
      <c r="B271" s="117" t="s">
        <v>4235</v>
      </c>
      <c r="C271" s="117" t="s">
        <v>5823</v>
      </c>
    </row>
    <row r="272" spans="1:3" x14ac:dyDescent="0.15">
      <c r="B272" s="117" t="s">
        <v>5720</v>
      </c>
      <c r="C272" s="25" t="s">
        <v>5822</v>
      </c>
    </row>
    <row r="274" spans="1:3" x14ac:dyDescent="0.15">
      <c r="A274" s="117" t="s">
        <v>6213</v>
      </c>
      <c r="B274" s="43" t="s">
        <v>6215</v>
      </c>
    </row>
    <row r="275" spans="1:3" x14ac:dyDescent="0.15">
      <c r="B275" s="117" t="s">
        <v>5721</v>
      </c>
      <c r="C275" s="118" t="s">
        <v>6214</v>
      </c>
    </row>
    <row r="276" spans="1:3" x14ac:dyDescent="0.15">
      <c r="B276" s="117" t="s">
        <v>5722</v>
      </c>
      <c r="C276" s="131">
        <v>4936</v>
      </c>
    </row>
    <row r="277" spans="1:3" x14ac:dyDescent="0.15">
      <c r="B277" s="117" t="s">
        <v>5720</v>
      </c>
      <c r="C277" s="25" t="s">
        <v>6212</v>
      </c>
    </row>
    <row r="278" spans="1:3" x14ac:dyDescent="0.15">
      <c r="B278" s="117" t="s">
        <v>5720</v>
      </c>
      <c r="C278" s="25" t="s">
        <v>6216</v>
      </c>
    </row>
    <row r="280" spans="1:3" x14ac:dyDescent="0.15">
      <c r="A280" s="117" t="s">
        <v>6256</v>
      </c>
      <c r="B280" s="43" t="s">
        <v>6253</v>
      </c>
    </row>
    <row r="281" spans="1:3" x14ac:dyDescent="0.15">
      <c r="B281" s="117" t="s">
        <v>5721</v>
      </c>
      <c r="C281" s="118" t="s">
        <v>6254</v>
      </c>
    </row>
    <row r="282" spans="1:3" x14ac:dyDescent="0.15">
      <c r="B282" s="117" t="s">
        <v>5722</v>
      </c>
      <c r="C282" s="131">
        <v>1783</v>
      </c>
    </row>
    <row r="283" spans="1:3" x14ac:dyDescent="0.15">
      <c r="B283" s="117" t="s">
        <v>5720</v>
      </c>
      <c r="C283" s="110" t="s">
        <v>6255</v>
      </c>
    </row>
    <row r="285" spans="1:3" x14ac:dyDescent="0.15">
      <c r="A285" s="191" t="s">
        <v>6893</v>
      </c>
      <c r="B285" s="43" t="s">
        <v>6894</v>
      </c>
    </row>
    <row r="286" spans="1:3" x14ac:dyDescent="0.15">
      <c r="B286" s="191" t="s">
        <v>5721</v>
      </c>
      <c r="C286" s="210" t="s">
        <v>6895</v>
      </c>
    </row>
    <row r="287" spans="1:3" x14ac:dyDescent="0.15">
      <c r="B287" s="191" t="s">
        <v>5722</v>
      </c>
      <c r="C287" s="131">
        <v>1669</v>
      </c>
    </row>
    <row r="288" spans="1:3" x14ac:dyDescent="0.15">
      <c r="B288" s="191" t="s">
        <v>5720</v>
      </c>
      <c r="C288" s="110" t="s">
        <v>6896</v>
      </c>
    </row>
    <row r="290" spans="1:3" x14ac:dyDescent="0.15">
      <c r="A290" s="191" t="s">
        <v>6943</v>
      </c>
      <c r="B290" s="43" t="s">
        <v>6944</v>
      </c>
    </row>
    <row r="291" spans="1:3" x14ac:dyDescent="0.15">
      <c r="B291" s="191" t="s">
        <v>5721</v>
      </c>
      <c r="C291" s="210" t="s">
        <v>6946</v>
      </c>
    </row>
    <row r="292" spans="1:3" x14ac:dyDescent="0.15">
      <c r="B292" s="191" t="s">
        <v>5722</v>
      </c>
      <c r="C292" s="131">
        <v>1323</v>
      </c>
    </row>
    <row r="293" spans="1:3" x14ac:dyDescent="0.15">
      <c r="B293" s="191" t="s">
        <v>5720</v>
      </c>
      <c r="C293" s="110" t="s">
        <v>6945</v>
      </c>
    </row>
    <row r="295" spans="1:3" x14ac:dyDescent="0.15">
      <c r="A295" s="117" t="s">
        <v>5805</v>
      </c>
      <c r="B295" s="43" t="s">
        <v>5824</v>
      </c>
    </row>
    <row r="296" spans="1:3" x14ac:dyDescent="0.15">
      <c r="B296" s="117" t="s">
        <v>5721</v>
      </c>
      <c r="C296" s="118" t="s">
        <v>5825</v>
      </c>
    </row>
    <row r="297" spans="1:3" x14ac:dyDescent="0.15">
      <c r="B297" s="117" t="s">
        <v>5722</v>
      </c>
      <c r="C297" s="130">
        <v>65618</v>
      </c>
    </row>
    <row r="298" spans="1:3" x14ac:dyDescent="0.15">
      <c r="B298" s="117" t="s">
        <v>5720</v>
      </c>
      <c r="C298" s="25" t="s">
        <v>5827</v>
      </c>
    </row>
    <row r="300" spans="1:3" x14ac:dyDescent="0.15">
      <c r="A300" s="117" t="s">
        <v>5807</v>
      </c>
      <c r="B300" s="43" t="s">
        <v>5547</v>
      </c>
    </row>
    <row r="301" spans="1:3" x14ac:dyDescent="0.15">
      <c r="B301" s="117" t="s">
        <v>5721</v>
      </c>
      <c r="C301" s="118" t="s">
        <v>5548</v>
      </c>
    </row>
    <row r="302" spans="1:3" x14ac:dyDescent="0.15">
      <c r="B302" s="117" t="s">
        <v>5722</v>
      </c>
      <c r="C302" s="132">
        <v>20836</v>
      </c>
    </row>
    <row r="303" spans="1:3" x14ac:dyDescent="0.15">
      <c r="B303" s="117" t="s">
        <v>5720</v>
      </c>
      <c r="C303" s="110" t="s">
        <v>5828</v>
      </c>
    </row>
    <row r="305" spans="1:3" x14ac:dyDescent="0.15">
      <c r="A305" s="117" t="s">
        <v>5806</v>
      </c>
      <c r="B305" s="43" t="s">
        <v>5826</v>
      </c>
    </row>
    <row r="306" spans="1:3" x14ac:dyDescent="0.15">
      <c r="B306" s="117" t="s">
        <v>5721</v>
      </c>
      <c r="C306" s="118" t="s">
        <v>5829</v>
      </c>
    </row>
    <row r="307" spans="1:3" x14ac:dyDescent="0.15">
      <c r="B307" s="117" t="s">
        <v>5722</v>
      </c>
      <c r="C307" s="128">
        <v>19905</v>
      </c>
    </row>
    <row r="308" spans="1:3" x14ac:dyDescent="0.15">
      <c r="B308" s="117" t="s">
        <v>5720</v>
      </c>
      <c r="C308" s="110" t="s">
        <v>5830</v>
      </c>
    </row>
    <row r="310" spans="1:3" x14ac:dyDescent="0.15">
      <c r="A310" s="191" t="s">
        <v>6902</v>
      </c>
      <c r="B310" s="43" t="s">
        <v>6905</v>
      </c>
    </row>
    <row r="311" spans="1:3" x14ac:dyDescent="0.15">
      <c r="B311" s="191" t="s">
        <v>5721</v>
      </c>
      <c r="C311" s="210" t="s">
        <v>6903</v>
      </c>
    </row>
    <row r="312" spans="1:3" x14ac:dyDescent="0.15">
      <c r="B312" s="191" t="s">
        <v>5722</v>
      </c>
      <c r="C312" s="131">
        <v>1875</v>
      </c>
    </row>
    <row r="313" spans="1:3" x14ac:dyDescent="0.15">
      <c r="B313" s="191" t="s">
        <v>5720</v>
      </c>
      <c r="C313" s="110" t="s">
        <v>6904</v>
      </c>
    </row>
    <row r="315" spans="1:3" x14ac:dyDescent="0.15">
      <c r="A315" s="117" t="s">
        <v>6181</v>
      </c>
      <c r="B315" s="43" t="s">
        <v>6225</v>
      </c>
    </row>
    <row r="316" spans="1:3" x14ac:dyDescent="0.15">
      <c r="B316" s="117" t="s">
        <v>5721</v>
      </c>
      <c r="C316" s="118" t="s">
        <v>6224</v>
      </c>
    </row>
    <row r="317" spans="1:3" x14ac:dyDescent="0.15">
      <c r="B317" s="117" t="s">
        <v>5722</v>
      </c>
      <c r="C317" s="131">
        <v>2736</v>
      </c>
    </row>
    <row r="318" spans="1:3" x14ac:dyDescent="0.15">
      <c r="B318" s="117" t="s">
        <v>5720</v>
      </c>
      <c r="C318" s="110" t="s">
        <v>6226</v>
      </c>
    </row>
    <row r="320" spans="1:3" x14ac:dyDescent="0.15">
      <c r="A320" s="117" t="s">
        <v>6227</v>
      </c>
      <c r="B320" s="43" t="s">
        <v>6184</v>
      </c>
    </row>
    <row r="321" spans="1:3" x14ac:dyDescent="0.15">
      <c r="B321" s="117" t="s">
        <v>5721</v>
      </c>
      <c r="C321" s="118" t="s">
        <v>6182</v>
      </c>
    </row>
    <row r="322" spans="1:3" x14ac:dyDescent="0.15">
      <c r="B322" s="117" t="s">
        <v>5722</v>
      </c>
      <c r="C322" s="131">
        <v>1161</v>
      </c>
    </row>
    <row r="323" spans="1:3" x14ac:dyDescent="0.15">
      <c r="B323" s="117" t="s">
        <v>5720</v>
      </c>
      <c r="C323" s="110" t="s">
        <v>6183</v>
      </c>
    </row>
    <row r="325" spans="1:3" x14ac:dyDescent="0.15">
      <c r="A325" s="117" t="s">
        <v>5831</v>
      </c>
      <c r="B325" s="43" t="s">
        <v>5832</v>
      </c>
    </row>
    <row r="326" spans="1:3" x14ac:dyDescent="0.15">
      <c r="B326" s="117" t="s">
        <v>5721</v>
      </c>
      <c r="C326" s="118" t="s">
        <v>5833</v>
      </c>
    </row>
    <row r="327" spans="1:3" x14ac:dyDescent="0.15">
      <c r="B327" s="117" t="s">
        <v>5722</v>
      </c>
      <c r="C327" s="130">
        <v>35378</v>
      </c>
    </row>
    <row r="328" spans="1:3" x14ac:dyDescent="0.15">
      <c r="B328" s="117" t="s">
        <v>5720</v>
      </c>
      <c r="C328" s="25" t="s">
        <v>5834</v>
      </c>
    </row>
    <row r="330" spans="1:3" x14ac:dyDescent="0.15">
      <c r="A330" s="191" t="s">
        <v>6930</v>
      </c>
      <c r="B330" s="43" t="s">
        <v>6931</v>
      </c>
    </row>
    <row r="331" spans="1:3" x14ac:dyDescent="0.15">
      <c r="B331" s="191" t="s">
        <v>5721</v>
      </c>
      <c r="C331" s="210" t="s">
        <v>6932</v>
      </c>
    </row>
    <row r="332" spans="1:3" x14ac:dyDescent="0.15">
      <c r="B332" s="191" t="s">
        <v>5722</v>
      </c>
      <c r="C332" s="125">
        <v>7185</v>
      </c>
    </row>
    <row r="333" spans="1:3" x14ac:dyDescent="0.15">
      <c r="B333" s="191" t="s">
        <v>5720</v>
      </c>
      <c r="C333" s="110" t="s">
        <v>6933</v>
      </c>
    </row>
    <row r="335" spans="1:3" x14ac:dyDescent="0.15">
      <c r="A335" s="117" t="s">
        <v>5835</v>
      </c>
      <c r="B335" s="43" t="s">
        <v>6202</v>
      </c>
    </row>
    <row r="336" spans="1:3" x14ac:dyDescent="0.15">
      <c r="B336" s="117" t="s">
        <v>5721</v>
      </c>
      <c r="C336" s="118" t="s">
        <v>6203</v>
      </c>
    </row>
    <row r="337" spans="1:3" x14ac:dyDescent="0.15">
      <c r="B337" s="117" t="s">
        <v>5722</v>
      </c>
      <c r="C337" s="130">
        <v>55215</v>
      </c>
    </row>
    <row r="338" spans="1:3" x14ac:dyDescent="0.15">
      <c r="B338" s="117" t="s">
        <v>5720</v>
      </c>
      <c r="C338" s="110" t="s">
        <v>6204</v>
      </c>
    </row>
    <row r="340" spans="1:3" x14ac:dyDescent="0.15">
      <c r="A340" s="117" t="s">
        <v>5935</v>
      </c>
      <c r="B340" s="43" t="s">
        <v>5550</v>
      </c>
    </row>
    <row r="341" spans="1:3" x14ac:dyDescent="0.15">
      <c r="B341" s="117" t="s">
        <v>5721</v>
      </c>
      <c r="C341" s="118" t="s">
        <v>5549</v>
      </c>
    </row>
    <row r="342" spans="1:3" x14ac:dyDescent="0.15">
      <c r="B342" s="117" t="s">
        <v>5722</v>
      </c>
      <c r="C342" s="132">
        <v>23440</v>
      </c>
    </row>
    <row r="343" spans="1:3" x14ac:dyDescent="0.15">
      <c r="B343" s="117" t="s">
        <v>5720</v>
      </c>
      <c r="C343" s="25" t="s">
        <v>5837</v>
      </c>
    </row>
    <row r="345" spans="1:3" x14ac:dyDescent="0.15">
      <c r="A345" s="117" t="s">
        <v>6205</v>
      </c>
      <c r="B345" s="43" t="s">
        <v>6342</v>
      </c>
    </row>
    <row r="346" spans="1:3" x14ac:dyDescent="0.15">
      <c r="B346" s="117" t="s">
        <v>5721</v>
      </c>
      <c r="C346" s="118" t="s">
        <v>6343</v>
      </c>
    </row>
    <row r="347" spans="1:3" x14ac:dyDescent="0.15">
      <c r="B347" s="117" t="s">
        <v>5722</v>
      </c>
      <c r="C347" s="131">
        <v>3366</v>
      </c>
    </row>
    <row r="348" spans="1:3" ht="14" x14ac:dyDescent="0.2">
      <c r="B348" s="117" t="s">
        <v>5720</v>
      </c>
      <c r="C348" s="160" t="s">
        <v>6341</v>
      </c>
    </row>
    <row r="350" spans="1:3" x14ac:dyDescent="0.15">
      <c r="A350" s="117" t="s">
        <v>6239</v>
      </c>
      <c r="B350" s="43" t="s">
        <v>6237</v>
      </c>
    </row>
    <row r="351" spans="1:3" x14ac:dyDescent="0.15">
      <c r="B351" s="117" t="s">
        <v>5721</v>
      </c>
      <c r="C351" s="118" t="s">
        <v>6238</v>
      </c>
    </row>
    <row r="352" spans="1:3" x14ac:dyDescent="0.15">
      <c r="B352" s="117" t="s">
        <v>5722</v>
      </c>
      <c r="C352" s="131">
        <v>2819</v>
      </c>
    </row>
    <row r="353" spans="1:3" x14ac:dyDescent="0.15">
      <c r="B353" s="117" t="s">
        <v>5720</v>
      </c>
      <c r="C353" s="110" t="s">
        <v>6236</v>
      </c>
    </row>
    <row r="354" spans="1:3" x14ac:dyDescent="0.15">
      <c r="C354" s="110"/>
    </row>
    <row r="355" spans="1:3" x14ac:dyDescent="0.15">
      <c r="A355" s="191" t="s">
        <v>6344</v>
      </c>
      <c r="B355" s="43" t="s">
        <v>7008</v>
      </c>
      <c r="C355" s="110"/>
    </row>
    <row r="356" spans="1:3" x14ac:dyDescent="0.15">
      <c r="B356" s="191" t="s">
        <v>5721</v>
      </c>
      <c r="C356" s="191" t="s">
        <v>7009</v>
      </c>
    </row>
    <row r="357" spans="1:3" x14ac:dyDescent="0.15">
      <c r="B357" s="191" t="s">
        <v>5722</v>
      </c>
      <c r="C357" s="131">
        <v>1249</v>
      </c>
    </row>
    <row r="358" spans="1:3" x14ac:dyDescent="0.15">
      <c r="B358" s="191" t="s">
        <v>5720</v>
      </c>
      <c r="C358" s="110" t="s">
        <v>7004</v>
      </c>
    </row>
    <row r="359" spans="1:3" x14ac:dyDescent="0.15">
      <c r="C359" s="110"/>
    </row>
    <row r="360" spans="1:3" x14ac:dyDescent="0.15">
      <c r="A360" s="191" t="s">
        <v>6897</v>
      </c>
      <c r="B360" s="43" t="s">
        <v>5934</v>
      </c>
    </row>
    <row r="361" spans="1:3" x14ac:dyDescent="0.15">
      <c r="B361" s="117" t="s">
        <v>5721</v>
      </c>
      <c r="C361" s="118" t="s">
        <v>5549</v>
      </c>
    </row>
    <row r="362" spans="1:3" x14ac:dyDescent="0.15">
      <c r="B362" s="117" t="s">
        <v>5722</v>
      </c>
      <c r="C362" s="131">
        <v>55</v>
      </c>
    </row>
    <row r="363" spans="1:3" x14ac:dyDescent="0.15">
      <c r="B363" s="117" t="s">
        <v>5720</v>
      </c>
      <c r="C363" s="25" t="s">
        <v>5936</v>
      </c>
    </row>
    <row r="365" spans="1:3" x14ac:dyDescent="0.15">
      <c r="A365" s="191" t="s">
        <v>7007</v>
      </c>
      <c r="B365" s="43" t="s">
        <v>6900</v>
      </c>
    </row>
    <row r="366" spans="1:3" x14ac:dyDescent="0.15">
      <c r="B366" s="191" t="s">
        <v>5721</v>
      </c>
      <c r="C366" s="210" t="s">
        <v>6898</v>
      </c>
    </row>
    <row r="367" spans="1:3" x14ac:dyDescent="0.15">
      <c r="B367" s="191" t="s">
        <v>5722</v>
      </c>
      <c r="C367" s="214" t="s">
        <v>1</v>
      </c>
    </row>
    <row r="368" spans="1:3" ht="15" x14ac:dyDescent="0.2">
      <c r="B368" s="191" t="s">
        <v>5720</v>
      </c>
      <c r="C368" s="167" t="s">
        <v>6899</v>
      </c>
    </row>
    <row r="370" spans="1:3" x14ac:dyDescent="0.15">
      <c r="A370" s="117" t="s">
        <v>5838</v>
      </c>
      <c r="B370" s="43" t="s">
        <v>7145</v>
      </c>
    </row>
    <row r="371" spans="1:3" x14ac:dyDescent="0.15">
      <c r="B371" s="117" t="s">
        <v>5721</v>
      </c>
      <c r="C371" s="210" t="s">
        <v>7142</v>
      </c>
    </row>
    <row r="372" spans="1:3" x14ac:dyDescent="0.15">
      <c r="B372" s="117" t="s">
        <v>5722</v>
      </c>
      <c r="C372" s="130">
        <v>55931</v>
      </c>
    </row>
    <row r="373" spans="1:3" x14ac:dyDescent="0.15">
      <c r="B373" s="117" t="s">
        <v>5720</v>
      </c>
      <c r="C373" s="25" t="s">
        <v>5839</v>
      </c>
    </row>
    <row r="375" spans="1:3" x14ac:dyDescent="0.15">
      <c r="A375" s="117" t="s">
        <v>5840</v>
      </c>
      <c r="B375" s="43" t="s">
        <v>5544</v>
      </c>
    </row>
    <row r="376" spans="1:3" x14ac:dyDescent="0.15">
      <c r="B376" s="117" t="s">
        <v>5721</v>
      </c>
      <c r="C376" s="118" t="s">
        <v>5545</v>
      </c>
    </row>
    <row r="377" spans="1:3" x14ac:dyDescent="0.15">
      <c r="B377" s="117" t="s">
        <v>5722</v>
      </c>
      <c r="C377" s="132">
        <v>21401</v>
      </c>
    </row>
    <row r="378" spans="1:3" x14ac:dyDescent="0.15">
      <c r="B378" s="117" t="s">
        <v>5720</v>
      </c>
      <c r="C378" s="25" t="s">
        <v>5841</v>
      </c>
    </row>
    <row r="380" spans="1:3" x14ac:dyDescent="0.15">
      <c r="A380" s="117" t="s">
        <v>5844</v>
      </c>
      <c r="B380" s="43" t="s">
        <v>5842</v>
      </c>
    </row>
    <row r="381" spans="1:3" x14ac:dyDescent="0.15">
      <c r="B381" s="117" t="s">
        <v>5721</v>
      </c>
      <c r="C381" s="118" t="s">
        <v>5843</v>
      </c>
    </row>
    <row r="382" spans="1:3" x14ac:dyDescent="0.15">
      <c r="B382" s="117" t="s">
        <v>5722</v>
      </c>
      <c r="C382" s="132">
        <v>22158</v>
      </c>
    </row>
    <row r="383" spans="1:3" x14ac:dyDescent="0.15">
      <c r="B383" s="117" t="s">
        <v>5720</v>
      </c>
      <c r="C383" s="25" t="s">
        <v>5845</v>
      </c>
    </row>
    <row r="385" spans="1:3" x14ac:dyDescent="0.15">
      <c r="A385" s="117" t="s">
        <v>5846</v>
      </c>
      <c r="B385" s="43" t="s">
        <v>6337</v>
      </c>
    </row>
    <row r="386" spans="1:3" x14ac:dyDescent="0.15">
      <c r="B386" s="117" t="s">
        <v>5721</v>
      </c>
      <c r="C386" s="118" t="s">
        <v>6338</v>
      </c>
    </row>
    <row r="387" spans="1:3" x14ac:dyDescent="0.15">
      <c r="B387" s="117" t="s">
        <v>5722</v>
      </c>
      <c r="C387" s="131">
        <v>2712</v>
      </c>
    </row>
    <row r="388" spans="1:3" x14ac:dyDescent="0.15">
      <c r="B388" s="117" t="s">
        <v>5720</v>
      </c>
      <c r="C388" s="110" t="s">
        <v>6339</v>
      </c>
    </row>
    <row r="390" spans="1:3" x14ac:dyDescent="0.15">
      <c r="A390" s="117" t="s">
        <v>6244</v>
      </c>
      <c r="B390" s="43" t="s">
        <v>5516</v>
      </c>
    </row>
    <row r="391" spans="1:3" x14ac:dyDescent="0.15">
      <c r="B391" s="117" t="s">
        <v>5721</v>
      </c>
      <c r="C391" s="118" t="s">
        <v>5515</v>
      </c>
    </row>
    <row r="392" spans="1:3" x14ac:dyDescent="0.15">
      <c r="B392" s="117" t="s">
        <v>5722</v>
      </c>
      <c r="C392" s="131">
        <v>1164</v>
      </c>
    </row>
    <row r="393" spans="1:3" x14ac:dyDescent="0.15">
      <c r="B393" s="117" t="s">
        <v>5720</v>
      </c>
      <c r="C393" s="25" t="s">
        <v>5847</v>
      </c>
    </row>
    <row r="394" spans="1:3" x14ac:dyDescent="0.15">
      <c r="C394" s="118" t="s">
        <v>4255</v>
      </c>
    </row>
    <row r="395" spans="1:3" x14ac:dyDescent="0.15">
      <c r="C395" s="118" t="s">
        <v>4254</v>
      </c>
    </row>
    <row r="396" spans="1:3" x14ac:dyDescent="0.15">
      <c r="C396" s="118" t="s">
        <v>4253</v>
      </c>
    </row>
    <row r="397" spans="1:3" x14ac:dyDescent="0.15">
      <c r="C397" s="118" t="s">
        <v>4252</v>
      </c>
    </row>
    <row r="398" spans="1:3" x14ac:dyDescent="0.15">
      <c r="C398" s="118" t="s">
        <v>4251</v>
      </c>
    </row>
    <row r="399" spans="1:3" x14ac:dyDescent="0.15">
      <c r="C399" s="118" t="s">
        <v>4250</v>
      </c>
    </row>
    <row r="400" spans="1:3" x14ac:dyDescent="0.15">
      <c r="C400" s="118" t="s">
        <v>4249</v>
      </c>
    </row>
    <row r="401" spans="1:3" x14ac:dyDescent="0.15">
      <c r="C401" s="118" t="s">
        <v>4248</v>
      </c>
    </row>
    <row r="402" spans="1:3" x14ac:dyDescent="0.15">
      <c r="C402" s="118" t="s">
        <v>4247</v>
      </c>
    </row>
    <row r="404" spans="1:3" x14ac:dyDescent="0.15">
      <c r="A404" s="117" t="s">
        <v>6340</v>
      </c>
      <c r="B404" s="43" t="s">
        <v>6242</v>
      </c>
    </row>
    <row r="405" spans="1:3" x14ac:dyDescent="0.15">
      <c r="B405" s="117" t="s">
        <v>5721</v>
      </c>
      <c r="C405" s="118" t="s">
        <v>4166</v>
      </c>
    </row>
    <row r="406" spans="1:3" x14ac:dyDescent="0.15">
      <c r="B406" s="117" t="s">
        <v>5722</v>
      </c>
      <c r="C406" s="131">
        <v>780</v>
      </c>
    </row>
    <row r="407" spans="1:3" x14ac:dyDescent="0.15">
      <c r="B407" s="117" t="s">
        <v>5720</v>
      </c>
      <c r="C407" s="110" t="s">
        <v>6243</v>
      </c>
    </row>
    <row r="409" spans="1:3" x14ac:dyDescent="0.15">
      <c r="A409" s="191" t="s">
        <v>6194</v>
      </c>
      <c r="B409" s="43" t="s">
        <v>6992</v>
      </c>
    </row>
    <row r="410" spans="1:3" x14ac:dyDescent="0.15">
      <c r="B410" s="191" t="s">
        <v>5721</v>
      </c>
      <c r="C410" s="210" t="s">
        <v>6990</v>
      </c>
    </row>
    <row r="411" spans="1:3" x14ac:dyDescent="0.15">
      <c r="B411" s="191" t="s">
        <v>5722</v>
      </c>
      <c r="C411" s="131">
        <v>1188</v>
      </c>
    </row>
    <row r="412" spans="1:3" x14ac:dyDescent="0.15">
      <c r="B412" s="191" t="s">
        <v>5720</v>
      </c>
      <c r="C412" s="110" t="s">
        <v>6991</v>
      </c>
    </row>
    <row r="414" spans="1:3" x14ac:dyDescent="0.15">
      <c r="A414" s="191" t="s">
        <v>6248</v>
      </c>
      <c r="B414" s="43" t="s">
        <v>6245</v>
      </c>
      <c r="C414" s="110"/>
    </row>
    <row r="415" spans="1:3" x14ac:dyDescent="0.15">
      <c r="B415" s="117" t="s">
        <v>5721</v>
      </c>
      <c r="C415" s="117" t="s">
        <v>6247</v>
      </c>
    </row>
    <row r="416" spans="1:3" x14ac:dyDescent="0.15">
      <c r="B416" s="117" t="s">
        <v>5722</v>
      </c>
      <c r="C416" s="131">
        <v>554</v>
      </c>
    </row>
    <row r="417" spans="1:3" x14ac:dyDescent="0.15">
      <c r="B417" s="117" t="s">
        <v>5720</v>
      </c>
      <c r="C417" s="110" t="s">
        <v>6246</v>
      </c>
    </row>
    <row r="419" spans="1:3" x14ac:dyDescent="0.15">
      <c r="A419" s="191" t="s">
        <v>6989</v>
      </c>
      <c r="B419" s="43" t="s">
        <v>6195</v>
      </c>
    </row>
    <row r="420" spans="1:3" x14ac:dyDescent="0.15">
      <c r="B420" s="117" t="s">
        <v>5721</v>
      </c>
      <c r="C420" s="118" t="s">
        <v>6196</v>
      </c>
    </row>
    <row r="421" spans="1:3" x14ac:dyDescent="0.15">
      <c r="B421" s="117" t="s">
        <v>5722</v>
      </c>
      <c r="C421" s="131">
        <v>383</v>
      </c>
    </row>
    <row r="422" spans="1:3" x14ac:dyDescent="0.15">
      <c r="B422" s="117" t="s">
        <v>5720</v>
      </c>
      <c r="C422" s="110" t="s">
        <v>6197</v>
      </c>
    </row>
    <row r="423" spans="1:3" x14ac:dyDescent="0.15">
      <c r="C423" s="110"/>
    </row>
    <row r="424" spans="1:3" x14ac:dyDescent="0.15">
      <c r="A424" s="117" t="s">
        <v>5848</v>
      </c>
      <c r="B424" s="43" t="s">
        <v>6159</v>
      </c>
    </row>
    <row r="425" spans="1:3" x14ac:dyDescent="0.15">
      <c r="B425" s="117" t="s">
        <v>5721</v>
      </c>
      <c r="C425" s="118" t="s">
        <v>6160</v>
      </c>
    </row>
    <row r="426" spans="1:3" x14ac:dyDescent="0.15">
      <c r="B426" s="117" t="s">
        <v>5722</v>
      </c>
      <c r="C426" s="145">
        <v>119294</v>
      </c>
    </row>
    <row r="427" spans="1:3" x14ac:dyDescent="0.15">
      <c r="B427" s="117" t="s">
        <v>5720</v>
      </c>
      <c r="C427" s="110" t="s">
        <v>5697</v>
      </c>
    </row>
    <row r="428" spans="1:3" x14ac:dyDescent="0.15">
      <c r="B428" s="117" t="s">
        <v>5720</v>
      </c>
      <c r="C428" s="110" t="s">
        <v>6185</v>
      </c>
    </row>
    <row r="429" spans="1:3" x14ac:dyDescent="0.15">
      <c r="B429" s="117" t="s">
        <v>5720</v>
      </c>
      <c r="C429" s="110" t="s">
        <v>6186</v>
      </c>
    </row>
    <row r="430" spans="1:3" x14ac:dyDescent="0.15">
      <c r="C430" s="110"/>
    </row>
    <row r="431" spans="1:3" x14ac:dyDescent="0.15">
      <c r="A431" s="117" t="s">
        <v>5849</v>
      </c>
      <c r="B431" s="43" t="s">
        <v>6235</v>
      </c>
      <c r="C431" s="110"/>
    </row>
    <row r="432" spans="1:3" x14ac:dyDescent="0.15">
      <c r="B432" s="117" t="s">
        <v>5721</v>
      </c>
      <c r="C432" s="117" t="s">
        <v>6234</v>
      </c>
    </row>
    <row r="433" spans="1:3" x14ac:dyDescent="0.15">
      <c r="B433" s="117" t="s">
        <v>5722</v>
      </c>
      <c r="C433" s="128">
        <v>10383</v>
      </c>
    </row>
    <row r="434" spans="1:3" x14ac:dyDescent="0.15">
      <c r="B434" s="117" t="s">
        <v>5720</v>
      </c>
      <c r="C434" s="110" t="s">
        <v>6233</v>
      </c>
    </row>
    <row r="435" spans="1:3" x14ac:dyDescent="0.15">
      <c r="C435" s="110"/>
    </row>
    <row r="436" spans="1:3" x14ac:dyDescent="0.15">
      <c r="A436" s="117" t="s">
        <v>5916</v>
      </c>
      <c r="B436" s="43" t="s">
        <v>5850</v>
      </c>
    </row>
    <row r="437" spans="1:3" x14ac:dyDescent="0.15">
      <c r="B437" s="117" t="s">
        <v>5721</v>
      </c>
      <c r="C437" s="118" t="s">
        <v>5546</v>
      </c>
    </row>
    <row r="438" spans="1:3" x14ac:dyDescent="0.15">
      <c r="B438" s="117" t="s">
        <v>5722</v>
      </c>
      <c r="C438" s="128">
        <v>10224</v>
      </c>
    </row>
    <row r="439" spans="1:3" x14ac:dyDescent="0.15">
      <c r="B439" s="117" t="s">
        <v>5720</v>
      </c>
      <c r="C439" s="25" t="s">
        <v>5851</v>
      </c>
    </row>
    <row r="441" spans="1:3" x14ac:dyDescent="0.15">
      <c r="A441" s="117" t="s">
        <v>6198</v>
      </c>
      <c r="B441" s="43" t="s">
        <v>6199</v>
      </c>
    </row>
    <row r="442" spans="1:3" x14ac:dyDescent="0.15">
      <c r="B442" s="117" t="s">
        <v>5721</v>
      </c>
      <c r="C442" s="118" t="s">
        <v>6201</v>
      </c>
    </row>
    <row r="443" spans="1:3" x14ac:dyDescent="0.15">
      <c r="B443" s="117" t="s">
        <v>5722</v>
      </c>
      <c r="C443" s="125">
        <v>6961</v>
      </c>
    </row>
    <row r="444" spans="1:3" x14ac:dyDescent="0.15">
      <c r="B444" s="117" t="s">
        <v>5720</v>
      </c>
      <c r="C444" s="110" t="s">
        <v>6200</v>
      </c>
    </row>
    <row r="446" spans="1:3" x14ac:dyDescent="0.15">
      <c r="A446" s="117" t="s">
        <v>6232</v>
      </c>
      <c r="B446" s="43" t="s">
        <v>5917</v>
      </c>
    </row>
    <row r="447" spans="1:3" x14ac:dyDescent="0.15">
      <c r="B447" s="117" t="s">
        <v>5721</v>
      </c>
      <c r="C447" s="118" t="s">
        <v>5918</v>
      </c>
    </row>
    <row r="448" spans="1:3" x14ac:dyDescent="0.15">
      <c r="B448" s="117" t="s">
        <v>5722</v>
      </c>
      <c r="C448" s="131">
        <v>592</v>
      </c>
    </row>
    <row r="449" spans="1:3" x14ac:dyDescent="0.15">
      <c r="B449" s="117" t="s">
        <v>5720</v>
      </c>
      <c r="C449" s="110" t="s">
        <v>5919</v>
      </c>
    </row>
    <row r="451" spans="1:3" x14ac:dyDescent="0.15">
      <c r="A451" s="117" t="s">
        <v>5852</v>
      </c>
      <c r="B451" s="43" t="s">
        <v>5642</v>
      </c>
    </row>
    <row r="452" spans="1:3" x14ac:dyDescent="0.15">
      <c r="B452" s="117" t="s">
        <v>5721</v>
      </c>
      <c r="C452" s="118" t="s">
        <v>5643</v>
      </c>
    </row>
    <row r="453" spans="1:3" x14ac:dyDescent="0.15">
      <c r="B453" s="117" t="s">
        <v>5722</v>
      </c>
      <c r="C453" s="130">
        <v>39916</v>
      </c>
    </row>
    <row r="454" spans="1:3" x14ac:dyDescent="0.15">
      <c r="B454" s="117" t="s">
        <v>5720</v>
      </c>
      <c r="C454" s="25" t="s">
        <v>5853</v>
      </c>
    </row>
    <row r="456" spans="1:3" x14ac:dyDescent="0.15">
      <c r="A456" s="117" t="s">
        <v>5854</v>
      </c>
      <c r="B456" s="43" t="s">
        <v>5855</v>
      </c>
    </row>
    <row r="457" spans="1:3" x14ac:dyDescent="0.15">
      <c r="B457" s="117" t="s">
        <v>5721</v>
      </c>
      <c r="C457" s="118" t="s">
        <v>5856</v>
      </c>
    </row>
    <row r="458" spans="1:3" x14ac:dyDescent="0.15">
      <c r="B458" s="117" t="s">
        <v>5722</v>
      </c>
      <c r="C458" s="130">
        <v>36613</v>
      </c>
    </row>
    <row r="459" spans="1:3" x14ac:dyDescent="0.15">
      <c r="B459" s="117" t="s">
        <v>5720</v>
      </c>
      <c r="C459" s="25" t="s">
        <v>5857</v>
      </c>
    </row>
    <row r="461" spans="1:3" x14ac:dyDescent="0.15">
      <c r="A461" s="117" t="s">
        <v>5858</v>
      </c>
      <c r="B461" s="43" t="s">
        <v>5527</v>
      </c>
    </row>
    <row r="462" spans="1:3" x14ac:dyDescent="0.15">
      <c r="B462" s="117" t="s">
        <v>5721</v>
      </c>
      <c r="C462" s="118" t="s">
        <v>5528</v>
      </c>
    </row>
    <row r="463" spans="1:3" x14ac:dyDescent="0.15">
      <c r="B463" s="117" t="s">
        <v>5722</v>
      </c>
      <c r="C463" s="128">
        <v>13688</v>
      </c>
    </row>
    <row r="464" spans="1:3" x14ac:dyDescent="0.15">
      <c r="B464" s="117" t="s">
        <v>5720</v>
      </c>
      <c r="C464" s="25" t="s">
        <v>5859</v>
      </c>
    </row>
    <row r="466" spans="1:3" x14ac:dyDescent="0.15">
      <c r="A466" s="117" t="s">
        <v>5860</v>
      </c>
      <c r="B466" s="43" t="s">
        <v>5871</v>
      </c>
    </row>
    <row r="467" spans="1:3" x14ac:dyDescent="0.15">
      <c r="B467" s="117" t="s">
        <v>5721</v>
      </c>
      <c r="C467" s="118" t="s">
        <v>5507</v>
      </c>
    </row>
    <row r="468" spans="1:3" x14ac:dyDescent="0.15">
      <c r="B468" s="117" t="s">
        <v>5722</v>
      </c>
      <c r="C468" s="128">
        <v>12509</v>
      </c>
    </row>
    <row r="469" spans="1:3" x14ac:dyDescent="0.15">
      <c r="B469" s="117" t="s">
        <v>5720</v>
      </c>
      <c r="C469" s="25" t="s">
        <v>5883</v>
      </c>
    </row>
    <row r="471" spans="1:3" x14ac:dyDescent="0.15">
      <c r="A471" s="117" t="s">
        <v>5861</v>
      </c>
      <c r="B471" s="43" t="s">
        <v>5884</v>
      </c>
    </row>
    <row r="472" spans="1:3" x14ac:dyDescent="0.15">
      <c r="B472" s="117" t="s">
        <v>5721</v>
      </c>
      <c r="C472" s="118" t="s">
        <v>5886</v>
      </c>
    </row>
    <row r="473" spans="1:3" x14ac:dyDescent="0.15">
      <c r="B473" s="117" t="s">
        <v>5722</v>
      </c>
      <c r="C473" s="128">
        <v>10378</v>
      </c>
    </row>
    <row r="474" spans="1:3" x14ac:dyDescent="0.15">
      <c r="B474" s="117" t="s">
        <v>5720</v>
      </c>
      <c r="C474" s="25" t="s">
        <v>5885</v>
      </c>
    </row>
    <row r="476" spans="1:3" x14ac:dyDescent="0.15">
      <c r="A476" s="191" t="s">
        <v>6918</v>
      </c>
      <c r="B476" s="43" t="s">
        <v>6919</v>
      </c>
    </row>
    <row r="477" spans="1:3" x14ac:dyDescent="0.15">
      <c r="B477" s="191" t="s">
        <v>5721</v>
      </c>
      <c r="C477" s="210" t="s">
        <v>6920</v>
      </c>
    </row>
    <row r="478" spans="1:3" x14ac:dyDescent="0.15">
      <c r="B478" s="191" t="s">
        <v>5722</v>
      </c>
      <c r="C478" s="131">
        <v>1142</v>
      </c>
    </row>
    <row r="479" spans="1:3" x14ac:dyDescent="0.15">
      <c r="B479" s="191" t="s">
        <v>5720</v>
      </c>
      <c r="C479" s="110" t="s">
        <v>6921</v>
      </c>
    </row>
    <row r="481" spans="1:3" x14ac:dyDescent="0.15">
      <c r="A481" s="117" t="s">
        <v>5862</v>
      </c>
      <c r="B481" s="43" t="s">
        <v>5887</v>
      </c>
    </row>
    <row r="482" spans="1:3" x14ac:dyDescent="0.15">
      <c r="B482" s="117" t="s">
        <v>5721</v>
      </c>
      <c r="C482" s="118" t="s">
        <v>5889</v>
      </c>
    </row>
    <row r="483" spans="1:3" x14ac:dyDescent="0.15">
      <c r="B483" s="117" t="s">
        <v>5722</v>
      </c>
      <c r="C483" s="130">
        <v>58870</v>
      </c>
    </row>
    <row r="484" spans="1:3" x14ac:dyDescent="0.15">
      <c r="B484" s="117" t="s">
        <v>5720</v>
      </c>
      <c r="C484" s="25" t="s">
        <v>5888</v>
      </c>
    </row>
    <row r="486" spans="1:3" x14ac:dyDescent="0.15">
      <c r="A486" s="117" t="s">
        <v>5863</v>
      </c>
      <c r="B486" s="43" t="s">
        <v>5891</v>
      </c>
    </row>
    <row r="487" spans="1:3" x14ac:dyDescent="0.15">
      <c r="B487" s="117" t="s">
        <v>5721</v>
      </c>
      <c r="C487" s="118" t="s">
        <v>5890</v>
      </c>
    </row>
    <row r="488" spans="1:3" x14ac:dyDescent="0.15">
      <c r="B488" s="117" t="s">
        <v>5722</v>
      </c>
      <c r="C488" s="130">
        <v>44997</v>
      </c>
    </row>
    <row r="489" spans="1:3" x14ac:dyDescent="0.15">
      <c r="B489" s="117" t="s">
        <v>5720</v>
      </c>
      <c r="C489" s="25" t="s">
        <v>5892</v>
      </c>
    </row>
    <row r="491" spans="1:3" x14ac:dyDescent="0.15">
      <c r="A491" s="117" t="s">
        <v>5864</v>
      </c>
      <c r="B491" s="43" t="s">
        <v>5894</v>
      </c>
    </row>
    <row r="492" spans="1:3" x14ac:dyDescent="0.15">
      <c r="B492" s="117" t="s">
        <v>5721</v>
      </c>
      <c r="C492" s="118" t="s">
        <v>5893</v>
      </c>
    </row>
    <row r="493" spans="1:3" x14ac:dyDescent="0.15">
      <c r="B493" s="117" t="s">
        <v>5722</v>
      </c>
      <c r="C493" s="130">
        <v>37576</v>
      </c>
    </row>
    <row r="494" spans="1:3" x14ac:dyDescent="0.15">
      <c r="B494" s="117" t="s">
        <v>5720</v>
      </c>
      <c r="C494" s="25" t="s">
        <v>5895</v>
      </c>
    </row>
    <row r="496" spans="1:3" x14ac:dyDescent="0.15">
      <c r="A496" s="191" t="s">
        <v>7017</v>
      </c>
      <c r="B496" s="43" t="s">
        <v>7015</v>
      </c>
    </row>
    <row r="497" spans="1:3" x14ac:dyDescent="0.15">
      <c r="B497" s="191" t="s">
        <v>5721</v>
      </c>
      <c r="C497" s="210" t="s">
        <v>7016</v>
      </c>
    </row>
    <row r="498" spans="1:3" x14ac:dyDescent="0.15">
      <c r="B498" s="191" t="s">
        <v>5722</v>
      </c>
      <c r="C498" s="130">
        <v>36262</v>
      </c>
    </row>
    <row r="499" spans="1:3" x14ac:dyDescent="0.15">
      <c r="B499" s="191" t="s">
        <v>5720</v>
      </c>
      <c r="C499" s="110" t="s">
        <v>7018</v>
      </c>
    </row>
    <row r="501" spans="1:3" x14ac:dyDescent="0.15">
      <c r="A501" s="117" t="s">
        <v>5865</v>
      </c>
      <c r="B501" s="43" t="s">
        <v>5896</v>
      </c>
    </row>
    <row r="502" spans="1:3" x14ac:dyDescent="0.15">
      <c r="B502" s="117" t="s">
        <v>5721</v>
      </c>
      <c r="C502" s="118" t="s">
        <v>5897</v>
      </c>
    </row>
    <row r="503" spans="1:3" x14ac:dyDescent="0.15">
      <c r="B503" s="117" t="s">
        <v>5722</v>
      </c>
      <c r="C503" s="130">
        <v>30303</v>
      </c>
    </row>
    <row r="504" spans="1:3" x14ac:dyDescent="0.15">
      <c r="B504" s="117" t="s">
        <v>5720</v>
      </c>
      <c r="C504" s="25" t="s">
        <v>5898</v>
      </c>
    </row>
    <row r="506" spans="1:3" x14ac:dyDescent="0.15">
      <c r="A506" s="117" t="s">
        <v>5866</v>
      </c>
      <c r="B506" s="43" t="s">
        <v>5899</v>
      </c>
    </row>
    <row r="507" spans="1:3" x14ac:dyDescent="0.15">
      <c r="B507" s="117" t="s">
        <v>5721</v>
      </c>
      <c r="C507" s="118" t="s">
        <v>5900</v>
      </c>
    </row>
    <row r="508" spans="1:3" x14ac:dyDescent="0.15">
      <c r="B508" s="117" t="s">
        <v>5722</v>
      </c>
      <c r="C508" s="132">
        <v>25278</v>
      </c>
    </row>
    <row r="509" spans="1:3" x14ac:dyDescent="0.15">
      <c r="B509" s="117" t="s">
        <v>5720</v>
      </c>
      <c r="C509" s="25" t="s">
        <v>5901</v>
      </c>
    </row>
    <row r="511" spans="1:3" x14ac:dyDescent="0.15">
      <c r="A511" s="191" t="s">
        <v>5867</v>
      </c>
      <c r="B511" s="43" t="s">
        <v>6984</v>
      </c>
    </row>
    <row r="512" spans="1:3" x14ac:dyDescent="0.15">
      <c r="B512" s="191" t="s">
        <v>5721</v>
      </c>
      <c r="C512" s="210" t="s">
        <v>6985</v>
      </c>
    </row>
    <row r="513" spans="1:3" x14ac:dyDescent="0.15">
      <c r="B513" s="191" t="s">
        <v>5722</v>
      </c>
      <c r="C513" s="128">
        <v>11388</v>
      </c>
    </row>
    <row r="514" spans="1:3" ht="15" x14ac:dyDescent="0.2">
      <c r="B514" s="191" t="s">
        <v>5720</v>
      </c>
      <c r="C514" s="167" t="s">
        <v>6986</v>
      </c>
    </row>
    <row r="516" spans="1:3" x14ac:dyDescent="0.15">
      <c r="A516" s="117" t="s">
        <v>5867</v>
      </c>
      <c r="B516" s="43" t="s">
        <v>5904</v>
      </c>
    </row>
    <row r="517" spans="1:3" x14ac:dyDescent="0.15">
      <c r="B517" s="117" t="s">
        <v>5721</v>
      </c>
      <c r="C517" s="118" t="s">
        <v>5903</v>
      </c>
    </row>
    <row r="518" spans="1:3" x14ac:dyDescent="0.15">
      <c r="B518" s="117" t="s">
        <v>5722</v>
      </c>
      <c r="C518" s="125">
        <v>6423</v>
      </c>
    </row>
    <row r="519" spans="1:3" x14ac:dyDescent="0.15">
      <c r="B519" s="117" t="s">
        <v>5720</v>
      </c>
      <c r="C519" s="25" t="s">
        <v>5905</v>
      </c>
    </row>
    <row r="521" spans="1:3" x14ac:dyDescent="0.15">
      <c r="A521" s="117" t="s">
        <v>5923</v>
      </c>
      <c r="B521" s="43" t="s">
        <v>5924</v>
      </c>
    </row>
    <row r="522" spans="1:3" x14ac:dyDescent="0.15">
      <c r="B522" s="117" t="s">
        <v>5721</v>
      </c>
      <c r="C522" s="118" t="s">
        <v>5926</v>
      </c>
    </row>
    <row r="523" spans="1:3" x14ac:dyDescent="0.15">
      <c r="B523" s="117" t="s">
        <v>5722</v>
      </c>
      <c r="C523" s="125">
        <v>1202</v>
      </c>
    </row>
    <row r="524" spans="1:3" x14ac:dyDescent="0.15">
      <c r="B524" s="117" t="s">
        <v>5720</v>
      </c>
      <c r="C524" s="110" t="s">
        <v>5925</v>
      </c>
    </row>
    <row r="526" spans="1:3" x14ac:dyDescent="0.15">
      <c r="A526" s="117" t="s">
        <v>5868</v>
      </c>
      <c r="B526" s="43" t="s">
        <v>6228</v>
      </c>
    </row>
    <row r="527" spans="1:3" x14ac:dyDescent="0.15">
      <c r="B527" s="117" t="s">
        <v>5721</v>
      </c>
      <c r="C527" s="118" t="s">
        <v>6230</v>
      </c>
    </row>
    <row r="528" spans="1:3" x14ac:dyDescent="0.15">
      <c r="B528" s="117" t="s">
        <v>5722</v>
      </c>
      <c r="C528" s="145">
        <v>176062</v>
      </c>
    </row>
    <row r="529" spans="1:4" x14ac:dyDescent="0.15">
      <c r="B529" s="117" t="s">
        <v>5720</v>
      </c>
      <c r="C529" s="110" t="s">
        <v>6229</v>
      </c>
    </row>
    <row r="531" spans="1:4" x14ac:dyDescent="0.15">
      <c r="A531" s="117" t="s">
        <v>5869</v>
      </c>
      <c r="B531" s="43" t="s">
        <v>5902</v>
      </c>
    </row>
    <row r="532" spans="1:4" x14ac:dyDescent="0.15">
      <c r="B532" s="117" t="s">
        <v>5721</v>
      </c>
      <c r="C532" s="118" t="s">
        <v>5517</v>
      </c>
    </row>
    <row r="533" spans="1:4" x14ac:dyDescent="0.15">
      <c r="B533" s="117" t="s">
        <v>5722</v>
      </c>
      <c r="C533" s="130">
        <v>64876</v>
      </c>
    </row>
    <row r="534" spans="1:4" x14ac:dyDescent="0.15">
      <c r="B534" s="117" t="s">
        <v>5720</v>
      </c>
      <c r="C534" s="25" t="s">
        <v>5712</v>
      </c>
    </row>
    <row r="535" spans="1:4" x14ac:dyDescent="0.15">
      <c r="B535" s="117" t="s">
        <v>4233</v>
      </c>
      <c r="C535" s="118" t="s">
        <v>6094</v>
      </c>
    </row>
    <row r="536" spans="1:4" x14ac:dyDescent="0.15">
      <c r="C536" s="118" t="s">
        <v>4221</v>
      </c>
    </row>
    <row r="537" spans="1:4" x14ac:dyDescent="0.15">
      <c r="C537" s="118" t="s">
        <v>6095</v>
      </c>
    </row>
    <row r="538" spans="1:4" x14ac:dyDescent="0.15">
      <c r="C538" s="118" t="s">
        <v>4220</v>
      </c>
    </row>
    <row r="539" spans="1:4" x14ac:dyDescent="0.15">
      <c r="C539" s="118" t="s">
        <v>4219</v>
      </c>
    </row>
    <row r="540" spans="1:4" x14ac:dyDescent="0.15">
      <c r="D540" s="117" t="s">
        <v>5713</v>
      </c>
    </row>
    <row r="541" spans="1:4" x14ac:dyDescent="0.15">
      <c r="C541" s="118" t="s">
        <v>4218</v>
      </c>
    </row>
    <row r="542" spans="1:4" x14ac:dyDescent="0.15">
      <c r="C542" s="118" t="s">
        <v>4217</v>
      </c>
    </row>
    <row r="543" spans="1:4" x14ac:dyDescent="0.15">
      <c r="C543" s="118" t="s">
        <v>4216</v>
      </c>
    </row>
    <row r="544" spans="1:4" x14ac:dyDescent="0.15">
      <c r="C544" s="118" t="s">
        <v>4215</v>
      </c>
    </row>
    <row r="545" spans="1:4" x14ac:dyDescent="0.15">
      <c r="C545" s="118" t="s">
        <v>4214</v>
      </c>
    </row>
    <row r="546" spans="1:4" x14ac:dyDescent="0.15">
      <c r="C546" s="118" t="s">
        <v>4213</v>
      </c>
    </row>
    <row r="547" spans="1:4" x14ac:dyDescent="0.15">
      <c r="C547" s="118" t="s">
        <v>4212</v>
      </c>
    </row>
    <row r="548" spans="1:4" x14ac:dyDescent="0.15">
      <c r="C548" s="118" t="s">
        <v>4211</v>
      </c>
    </row>
    <row r="549" spans="1:4" x14ac:dyDescent="0.15">
      <c r="C549" s="118" t="s">
        <v>4210</v>
      </c>
    </row>
    <row r="550" spans="1:4" x14ac:dyDescent="0.15">
      <c r="C550" s="118" t="s">
        <v>4209</v>
      </c>
    </row>
    <row r="551" spans="1:4" x14ac:dyDescent="0.15">
      <c r="C551" s="118" t="s">
        <v>4208</v>
      </c>
    </row>
    <row r="552" spans="1:4" x14ac:dyDescent="0.15">
      <c r="D552" s="117" t="s">
        <v>4207</v>
      </c>
    </row>
    <row r="553" spans="1:4" x14ac:dyDescent="0.15">
      <c r="C553" s="118" t="s">
        <v>4206</v>
      </c>
    </row>
    <row r="554" spans="1:4" x14ac:dyDescent="0.15">
      <c r="C554" s="118" t="s">
        <v>4205</v>
      </c>
    </row>
    <row r="555" spans="1:4" x14ac:dyDescent="0.15">
      <c r="C555" s="118" t="s">
        <v>4204</v>
      </c>
    </row>
    <row r="556" spans="1:4" x14ac:dyDescent="0.15">
      <c r="C556" s="118" t="s">
        <v>4203</v>
      </c>
    </row>
    <row r="557" spans="1:4" x14ac:dyDescent="0.15">
      <c r="C557" s="118" t="s">
        <v>4202</v>
      </c>
    </row>
    <row r="559" spans="1:4" x14ac:dyDescent="0.15">
      <c r="A559" s="117" t="s">
        <v>5870</v>
      </c>
      <c r="B559" s="43" t="s">
        <v>5937</v>
      </c>
    </row>
    <row r="560" spans="1:4" x14ac:dyDescent="0.15">
      <c r="B560" s="117" t="s">
        <v>5721</v>
      </c>
      <c r="C560" s="118" t="s">
        <v>5938</v>
      </c>
    </row>
    <row r="561" spans="1:7" x14ac:dyDescent="0.15">
      <c r="B561" s="117" t="s">
        <v>5722</v>
      </c>
      <c r="C561" s="133">
        <v>30303</v>
      </c>
    </row>
    <row r="562" spans="1:7" x14ac:dyDescent="0.15">
      <c r="B562" s="117" t="s">
        <v>5939</v>
      </c>
      <c r="C562" s="110" t="s">
        <v>5940</v>
      </c>
    </row>
    <row r="563" spans="1:7" x14ac:dyDescent="0.15">
      <c r="B563" s="117" t="s">
        <v>5941</v>
      </c>
      <c r="C563" s="110" t="s">
        <v>5898</v>
      </c>
    </row>
    <row r="564" spans="1:7" x14ac:dyDescent="0.15">
      <c r="C564" s="110"/>
    </row>
    <row r="565" spans="1:7" x14ac:dyDescent="0.15">
      <c r="A565" s="117" t="s">
        <v>5920</v>
      </c>
      <c r="B565" s="43" t="s">
        <v>5906</v>
      </c>
    </row>
    <row r="566" spans="1:7" x14ac:dyDescent="0.15">
      <c r="B566" s="117" t="s">
        <v>5721</v>
      </c>
      <c r="C566" s="118" t="s">
        <v>5907</v>
      </c>
    </row>
    <row r="567" spans="1:7" x14ac:dyDescent="0.15">
      <c r="B567" s="117" t="s">
        <v>5722</v>
      </c>
      <c r="C567" s="128">
        <v>19618</v>
      </c>
    </row>
    <row r="568" spans="1:7" x14ac:dyDescent="0.15">
      <c r="B568" s="117" t="s">
        <v>5720</v>
      </c>
      <c r="C568" s="25" t="s">
        <v>5908</v>
      </c>
    </row>
    <row r="570" spans="1:7" x14ac:dyDescent="0.15">
      <c r="A570" s="117" t="s">
        <v>5927</v>
      </c>
      <c r="B570" s="43" t="s">
        <v>5909</v>
      </c>
    </row>
    <row r="571" spans="1:7" x14ac:dyDescent="0.15">
      <c r="B571" s="117" t="s">
        <v>5721</v>
      </c>
      <c r="C571" s="118" t="s">
        <v>5910</v>
      </c>
    </row>
    <row r="572" spans="1:7" x14ac:dyDescent="0.15">
      <c r="B572" s="117" t="s">
        <v>5722</v>
      </c>
      <c r="C572" s="128">
        <v>15123</v>
      </c>
    </row>
    <row r="573" spans="1:7" x14ac:dyDescent="0.15">
      <c r="B573" s="117" t="s">
        <v>5720</v>
      </c>
      <c r="C573" s="25" t="s">
        <v>5911</v>
      </c>
    </row>
    <row r="575" spans="1:7" x14ac:dyDescent="0.15">
      <c r="A575" s="191" t="s">
        <v>5933</v>
      </c>
      <c r="B575" s="43" t="s">
        <v>6906</v>
      </c>
    </row>
    <row r="576" spans="1:7" x14ac:dyDescent="0.15">
      <c r="A576" s="191"/>
      <c r="B576" s="191" t="s">
        <v>5721</v>
      </c>
      <c r="C576" s="210" t="s">
        <v>6907</v>
      </c>
      <c r="D576" s="191"/>
      <c r="E576" s="191"/>
      <c r="F576" s="191"/>
      <c r="G576" s="191"/>
    </row>
    <row r="577" spans="1:7" x14ac:dyDescent="0.15">
      <c r="A577" s="191"/>
      <c r="B577" s="191" t="s">
        <v>5722</v>
      </c>
      <c r="C577" s="214">
        <v>3864</v>
      </c>
      <c r="D577" s="191"/>
      <c r="E577" s="191"/>
      <c r="F577" s="191"/>
      <c r="G577" s="191"/>
    </row>
    <row r="578" spans="1:7" ht="14" x14ac:dyDescent="0.2">
      <c r="B578" s="191" t="s">
        <v>5720</v>
      </c>
      <c r="C578" s="160" t="s">
        <v>6908</v>
      </c>
      <c r="D578" s="191"/>
      <c r="E578" s="191"/>
      <c r="F578" s="191"/>
      <c r="G578" s="191"/>
    </row>
    <row r="580" spans="1:7" x14ac:dyDescent="0.15">
      <c r="A580" s="191" t="s">
        <v>5942</v>
      </c>
      <c r="B580" s="43" t="s">
        <v>6980</v>
      </c>
    </row>
    <row r="581" spans="1:7" x14ac:dyDescent="0.15">
      <c r="B581" s="191" t="s">
        <v>5721</v>
      </c>
      <c r="C581" s="210" t="s">
        <v>6981</v>
      </c>
    </row>
    <row r="582" spans="1:7" x14ac:dyDescent="0.15">
      <c r="B582" s="191" t="s">
        <v>5722</v>
      </c>
      <c r="C582" s="214">
        <v>2903</v>
      </c>
    </row>
    <row r="583" spans="1:7" x14ac:dyDescent="0.15">
      <c r="B583" s="191" t="s">
        <v>5720</v>
      </c>
      <c r="C583" s="110" t="s">
        <v>6982</v>
      </c>
    </row>
    <row r="585" spans="1:7" x14ac:dyDescent="0.15">
      <c r="A585" s="191" t="s">
        <v>6231</v>
      </c>
      <c r="B585" s="43" t="s">
        <v>6938</v>
      </c>
    </row>
    <row r="586" spans="1:7" x14ac:dyDescent="0.15">
      <c r="B586" s="191" t="s">
        <v>5721</v>
      </c>
      <c r="C586" s="210" t="s">
        <v>6939</v>
      </c>
    </row>
    <row r="587" spans="1:7" x14ac:dyDescent="0.15">
      <c r="B587" s="191" t="s">
        <v>5722</v>
      </c>
      <c r="C587" s="214">
        <v>1436</v>
      </c>
    </row>
    <row r="588" spans="1:7" x14ac:dyDescent="0.15">
      <c r="B588" s="191" t="s">
        <v>5720</v>
      </c>
      <c r="C588" s="110" t="s">
        <v>6940</v>
      </c>
    </row>
    <row r="590" spans="1:7" x14ac:dyDescent="0.15">
      <c r="A590" s="191" t="s">
        <v>6909</v>
      </c>
      <c r="B590" s="43" t="s">
        <v>7742</v>
      </c>
    </row>
    <row r="591" spans="1:7" x14ac:dyDescent="0.15">
      <c r="B591" s="117" t="s">
        <v>5721</v>
      </c>
      <c r="C591" s="118" t="s">
        <v>5922</v>
      </c>
    </row>
    <row r="592" spans="1:7" x14ac:dyDescent="0.15">
      <c r="B592" s="117" t="s">
        <v>5722</v>
      </c>
      <c r="C592" s="131">
        <v>66</v>
      </c>
    </row>
    <row r="593" spans="1:13" x14ac:dyDescent="0.15">
      <c r="B593" s="117" t="s">
        <v>5720</v>
      </c>
      <c r="C593" s="25" t="s">
        <v>5921</v>
      </c>
    </row>
    <row r="594" spans="1:13" x14ac:dyDescent="0.15">
      <c r="C594" s="25"/>
    </row>
    <row r="595" spans="1:13" x14ac:dyDescent="0.15">
      <c r="A595" s="191" t="s">
        <v>6941</v>
      </c>
      <c r="B595" s="43" t="s">
        <v>5928</v>
      </c>
      <c r="C595" s="25"/>
    </row>
    <row r="596" spans="1:13" x14ac:dyDescent="0.15">
      <c r="B596" s="117" t="s">
        <v>5721</v>
      </c>
      <c r="C596" s="118" t="s">
        <v>5930</v>
      </c>
    </row>
    <row r="597" spans="1:13" x14ac:dyDescent="0.15">
      <c r="B597" s="117" t="s">
        <v>5722</v>
      </c>
      <c r="C597" s="131">
        <v>14</v>
      </c>
    </row>
    <row r="598" spans="1:13" x14ac:dyDescent="0.15">
      <c r="B598" s="117" t="s">
        <v>5720</v>
      </c>
      <c r="C598" s="25" t="s">
        <v>5929</v>
      </c>
    </row>
    <row r="599" spans="1:13" x14ac:dyDescent="0.15">
      <c r="C599" s="25"/>
    </row>
    <row r="600" spans="1:13" x14ac:dyDescent="0.15">
      <c r="A600" s="191" t="s">
        <v>6983</v>
      </c>
      <c r="B600" s="43" t="s">
        <v>6077</v>
      </c>
      <c r="C600" s="25"/>
      <c r="M600" s="249"/>
    </row>
    <row r="601" spans="1:13" x14ac:dyDescent="0.15">
      <c r="B601" s="117" t="s">
        <v>5721</v>
      </c>
      <c r="C601" s="118" t="s">
        <v>5932</v>
      </c>
    </row>
    <row r="602" spans="1:13" x14ac:dyDescent="0.15">
      <c r="B602" s="117" t="s">
        <v>5722</v>
      </c>
      <c r="C602" s="131">
        <v>5</v>
      </c>
    </row>
    <row r="603" spans="1:13" x14ac:dyDescent="0.15">
      <c r="B603" s="117" t="s">
        <v>5720</v>
      </c>
      <c r="C603" s="25" t="s">
        <v>5931</v>
      </c>
    </row>
    <row r="604" spans="1:13" x14ac:dyDescent="0.15">
      <c r="C604" s="25"/>
    </row>
    <row r="605" spans="1:13" x14ac:dyDescent="0.15">
      <c r="B605" s="43" t="s">
        <v>6075</v>
      </c>
    </row>
    <row r="606" spans="1:13" x14ac:dyDescent="0.15">
      <c r="B606" s="117" t="s">
        <v>5721</v>
      </c>
      <c r="C606" s="118" t="s">
        <v>6076</v>
      </c>
    </row>
    <row r="607" spans="1:13" x14ac:dyDescent="0.15">
      <c r="B607" s="117" t="s">
        <v>5722</v>
      </c>
    </row>
    <row r="608" spans="1:13" x14ac:dyDescent="0.15">
      <c r="B608" s="117" t="s">
        <v>5720</v>
      </c>
    </row>
    <row r="609" spans="1:6" x14ac:dyDescent="0.15">
      <c r="F609" s="118"/>
    </row>
    <row r="610" spans="1:6" x14ac:dyDescent="0.15">
      <c r="B610" s="43" t="s">
        <v>6097</v>
      </c>
      <c r="F610" s="118"/>
    </row>
    <row r="611" spans="1:6" x14ac:dyDescent="0.15">
      <c r="B611" s="117" t="s">
        <v>5721</v>
      </c>
      <c r="C611" s="118" t="s">
        <v>6096</v>
      </c>
      <c r="F611" s="118"/>
    </row>
    <row r="612" spans="1:6" x14ac:dyDescent="0.15">
      <c r="B612" s="117" t="s">
        <v>5722</v>
      </c>
      <c r="F612" s="118"/>
    </row>
    <row r="613" spans="1:6" x14ac:dyDescent="0.15">
      <c r="B613" s="117" t="s">
        <v>5720</v>
      </c>
      <c r="F613" s="118"/>
    </row>
    <row r="615" spans="1:6" x14ac:dyDescent="0.15">
      <c r="A615" s="117" t="s">
        <v>5716</v>
      </c>
      <c r="B615" s="43" t="s">
        <v>5723</v>
      </c>
    </row>
    <row r="616" spans="1:6" x14ac:dyDescent="0.15">
      <c r="B616" s="117" t="s">
        <v>5721</v>
      </c>
      <c r="C616" s="118" t="s">
        <v>5520</v>
      </c>
    </row>
    <row r="617" spans="1:6" x14ac:dyDescent="0.15">
      <c r="B617" s="117" t="s">
        <v>5722</v>
      </c>
      <c r="C617" s="133">
        <v>53562</v>
      </c>
    </row>
    <row r="618" spans="1:6" x14ac:dyDescent="0.15">
      <c r="B618" s="117" t="s">
        <v>5720</v>
      </c>
      <c r="C618" s="110" t="s">
        <v>5696</v>
      </c>
    </row>
    <row r="619" spans="1:6" x14ac:dyDescent="0.15">
      <c r="B619" s="117" t="s">
        <v>5720</v>
      </c>
      <c r="C619" s="110" t="s">
        <v>5978</v>
      </c>
    </row>
    <row r="620" spans="1:6" x14ac:dyDescent="0.15">
      <c r="B620" s="117" t="s">
        <v>4233</v>
      </c>
      <c r="C620" s="210" t="s">
        <v>6987</v>
      </c>
    </row>
    <row r="621" spans="1:6" x14ac:dyDescent="0.15">
      <c r="B621" s="25"/>
    </row>
    <row r="622" spans="1:6" x14ac:dyDescent="0.15">
      <c r="A622" s="117" t="s">
        <v>5717</v>
      </c>
      <c r="B622" s="43" t="s">
        <v>5653</v>
      </c>
    </row>
    <row r="623" spans="1:6" x14ac:dyDescent="0.15">
      <c r="B623" s="117" t="s">
        <v>5721</v>
      </c>
      <c r="C623" s="118" t="s">
        <v>5654</v>
      </c>
    </row>
    <row r="624" spans="1:6" x14ac:dyDescent="0.15">
      <c r="B624" s="117" t="s">
        <v>5722</v>
      </c>
      <c r="C624" s="132">
        <v>26946</v>
      </c>
    </row>
    <row r="625" spans="1:3" x14ac:dyDescent="0.15">
      <c r="B625" s="117" t="s">
        <v>5720</v>
      </c>
      <c r="C625" s="25" t="s">
        <v>5710</v>
      </c>
    </row>
    <row r="627" spans="1:3" x14ac:dyDescent="0.15">
      <c r="A627" s="117" t="s">
        <v>5718</v>
      </c>
      <c r="B627" s="43" t="s">
        <v>5508</v>
      </c>
    </row>
    <row r="628" spans="1:3" x14ac:dyDescent="0.15">
      <c r="B628" s="117" t="s">
        <v>5721</v>
      </c>
      <c r="C628" s="118" t="s">
        <v>5509</v>
      </c>
    </row>
    <row r="629" spans="1:3" x14ac:dyDescent="0.15">
      <c r="B629" s="117" t="s">
        <v>5722</v>
      </c>
      <c r="C629" s="134">
        <v>16402</v>
      </c>
    </row>
    <row r="630" spans="1:3" x14ac:dyDescent="0.15">
      <c r="B630" s="117" t="s">
        <v>5720</v>
      </c>
      <c r="C630" s="117"/>
    </row>
    <row r="632" spans="1:3" x14ac:dyDescent="0.15">
      <c r="A632" s="117" t="s">
        <v>5719</v>
      </c>
      <c r="B632" s="43" t="s">
        <v>6957</v>
      </c>
    </row>
    <row r="633" spans="1:3" x14ac:dyDescent="0.15">
      <c r="B633" s="191" t="s">
        <v>5721</v>
      </c>
      <c r="C633" s="210" t="s">
        <v>6958</v>
      </c>
    </row>
    <row r="634" spans="1:3" x14ac:dyDescent="0.15">
      <c r="B634" s="191" t="s">
        <v>5722</v>
      </c>
      <c r="C634" s="125">
        <v>8476</v>
      </c>
    </row>
    <row r="635" spans="1:3" x14ac:dyDescent="0.15">
      <c r="B635" s="117" t="s">
        <v>5720</v>
      </c>
      <c r="C635" s="25" t="s">
        <v>5711</v>
      </c>
    </row>
    <row r="636" spans="1:3" x14ac:dyDescent="0.15">
      <c r="B636" s="25"/>
    </row>
    <row r="637" spans="1:3" x14ac:dyDescent="0.15">
      <c r="A637" s="117" t="s">
        <v>5915</v>
      </c>
      <c r="B637" s="43" t="s">
        <v>6954</v>
      </c>
    </row>
    <row r="638" spans="1:3" x14ac:dyDescent="0.15">
      <c r="B638" s="191" t="s">
        <v>5721</v>
      </c>
      <c r="C638" s="210" t="s">
        <v>6955</v>
      </c>
    </row>
    <row r="639" spans="1:3" x14ac:dyDescent="0.15">
      <c r="B639" s="191" t="s">
        <v>5722</v>
      </c>
      <c r="C639" s="125">
        <v>7940</v>
      </c>
    </row>
    <row r="640" spans="1:3" x14ac:dyDescent="0.15">
      <c r="B640" s="191" t="s">
        <v>5720</v>
      </c>
      <c r="C640" s="110" t="s">
        <v>6956</v>
      </c>
    </row>
    <row r="642" spans="1:3" x14ac:dyDescent="0.15">
      <c r="A642" s="265" t="s">
        <v>7614</v>
      </c>
      <c r="B642" s="43" t="s">
        <v>7615</v>
      </c>
    </row>
    <row r="643" spans="1:3" x14ac:dyDescent="0.15">
      <c r="B643" s="265" t="s">
        <v>5721</v>
      </c>
      <c r="C643" s="266" t="s">
        <v>7616</v>
      </c>
    </row>
    <row r="644" spans="1:3" x14ac:dyDescent="0.15">
      <c r="B644" s="265" t="s">
        <v>5722</v>
      </c>
      <c r="C644" s="125">
        <v>5849</v>
      </c>
    </row>
    <row r="645" spans="1:3" x14ac:dyDescent="0.15">
      <c r="B645" s="265" t="s">
        <v>5720</v>
      </c>
      <c r="C645" s="110" t="s">
        <v>7617</v>
      </c>
    </row>
    <row r="647" spans="1:3" x14ac:dyDescent="0.15">
      <c r="A647" s="191" t="s">
        <v>6959</v>
      </c>
      <c r="B647" s="43" t="s">
        <v>6951</v>
      </c>
    </row>
    <row r="648" spans="1:3" x14ac:dyDescent="0.15">
      <c r="B648" s="191" t="s">
        <v>5721</v>
      </c>
      <c r="C648" s="210" t="s">
        <v>6952</v>
      </c>
    </row>
    <row r="649" spans="1:3" x14ac:dyDescent="0.15">
      <c r="B649" s="191" t="s">
        <v>5722</v>
      </c>
      <c r="C649" s="125">
        <v>3290</v>
      </c>
    </row>
    <row r="650" spans="1:3" ht="15" x14ac:dyDescent="0.2">
      <c r="B650" s="191" t="s">
        <v>5720</v>
      </c>
      <c r="C650" s="167" t="s">
        <v>6953</v>
      </c>
    </row>
    <row r="652" spans="1:3" x14ac:dyDescent="0.15">
      <c r="A652" s="191" t="s">
        <v>6960</v>
      </c>
      <c r="B652" s="43" t="s">
        <v>7010</v>
      </c>
    </row>
    <row r="653" spans="1:3" x14ac:dyDescent="0.15">
      <c r="B653" s="191" t="s">
        <v>5721</v>
      </c>
      <c r="C653" s="210" t="s">
        <v>7013</v>
      </c>
    </row>
    <row r="654" spans="1:3" x14ac:dyDescent="0.15">
      <c r="B654" s="191" t="s">
        <v>5722</v>
      </c>
      <c r="C654" s="125">
        <v>1505</v>
      </c>
    </row>
    <row r="655" spans="1:3" x14ac:dyDescent="0.15">
      <c r="B655" s="191" t="s">
        <v>5720</v>
      </c>
      <c r="C655" s="110" t="s">
        <v>7012</v>
      </c>
    </row>
    <row r="657" spans="1:6" x14ac:dyDescent="0.15">
      <c r="A657" s="191" t="s">
        <v>6963</v>
      </c>
      <c r="B657" s="43" t="s">
        <v>7011</v>
      </c>
    </row>
    <row r="658" spans="1:6" x14ac:dyDescent="0.15">
      <c r="B658" s="191" t="s">
        <v>5721</v>
      </c>
      <c r="C658" s="210" t="s">
        <v>6961</v>
      </c>
    </row>
    <row r="659" spans="1:6" x14ac:dyDescent="0.15">
      <c r="B659" s="191" t="s">
        <v>5722</v>
      </c>
      <c r="C659" s="125">
        <v>639</v>
      </c>
    </row>
    <row r="660" spans="1:6" x14ac:dyDescent="0.15">
      <c r="B660" s="191" t="s">
        <v>5720</v>
      </c>
      <c r="C660" s="110" t="s">
        <v>6962</v>
      </c>
    </row>
    <row r="662" spans="1:6" x14ac:dyDescent="0.15">
      <c r="A662" s="191" t="s">
        <v>7003</v>
      </c>
      <c r="B662" s="43" t="s">
        <v>7005</v>
      </c>
      <c r="C662" s="210"/>
      <c r="D662" s="191"/>
      <c r="E662" s="191"/>
      <c r="F662" s="191"/>
    </row>
    <row r="663" spans="1:6" x14ac:dyDescent="0.15">
      <c r="A663" s="191"/>
      <c r="B663" s="191" t="s">
        <v>5721</v>
      </c>
      <c r="C663" s="210" t="s">
        <v>7006</v>
      </c>
      <c r="D663" s="191"/>
      <c r="E663" s="191"/>
      <c r="F663" s="191"/>
    </row>
    <row r="664" spans="1:6" x14ac:dyDescent="0.15">
      <c r="A664" s="191"/>
      <c r="B664" s="191" t="s">
        <v>5722</v>
      </c>
      <c r="C664" s="213">
        <v>599</v>
      </c>
      <c r="D664" s="191"/>
      <c r="E664" s="191"/>
      <c r="F664" s="191"/>
    </row>
    <row r="665" spans="1:6" x14ac:dyDescent="0.15">
      <c r="A665" s="191"/>
      <c r="B665" s="191" t="s">
        <v>5720</v>
      </c>
      <c r="C665" s="110" t="s">
        <v>7004</v>
      </c>
      <c r="D665" s="191"/>
      <c r="E665" s="191"/>
      <c r="F665" s="191"/>
    </row>
    <row r="667" spans="1:6" x14ac:dyDescent="0.15">
      <c r="A667" s="191" t="s">
        <v>7014</v>
      </c>
      <c r="B667" s="43" t="s">
        <v>6500</v>
      </c>
    </row>
    <row r="668" spans="1:6" x14ac:dyDescent="0.15">
      <c r="B668" s="175" t="s">
        <v>5721</v>
      </c>
      <c r="C668" s="176" t="s">
        <v>6499</v>
      </c>
    </row>
    <row r="669" spans="1:6" x14ac:dyDescent="0.15">
      <c r="B669" s="175" t="s">
        <v>5722</v>
      </c>
      <c r="C669" s="125">
        <v>469</v>
      </c>
    </row>
    <row r="670" spans="1:6" ht="15" x14ac:dyDescent="0.2">
      <c r="B670" s="175" t="s">
        <v>5720</v>
      </c>
      <c r="C670" s="167" t="s">
        <v>6498</v>
      </c>
    </row>
    <row r="672" spans="1:6" x14ac:dyDescent="0.15">
      <c r="A672" s="117" t="s">
        <v>5715</v>
      </c>
      <c r="B672" s="43" t="s">
        <v>6223</v>
      </c>
    </row>
    <row r="673" spans="1:9" x14ac:dyDescent="0.15">
      <c r="B673" s="117" t="s">
        <v>5721</v>
      </c>
      <c r="C673" s="118" t="s">
        <v>6222</v>
      </c>
    </row>
    <row r="674" spans="1:9" x14ac:dyDescent="0.15">
      <c r="B674" s="117" t="s">
        <v>5722</v>
      </c>
      <c r="C674" s="130">
        <v>83673</v>
      </c>
    </row>
    <row r="675" spans="1:9" x14ac:dyDescent="0.15">
      <c r="B675" s="117" t="s">
        <v>5720</v>
      </c>
      <c r="C675" s="25" t="s">
        <v>5698</v>
      </c>
    </row>
    <row r="677" spans="1:9" x14ac:dyDescent="0.15">
      <c r="A677" s="117" t="s">
        <v>6100</v>
      </c>
      <c r="B677" s="43" t="s">
        <v>6191</v>
      </c>
    </row>
    <row r="678" spans="1:9" x14ac:dyDescent="0.15">
      <c r="B678" s="117" t="s">
        <v>5721</v>
      </c>
      <c r="C678" s="118" t="s">
        <v>6190</v>
      </c>
    </row>
    <row r="679" spans="1:9" x14ac:dyDescent="0.15">
      <c r="B679" s="117" t="s">
        <v>5722</v>
      </c>
      <c r="C679" s="132">
        <v>22849</v>
      </c>
    </row>
    <row r="680" spans="1:9" x14ac:dyDescent="0.15">
      <c r="B680" s="117" t="s">
        <v>5720</v>
      </c>
      <c r="C680" s="25" t="s">
        <v>5697</v>
      </c>
    </row>
    <row r="681" spans="1:9" x14ac:dyDescent="0.15">
      <c r="B681" s="117" t="s">
        <v>5720</v>
      </c>
      <c r="C681" s="110" t="s">
        <v>6193</v>
      </c>
    </row>
    <row r="682" spans="1:9" x14ac:dyDescent="0.15">
      <c r="B682" s="117" t="s">
        <v>6192</v>
      </c>
      <c r="C682" s="118" t="s">
        <v>4234</v>
      </c>
    </row>
    <row r="683" spans="1:9" x14ac:dyDescent="0.15">
      <c r="B683" s="117" t="s">
        <v>4233</v>
      </c>
      <c r="C683" s="210" t="s">
        <v>6988</v>
      </c>
    </row>
    <row r="684" spans="1:9" x14ac:dyDescent="0.15">
      <c r="B684" s="117" t="s">
        <v>6219</v>
      </c>
      <c r="C684" s="146">
        <v>45144</v>
      </c>
    </row>
    <row r="685" spans="1:9" x14ac:dyDescent="0.15">
      <c r="A685" s="191"/>
      <c r="B685" s="191"/>
      <c r="C685" s="210" t="s">
        <v>4232</v>
      </c>
      <c r="D685" s="191"/>
      <c r="E685" s="191"/>
      <c r="F685" s="191"/>
      <c r="G685" s="191"/>
      <c r="H685" s="191"/>
      <c r="I685" s="191"/>
    </row>
    <row r="686" spans="1:9" x14ac:dyDescent="0.15">
      <c r="A686" s="191"/>
      <c r="B686" s="191"/>
      <c r="C686" s="210" t="s">
        <v>4231</v>
      </c>
      <c r="D686" s="191"/>
      <c r="E686" s="191"/>
      <c r="F686" s="191"/>
      <c r="G686" s="191"/>
      <c r="H686" s="191"/>
      <c r="I686" s="191"/>
    </row>
    <row r="687" spans="1:9" x14ac:dyDescent="0.15">
      <c r="A687" s="191"/>
      <c r="B687" s="191"/>
      <c r="C687" s="210" t="s">
        <v>4230</v>
      </c>
      <c r="D687" s="191"/>
      <c r="E687" s="191"/>
      <c r="F687" s="191"/>
      <c r="G687" s="191"/>
      <c r="H687" s="191"/>
      <c r="I687" s="191"/>
    </row>
    <row r="688" spans="1:9" x14ac:dyDescent="0.15">
      <c r="A688" s="191"/>
      <c r="B688" s="191"/>
      <c r="C688" s="210" t="s">
        <v>4229</v>
      </c>
      <c r="D688" s="191"/>
      <c r="E688" s="191"/>
      <c r="F688" s="191"/>
      <c r="G688" s="191"/>
      <c r="H688" s="191"/>
      <c r="I688" s="191"/>
    </row>
    <row r="689" spans="1:9" x14ac:dyDescent="0.15">
      <c r="A689" s="191"/>
      <c r="B689" s="191"/>
      <c r="C689" s="210" t="s">
        <v>4228</v>
      </c>
      <c r="D689" s="191"/>
      <c r="E689" s="191"/>
      <c r="F689" s="191"/>
      <c r="G689" s="191"/>
      <c r="H689" s="191"/>
      <c r="I689" s="191"/>
    </row>
    <row r="690" spans="1:9" x14ac:dyDescent="0.15">
      <c r="A690" s="191"/>
      <c r="B690" s="191"/>
      <c r="C690" s="210" t="s">
        <v>4227</v>
      </c>
      <c r="D690" s="191"/>
      <c r="E690" s="191"/>
      <c r="F690" s="191"/>
      <c r="G690" s="191"/>
      <c r="H690" s="191"/>
      <c r="I690" s="191"/>
    </row>
    <row r="691" spans="1:9" x14ac:dyDescent="0.15">
      <c r="A691" s="191"/>
      <c r="B691" s="191"/>
      <c r="C691" s="210" t="s">
        <v>4226</v>
      </c>
      <c r="D691" s="191"/>
      <c r="E691" s="191"/>
      <c r="F691" s="191"/>
      <c r="G691" s="191"/>
      <c r="H691" s="191"/>
      <c r="I691" s="191"/>
    </row>
    <row r="692" spans="1:9" x14ac:dyDescent="0.15">
      <c r="A692" s="191"/>
      <c r="B692" s="191"/>
      <c r="C692" s="210" t="s">
        <v>4225</v>
      </c>
      <c r="D692" s="191"/>
      <c r="E692" s="191"/>
      <c r="F692" s="191"/>
      <c r="G692" s="191"/>
      <c r="H692" s="191"/>
      <c r="I692" s="191"/>
    </row>
    <row r="693" spans="1:9" x14ac:dyDescent="0.15">
      <c r="A693" s="191"/>
      <c r="B693" s="191"/>
      <c r="C693" s="210" t="s">
        <v>4224</v>
      </c>
      <c r="D693" s="191"/>
      <c r="E693" s="191"/>
      <c r="F693" s="191"/>
      <c r="G693" s="191"/>
      <c r="H693" s="191"/>
      <c r="I693" s="191"/>
    </row>
    <row r="694" spans="1:9" x14ac:dyDescent="0.15">
      <c r="A694" s="191"/>
      <c r="B694" s="191"/>
      <c r="C694" s="210" t="s">
        <v>4223</v>
      </c>
      <c r="D694" s="191"/>
      <c r="E694" s="191"/>
      <c r="F694" s="191"/>
      <c r="G694" s="191"/>
      <c r="H694" s="191"/>
      <c r="I694" s="191"/>
    </row>
    <row r="695" spans="1:9" x14ac:dyDescent="0.15">
      <c r="A695" s="191"/>
      <c r="B695" s="191"/>
      <c r="C695" s="210" t="s">
        <v>4222</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6880</v>
      </c>
      <c r="B697" s="43" t="s">
        <v>6098</v>
      </c>
      <c r="C697" s="210"/>
      <c r="D697" s="210"/>
      <c r="E697" s="191"/>
      <c r="F697" s="191"/>
      <c r="G697" s="191"/>
      <c r="H697" s="191"/>
      <c r="I697" s="191"/>
    </row>
    <row r="698" spans="1:9" x14ac:dyDescent="0.15">
      <c r="A698" s="191"/>
      <c r="B698" s="191" t="s">
        <v>5721</v>
      </c>
      <c r="C698" s="210" t="s">
        <v>6099</v>
      </c>
      <c r="D698" s="210"/>
      <c r="E698" s="191"/>
      <c r="F698" s="191"/>
      <c r="G698" s="191"/>
      <c r="H698" s="191"/>
      <c r="I698" s="191"/>
    </row>
    <row r="699" spans="1:9" x14ac:dyDescent="0.15">
      <c r="A699" s="191"/>
      <c r="B699" s="191" t="s">
        <v>5722</v>
      </c>
      <c r="C699" s="214">
        <v>9412</v>
      </c>
      <c r="D699" s="210"/>
      <c r="E699" s="191"/>
      <c r="F699" s="191"/>
      <c r="G699" s="191"/>
      <c r="H699" s="191"/>
      <c r="I699" s="191"/>
    </row>
    <row r="700" spans="1:9" x14ac:dyDescent="0.15">
      <c r="A700" s="191"/>
      <c r="B700" s="191" t="s">
        <v>5720</v>
      </c>
      <c r="C700" s="110" t="s">
        <v>6877</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6881</v>
      </c>
      <c r="B702" s="43" t="s">
        <v>6934</v>
      </c>
      <c r="C702" s="210"/>
      <c r="D702" s="210"/>
      <c r="E702" s="191"/>
      <c r="F702" s="191"/>
      <c r="G702" s="191"/>
      <c r="H702" s="191"/>
      <c r="I702" s="191"/>
    </row>
    <row r="703" spans="1:9" x14ac:dyDescent="0.15">
      <c r="A703" s="191"/>
      <c r="B703" s="191" t="s">
        <v>5721</v>
      </c>
      <c r="C703" s="210" t="s">
        <v>6935</v>
      </c>
      <c r="D703" s="210"/>
      <c r="E703" s="191"/>
      <c r="F703" s="191"/>
      <c r="G703" s="191"/>
      <c r="H703" s="191"/>
      <c r="I703" s="191"/>
    </row>
    <row r="704" spans="1:9" x14ac:dyDescent="0.15">
      <c r="A704" s="191"/>
      <c r="B704" s="191" t="s">
        <v>5722</v>
      </c>
      <c r="C704" s="214">
        <v>2251</v>
      </c>
      <c r="D704" s="210"/>
      <c r="E704" s="191"/>
      <c r="F704" s="191"/>
      <c r="G704" s="191"/>
      <c r="H704" s="191"/>
      <c r="I704" s="191"/>
    </row>
    <row r="705" spans="1:9" x14ac:dyDescent="0.15">
      <c r="A705" s="191"/>
      <c r="B705" s="191" t="s">
        <v>5720</v>
      </c>
      <c r="C705" s="110" t="s">
        <v>6936</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6882</v>
      </c>
      <c r="B707" s="43" t="s">
        <v>6914</v>
      </c>
    </row>
    <row r="708" spans="1:9" x14ac:dyDescent="0.15">
      <c r="B708" s="191" t="s">
        <v>5721</v>
      </c>
      <c r="C708" s="210" t="s">
        <v>6915</v>
      </c>
    </row>
    <row r="709" spans="1:9" x14ac:dyDescent="0.15">
      <c r="B709" s="191" t="s">
        <v>5722</v>
      </c>
      <c r="C709" s="214">
        <v>1503</v>
      </c>
    </row>
    <row r="710" spans="1:9" x14ac:dyDescent="0.15">
      <c r="B710" s="191" t="s">
        <v>5720</v>
      </c>
      <c r="C710" s="110" t="s">
        <v>6916</v>
      </c>
    </row>
    <row r="712" spans="1:9" x14ac:dyDescent="0.15">
      <c r="A712" s="191" t="s">
        <v>6883</v>
      </c>
      <c r="B712" s="43" t="s">
        <v>6976</v>
      </c>
    </row>
    <row r="713" spans="1:9" x14ac:dyDescent="0.15">
      <c r="B713" s="191" t="s">
        <v>5721</v>
      </c>
      <c r="C713" s="210" t="s">
        <v>6977</v>
      </c>
    </row>
    <row r="714" spans="1:9" x14ac:dyDescent="0.15">
      <c r="B714" s="191" t="s">
        <v>5722</v>
      </c>
      <c r="C714" s="214">
        <v>1369</v>
      </c>
    </row>
    <row r="715" spans="1:9" x14ac:dyDescent="0.15">
      <c r="B715" s="191" t="s">
        <v>5720</v>
      </c>
      <c r="C715" s="110" t="s">
        <v>6978</v>
      </c>
    </row>
    <row r="717" spans="1:9" x14ac:dyDescent="0.15">
      <c r="A717" s="191" t="s">
        <v>6917</v>
      </c>
      <c r="B717" s="43" t="s">
        <v>5630</v>
      </c>
      <c r="C717" s="210"/>
      <c r="D717" s="191"/>
      <c r="E717" s="191"/>
      <c r="F717" s="191"/>
      <c r="G717" s="191"/>
      <c r="H717" s="191"/>
      <c r="I717" s="191"/>
    </row>
    <row r="718" spans="1:9" x14ac:dyDescent="0.15">
      <c r="A718" s="191"/>
      <c r="B718" s="191" t="s">
        <v>5721</v>
      </c>
      <c r="C718" s="210" t="s">
        <v>5631</v>
      </c>
      <c r="D718" s="191"/>
      <c r="E718" s="191"/>
      <c r="F718" s="191"/>
      <c r="G718" s="191"/>
      <c r="H718" s="191"/>
      <c r="I718" s="191"/>
    </row>
    <row r="719" spans="1:9" x14ac:dyDescent="0.15">
      <c r="A719" s="191"/>
      <c r="B719" s="191" t="s">
        <v>5722</v>
      </c>
      <c r="C719" s="214">
        <v>1345</v>
      </c>
      <c r="D719" s="191"/>
      <c r="E719" s="191"/>
      <c r="F719" s="191"/>
      <c r="G719" s="191"/>
      <c r="H719" s="191"/>
      <c r="I719" s="191"/>
    </row>
    <row r="720" spans="1:9" x14ac:dyDescent="0.15">
      <c r="A720" s="191"/>
      <c r="B720" s="191" t="s">
        <v>5720</v>
      </c>
      <c r="C720" s="25" t="s">
        <v>5709</v>
      </c>
      <c r="D720" s="210"/>
      <c r="E720" s="191"/>
      <c r="F720" s="191"/>
      <c r="G720" s="191"/>
      <c r="H720" s="191"/>
      <c r="I720" s="191"/>
    </row>
    <row r="721" spans="1:9" x14ac:dyDescent="0.15">
      <c r="A721" s="191"/>
      <c r="B721" s="191" t="s">
        <v>4233</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6925</v>
      </c>
      <c r="B723" s="43" t="s">
        <v>6998</v>
      </c>
      <c r="C723" s="210"/>
      <c r="D723" s="210"/>
      <c r="E723" s="191"/>
      <c r="F723" s="191"/>
      <c r="G723" s="191"/>
      <c r="H723" s="191"/>
      <c r="I723" s="191"/>
    </row>
    <row r="724" spans="1:9" x14ac:dyDescent="0.15">
      <c r="A724" s="191"/>
      <c r="B724" s="191" t="s">
        <v>5721</v>
      </c>
      <c r="C724" s="210" t="s">
        <v>7000</v>
      </c>
      <c r="D724" s="210"/>
      <c r="E724" s="191"/>
      <c r="F724" s="191"/>
      <c r="G724" s="191"/>
      <c r="H724" s="191"/>
      <c r="I724" s="191"/>
    </row>
    <row r="725" spans="1:9" x14ac:dyDescent="0.15">
      <c r="A725" s="191"/>
      <c r="B725" s="191" t="s">
        <v>5722</v>
      </c>
      <c r="C725" s="214">
        <v>1115</v>
      </c>
      <c r="D725" s="210"/>
      <c r="E725" s="191"/>
      <c r="F725" s="191"/>
      <c r="G725" s="191"/>
      <c r="H725" s="191"/>
      <c r="I725" s="191"/>
    </row>
    <row r="726" spans="1:9" x14ac:dyDescent="0.15">
      <c r="A726" s="191"/>
      <c r="B726" s="191" t="s">
        <v>5720</v>
      </c>
      <c r="C726" s="110" t="s">
        <v>6999</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7022</v>
      </c>
      <c r="B728" s="43" t="s">
        <v>7019</v>
      </c>
      <c r="C728" s="210"/>
      <c r="D728" s="210"/>
      <c r="E728" s="191"/>
      <c r="F728" s="191"/>
      <c r="G728" s="191"/>
      <c r="H728" s="191"/>
      <c r="I728" s="191"/>
    </row>
    <row r="729" spans="1:9" x14ac:dyDescent="0.15">
      <c r="A729" s="191"/>
      <c r="B729" s="191" t="s">
        <v>5721</v>
      </c>
      <c r="C729" s="210" t="s">
        <v>7021</v>
      </c>
      <c r="D729" s="210"/>
      <c r="E729" s="191"/>
      <c r="F729" s="191"/>
      <c r="G729" s="191"/>
      <c r="H729" s="191"/>
      <c r="I729" s="191"/>
    </row>
    <row r="730" spans="1:9" x14ac:dyDescent="0.15">
      <c r="A730" s="191"/>
      <c r="B730" s="191" t="s">
        <v>5722</v>
      </c>
      <c r="C730" s="214">
        <v>750</v>
      </c>
      <c r="D730" s="210"/>
      <c r="E730" s="191"/>
      <c r="F730" s="191"/>
      <c r="G730" s="191"/>
      <c r="H730" s="191"/>
      <c r="I730" s="191"/>
    </row>
    <row r="731" spans="1:9" x14ac:dyDescent="0.15">
      <c r="A731" s="191"/>
      <c r="B731" s="191" t="s">
        <v>5720</v>
      </c>
      <c r="C731" s="110" t="s">
        <v>7020</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6937</v>
      </c>
      <c r="B733" s="43" t="s">
        <v>5452</v>
      </c>
      <c r="C733" s="210"/>
      <c r="D733" s="191"/>
      <c r="E733" s="191"/>
      <c r="F733" s="191"/>
      <c r="G733" s="191"/>
      <c r="H733" s="191"/>
      <c r="I733" s="191"/>
    </row>
    <row r="734" spans="1:9" x14ac:dyDescent="0.15">
      <c r="A734" s="191"/>
      <c r="B734" s="191" t="s">
        <v>5721</v>
      </c>
      <c r="C734" s="210" t="s">
        <v>6080</v>
      </c>
      <c r="D734" s="191"/>
      <c r="E734" s="191"/>
      <c r="F734" s="191"/>
      <c r="G734" s="191"/>
      <c r="H734" s="191"/>
      <c r="I734" s="191"/>
    </row>
    <row r="735" spans="1:9" x14ac:dyDescent="0.15">
      <c r="A735" s="191"/>
      <c r="B735" s="191" t="s">
        <v>5722</v>
      </c>
      <c r="C735" s="214">
        <v>710</v>
      </c>
      <c r="D735" s="191"/>
      <c r="E735" s="191"/>
      <c r="F735" s="191"/>
      <c r="G735" s="191"/>
      <c r="H735" s="191"/>
      <c r="I735" s="191"/>
    </row>
    <row r="736" spans="1:9" x14ac:dyDescent="0.15">
      <c r="A736" s="191"/>
      <c r="B736" s="191" t="s">
        <v>5720</v>
      </c>
      <c r="C736" s="110" t="s">
        <v>6879</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6971</v>
      </c>
      <c r="B738" s="43" t="s">
        <v>6923</v>
      </c>
      <c r="C738" s="210"/>
      <c r="D738" s="191"/>
      <c r="E738" s="191"/>
      <c r="F738" s="191"/>
      <c r="G738" s="191"/>
      <c r="H738" s="191"/>
      <c r="I738" s="191"/>
    </row>
    <row r="739" spans="1:9" x14ac:dyDescent="0.15">
      <c r="A739" s="191"/>
      <c r="B739" s="191" t="s">
        <v>5721</v>
      </c>
      <c r="C739" s="210" t="s">
        <v>6924</v>
      </c>
      <c r="D739" s="191"/>
      <c r="E739" s="191"/>
      <c r="F739" s="191"/>
      <c r="G739" s="191"/>
      <c r="H739" s="191"/>
      <c r="I739" s="191"/>
    </row>
    <row r="740" spans="1:9" x14ac:dyDescent="0.15">
      <c r="A740" s="191"/>
      <c r="B740" s="191" t="s">
        <v>5722</v>
      </c>
      <c r="C740" s="214">
        <v>427</v>
      </c>
      <c r="D740" s="191"/>
      <c r="E740" s="191"/>
      <c r="F740" s="191"/>
      <c r="G740" s="191"/>
      <c r="H740" s="191"/>
      <c r="I740" s="191"/>
    </row>
    <row r="741" spans="1:9" x14ac:dyDescent="0.15">
      <c r="A741" s="191"/>
      <c r="B741" s="191" t="s">
        <v>5720</v>
      </c>
      <c r="C741" s="25" t="s">
        <v>6922</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6975</v>
      </c>
      <c r="B743" s="43" t="s">
        <v>6968</v>
      </c>
      <c r="C743" s="210"/>
      <c r="D743" s="191"/>
      <c r="E743" s="191"/>
      <c r="F743" s="191"/>
      <c r="G743" s="191"/>
      <c r="H743" s="191"/>
      <c r="I743" s="191"/>
    </row>
    <row r="744" spans="1:9" x14ac:dyDescent="0.15">
      <c r="A744" s="191"/>
      <c r="B744" s="191" t="s">
        <v>5721</v>
      </c>
      <c r="C744" s="210" t="s">
        <v>6970</v>
      </c>
      <c r="D744" s="191"/>
      <c r="E744" s="191"/>
      <c r="F744" s="191"/>
      <c r="G744" s="191"/>
      <c r="H744" s="191"/>
      <c r="I744" s="191"/>
    </row>
    <row r="745" spans="1:9" x14ac:dyDescent="0.15">
      <c r="A745" s="191"/>
      <c r="B745" s="191" t="s">
        <v>5722</v>
      </c>
      <c r="C745" s="214">
        <v>214</v>
      </c>
      <c r="D745" s="191"/>
      <c r="E745" s="191"/>
      <c r="F745" s="191"/>
      <c r="G745" s="191"/>
      <c r="H745" s="191"/>
      <c r="I745" s="191"/>
    </row>
    <row r="746" spans="1:9" ht="15" x14ac:dyDescent="0.2">
      <c r="A746" s="191"/>
      <c r="B746" s="191" t="s">
        <v>5720</v>
      </c>
      <c r="C746" s="167" t="s">
        <v>6969</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6979</v>
      </c>
      <c r="B748" s="43" t="s">
        <v>6973</v>
      </c>
      <c r="C748" s="210"/>
      <c r="D748" s="191"/>
      <c r="E748" s="191"/>
      <c r="F748" s="191"/>
      <c r="G748" s="191"/>
      <c r="H748" s="191"/>
      <c r="I748" s="191"/>
    </row>
    <row r="749" spans="1:9" x14ac:dyDescent="0.15">
      <c r="A749" s="191"/>
      <c r="B749" s="191" t="s">
        <v>5721</v>
      </c>
      <c r="C749" s="210" t="s">
        <v>6974</v>
      </c>
      <c r="D749" s="191"/>
      <c r="E749" s="191"/>
      <c r="F749" s="191"/>
      <c r="G749" s="191"/>
      <c r="H749" s="191"/>
      <c r="I749" s="191"/>
    </row>
    <row r="750" spans="1:9" x14ac:dyDescent="0.15">
      <c r="A750" s="191"/>
      <c r="B750" s="191" t="s">
        <v>5722</v>
      </c>
      <c r="C750" s="214">
        <v>102</v>
      </c>
      <c r="D750" s="191"/>
      <c r="E750" s="191"/>
      <c r="F750" s="191"/>
      <c r="G750" s="191"/>
      <c r="H750" s="191"/>
      <c r="I750" s="191"/>
    </row>
    <row r="751" spans="1:9" x14ac:dyDescent="0.15">
      <c r="A751" s="191"/>
      <c r="B751" s="191" t="s">
        <v>5720</v>
      </c>
      <c r="C751" s="110" t="s">
        <v>6972</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7001</v>
      </c>
      <c r="B753" s="43" t="s">
        <v>6084</v>
      </c>
      <c r="C753" s="210"/>
      <c r="D753" s="191"/>
      <c r="E753" s="191"/>
      <c r="F753" s="191"/>
      <c r="G753" s="191"/>
      <c r="H753" s="191"/>
      <c r="I753" s="191"/>
    </row>
    <row r="754" spans="1:9" x14ac:dyDescent="0.15">
      <c r="A754" s="191"/>
      <c r="B754" s="191" t="s">
        <v>5721</v>
      </c>
      <c r="C754" s="210" t="s">
        <v>6083</v>
      </c>
      <c r="D754" s="191"/>
      <c r="E754" s="191"/>
      <c r="F754" s="191"/>
      <c r="G754" s="191"/>
      <c r="H754" s="191"/>
      <c r="I754" s="191"/>
    </row>
    <row r="755" spans="1:9" x14ac:dyDescent="0.15">
      <c r="A755" s="191"/>
      <c r="B755" s="191" t="s">
        <v>5722</v>
      </c>
      <c r="C755" s="214">
        <v>49</v>
      </c>
      <c r="D755" s="191"/>
      <c r="E755" s="191"/>
      <c r="F755" s="191"/>
      <c r="G755" s="191"/>
      <c r="H755" s="191"/>
      <c r="I755" s="191"/>
    </row>
    <row r="756" spans="1:9" x14ac:dyDescent="0.15">
      <c r="A756" s="191"/>
      <c r="B756" s="191" t="s">
        <v>5720</v>
      </c>
      <c r="C756" s="110" t="s">
        <v>6878</v>
      </c>
      <c r="D756" s="191"/>
      <c r="E756" s="191"/>
      <c r="F756" s="191"/>
      <c r="G756" s="191"/>
      <c r="H756" s="191"/>
      <c r="I756" s="191"/>
    </row>
    <row r="758" spans="1:9" x14ac:dyDescent="0.15">
      <c r="A758" s="265" t="s">
        <v>7746</v>
      </c>
      <c r="B758" s="43" t="s">
        <v>7743</v>
      </c>
    </row>
    <row r="759" spans="1:9" x14ac:dyDescent="0.15">
      <c r="B759" s="265" t="s">
        <v>5721</v>
      </c>
      <c r="C759" s="266" t="s">
        <v>7744</v>
      </c>
    </row>
    <row r="760" spans="1:9" x14ac:dyDescent="0.15">
      <c r="B760" s="265" t="s">
        <v>5722</v>
      </c>
      <c r="C760" s="214">
        <v>34</v>
      </c>
    </row>
    <row r="761" spans="1:9" x14ac:dyDescent="0.15">
      <c r="B761" s="265" t="s">
        <v>5720</v>
      </c>
      <c r="C761" s="110" t="s">
        <v>7745</v>
      </c>
    </row>
    <row r="763" spans="1:9" x14ac:dyDescent="0.15">
      <c r="A763" s="191" t="s">
        <v>6872</v>
      </c>
      <c r="B763" s="43" t="s">
        <v>6078</v>
      </c>
    </row>
    <row r="764" spans="1:9" x14ac:dyDescent="0.15">
      <c r="B764" s="117" t="s">
        <v>5721</v>
      </c>
      <c r="C764" s="118" t="s">
        <v>6079</v>
      </c>
    </row>
    <row r="765" spans="1:9" x14ac:dyDescent="0.15">
      <c r="B765" s="117" t="s">
        <v>5722</v>
      </c>
      <c r="C765" s="130">
        <v>74060</v>
      </c>
    </row>
    <row r="766" spans="1:9" x14ac:dyDescent="0.15">
      <c r="B766" s="117" t="s">
        <v>5720</v>
      </c>
      <c r="C766" s="25" t="s">
        <v>5699</v>
      </c>
    </row>
    <row r="767" spans="1:9" x14ac:dyDescent="0.15">
      <c r="B767" s="117" t="s">
        <v>4233</v>
      </c>
      <c r="C767" s="191" t="s">
        <v>7028</v>
      </c>
    </row>
    <row r="768" spans="1:9" x14ac:dyDescent="0.15">
      <c r="C768" s="117" t="s">
        <v>5432</v>
      </c>
    </row>
    <row r="769" spans="3:3" x14ac:dyDescent="0.15">
      <c r="C769" s="191" t="s">
        <v>5434</v>
      </c>
    </row>
    <row r="770" spans="3:3" x14ac:dyDescent="0.15">
      <c r="C770" s="191" t="s">
        <v>7029</v>
      </c>
    </row>
    <row r="771" spans="3:3" x14ac:dyDescent="0.15">
      <c r="C771" s="117" t="s">
        <v>5435</v>
      </c>
    </row>
    <row r="772" spans="3:3" x14ac:dyDescent="0.15">
      <c r="C772" s="117" t="s">
        <v>5436</v>
      </c>
    </row>
    <row r="773" spans="3:3" x14ac:dyDescent="0.15">
      <c r="C773" s="117" t="s">
        <v>5437</v>
      </c>
    </row>
    <row r="774" spans="3:3" x14ac:dyDescent="0.15">
      <c r="C774" s="117" t="s">
        <v>5438</v>
      </c>
    </row>
    <row r="775" spans="3:3" x14ac:dyDescent="0.15">
      <c r="C775" s="117" t="s">
        <v>5439</v>
      </c>
    </row>
    <row r="776" spans="3:3" x14ac:dyDescent="0.15">
      <c r="C776" s="117" t="s">
        <v>5440</v>
      </c>
    </row>
    <row r="777" spans="3:3" x14ac:dyDescent="0.15">
      <c r="C777" s="117" t="s">
        <v>5441</v>
      </c>
    </row>
    <row r="778" spans="3:3" x14ac:dyDescent="0.15">
      <c r="C778" s="117" t="s">
        <v>5442</v>
      </c>
    </row>
    <row r="779" spans="3:3" x14ac:dyDescent="0.15">
      <c r="C779" s="117" t="s">
        <v>5443</v>
      </c>
    </row>
    <row r="780" spans="3:3" x14ac:dyDescent="0.15">
      <c r="C780" s="117" t="s">
        <v>5444</v>
      </c>
    </row>
    <row r="781" spans="3:3" x14ac:dyDescent="0.15">
      <c r="C781" s="117" t="s">
        <v>5445</v>
      </c>
    </row>
    <row r="782" spans="3:3" x14ac:dyDescent="0.15">
      <c r="C782" s="117" t="s">
        <v>5446</v>
      </c>
    </row>
    <row r="783" spans="3:3" x14ac:dyDescent="0.15">
      <c r="C783" s="117" t="s">
        <v>5447</v>
      </c>
    </row>
    <row r="784" spans="3:3" x14ac:dyDescent="0.15">
      <c r="C784" s="117" t="s">
        <v>5448</v>
      </c>
    </row>
    <row r="785" spans="1:3" x14ac:dyDescent="0.15">
      <c r="C785" s="117" t="s">
        <v>5449</v>
      </c>
    </row>
    <row r="786" spans="1:3" x14ac:dyDescent="0.15">
      <c r="C786" s="117" t="s">
        <v>5450</v>
      </c>
    </row>
    <row r="787" spans="1:3" x14ac:dyDescent="0.15">
      <c r="C787" s="117" t="s">
        <v>5451</v>
      </c>
    </row>
    <row r="789" spans="1:3" x14ac:dyDescent="0.15">
      <c r="A789" s="191" t="s">
        <v>6873</v>
      </c>
      <c r="B789" s="43" t="s">
        <v>5533</v>
      </c>
    </row>
    <row r="790" spans="1:3" x14ac:dyDescent="0.15">
      <c r="B790" s="117" t="s">
        <v>5721</v>
      </c>
      <c r="C790" s="118" t="s">
        <v>5534</v>
      </c>
    </row>
    <row r="791" spans="1:3" x14ac:dyDescent="0.15">
      <c r="B791" s="117" t="s">
        <v>5722</v>
      </c>
      <c r="C791" s="126">
        <v>62570</v>
      </c>
    </row>
    <row r="792" spans="1:3" x14ac:dyDescent="0.15">
      <c r="B792" s="117" t="s">
        <v>5720</v>
      </c>
      <c r="C792" s="25" t="s">
        <v>7027</v>
      </c>
    </row>
    <row r="794" spans="1:3" x14ac:dyDescent="0.15">
      <c r="A794" s="191" t="s">
        <v>7023</v>
      </c>
      <c r="B794" s="43" t="s">
        <v>7024</v>
      </c>
    </row>
    <row r="795" spans="1:3" x14ac:dyDescent="0.15">
      <c r="B795" s="191" t="s">
        <v>5721</v>
      </c>
      <c r="C795" s="210" t="s">
        <v>7026</v>
      </c>
    </row>
    <row r="796" spans="1:3" x14ac:dyDescent="0.15">
      <c r="B796" s="191" t="s">
        <v>5722</v>
      </c>
      <c r="C796" s="126">
        <v>13472</v>
      </c>
    </row>
    <row r="797" spans="1:3" x14ac:dyDescent="0.15">
      <c r="B797" s="191" t="s">
        <v>5720</v>
      </c>
      <c r="C797" s="110" t="s">
        <v>7025</v>
      </c>
    </row>
    <row r="800" spans="1:3" x14ac:dyDescent="0.15">
      <c r="A800" s="191" t="s">
        <v>6874</v>
      </c>
      <c r="B800" s="43" t="s">
        <v>5522</v>
      </c>
    </row>
    <row r="801" spans="1:3" x14ac:dyDescent="0.15">
      <c r="B801" s="117" t="s">
        <v>5721</v>
      </c>
      <c r="C801" s="118" t="s">
        <v>5521</v>
      </c>
    </row>
    <row r="802" spans="1:3" x14ac:dyDescent="0.15">
      <c r="B802" s="117" t="s">
        <v>5722</v>
      </c>
      <c r="C802" s="125">
        <v>5402</v>
      </c>
    </row>
    <row r="803" spans="1:3" x14ac:dyDescent="0.15">
      <c r="B803" s="117" t="s">
        <v>5720</v>
      </c>
      <c r="C803" s="25" t="s">
        <v>7030</v>
      </c>
    </row>
    <row r="805" spans="1:3" x14ac:dyDescent="0.15">
      <c r="A805" s="265" t="s">
        <v>7750</v>
      </c>
      <c r="B805" s="43" t="s">
        <v>7749</v>
      </c>
    </row>
    <row r="806" spans="1:3" x14ac:dyDescent="0.15">
      <c r="B806" s="265" t="s">
        <v>5721</v>
      </c>
      <c r="C806" s="266" t="s">
        <v>7748</v>
      </c>
    </row>
    <row r="807" spans="1:3" x14ac:dyDescent="0.15">
      <c r="B807" s="265" t="s">
        <v>5722</v>
      </c>
      <c r="C807" s="131">
        <v>4718</v>
      </c>
    </row>
    <row r="808" spans="1:3" x14ac:dyDescent="0.15">
      <c r="B808" s="265" t="s">
        <v>5720</v>
      </c>
      <c r="C808" s="110" t="s">
        <v>7751</v>
      </c>
    </row>
    <row r="810" spans="1:3" x14ac:dyDescent="0.15">
      <c r="A810" s="191" t="s">
        <v>6875</v>
      </c>
      <c r="B810" s="43" t="s">
        <v>6964</v>
      </c>
    </row>
    <row r="811" spans="1:3" x14ac:dyDescent="0.15">
      <c r="B811" s="191" t="s">
        <v>5721</v>
      </c>
      <c r="C811" s="210" t="s">
        <v>6966</v>
      </c>
    </row>
    <row r="812" spans="1:3" x14ac:dyDescent="0.15">
      <c r="B812" s="191" t="s">
        <v>5722</v>
      </c>
      <c r="C812" s="131">
        <v>3782</v>
      </c>
    </row>
    <row r="813" spans="1:3" x14ac:dyDescent="0.15">
      <c r="B813" s="191" t="s">
        <v>5720</v>
      </c>
      <c r="C813" s="110" t="s">
        <v>6965</v>
      </c>
    </row>
    <row r="815" spans="1:3" x14ac:dyDescent="0.15">
      <c r="A815" s="191" t="s">
        <v>6876</v>
      </c>
      <c r="B815" s="43" t="s">
        <v>6803</v>
      </c>
    </row>
    <row r="816" spans="1:3" x14ac:dyDescent="0.15">
      <c r="B816" s="117" t="s">
        <v>5721</v>
      </c>
      <c r="C816" s="118" t="s">
        <v>5510</v>
      </c>
    </row>
    <row r="817" spans="1:3" x14ac:dyDescent="0.15">
      <c r="B817" s="117" t="s">
        <v>5722</v>
      </c>
      <c r="C817" s="131">
        <v>3443</v>
      </c>
    </row>
    <row r="818" spans="1:3" x14ac:dyDescent="0.15">
      <c r="B818" s="117" t="s">
        <v>5720</v>
      </c>
      <c r="C818" s="25" t="s">
        <v>6804</v>
      </c>
    </row>
    <row r="820" spans="1:3" x14ac:dyDescent="0.15">
      <c r="A820" s="191" t="s">
        <v>6888</v>
      </c>
      <c r="B820" s="43" t="s">
        <v>6887</v>
      </c>
    </row>
    <row r="821" spans="1:3" x14ac:dyDescent="0.15">
      <c r="B821" s="191" t="s">
        <v>5721</v>
      </c>
      <c r="C821" s="210" t="s">
        <v>6885</v>
      </c>
    </row>
    <row r="822" spans="1:3" x14ac:dyDescent="0.15">
      <c r="B822" s="191" t="s">
        <v>5722</v>
      </c>
      <c r="C822" s="131">
        <v>1538</v>
      </c>
    </row>
    <row r="823" spans="1:3" x14ac:dyDescent="0.15">
      <c r="B823" s="191" t="s">
        <v>5720</v>
      </c>
      <c r="C823" s="110" t="s">
        <v>6886</v>
      </c>
    </row>
    <row r="825" spans="1:3" x14ac:dyDescent="0.15">
      <c r="A825" s="191" t="s">
        <v>6892</v>
      </c>
      <c r="B825" s="43" t="s">
        <v>6996</v>
      </c>
    </row>
    <row r="826" spans="1:3" x14ac:dyDescent="0.15">
      <c r="B826" s="191" t="s">
        <v>5721</v>
      </c>
      <c r="C826" s="210" t="s">
        <v>6995</v>
      </c>
    </row>
    <row r="827" spans="1:3" x14ac:dyDescent="0.15">
      <c r="B827" s="191" t="s">
        <v>5722</v>
      </c>
      <c r="C827" s="131">
        <v>553</v>
      </c>
    </row>
    <row r="828" spans="1:3" x14ac:dyDescent="0.15">
      <c r="B828" s="191" t="s">
        <v>5720</v>
      </c>
      <c r="C828" s="25" t="s">
        <v>6994</v>
      </c>
    </row>
    <row r="830" spans="1:3" x14ac:dyDescent="0.15">
      <c r="A830" s="191" t="s">
        <v>6929</v>
      </c>
      <c r="B830" s="43" t="s">
        <v>6947</v>
      </c>
    </row>
    <row r="831" spans="1:3" x14ac:dyDescent="0.15">
      <c r="B831" s="191" t="s">
        <v>5721</v>
      </c>
      <c r="C831" s="210" t="s">
        <v>6948</v>
      </c>
    </row>
    <row r="832" spans="1:3" x14ac:dyDescent="0.15">
      <c r="B832" s="191" t="s">
        <v>5722</v>
      </c>
      <c r="C832" s="131">
        <v>550</v>
      </c>
    </row>
    <row r="833" spans="1:3" ht="15" x14ac:dyDescent="0.2">
      <c r="B833" s="191" t="s">
        <v>5720</v>
      </c>
      <c r="C833" s="167" t="s">
        <v>6949</v>
      </c>
    </row>
    <row r="835" spans="1:3" x14ac:dyDescent="0.15">
      <c r="A835" s="191" t="s">
        <v>6950</v>
      </c>
      <c r="B835" s="43" t="s">
        <v>6928</v>
      </c>
    </row>
    <row r="836" spans="1:3" x14ac:dyDescent="0.15">
      <c r="B836" s="191" t="s">
        <v>5721</v>
      </c>
      <c r="C836" s="210" t="s">
        <v>6927</v>
      </c>
    </row>
    <row r="837" spans="1:3" x14ac:dyDescent="0.15">
      <c r="B837" s="191" t="s">
        <v>5722</v>
      </c>
      <c r="C837" s="131">
        <v>409</v>
      </c>
    </row>
    <row r="838" spans="1:3" x14ac:dyDescent="0.15">
      <c r="B838" s="191" t="s">
        <v>5720</v>
      </c>
      <c r="C838" s="25" t="s">
        <v>6926</v>
      </c>
    </row>
    <row r="840" spans="1:3" x14ac:dyDescent="0.15">
      <c r="A840" s="191" t="s">
        <v>6967</v>
      </c>
      <c r="B840" s="43" t="s">
        <v>6891</v>
      </c>
    </row>
    <row r="841" spans="1:3" x14ac:dyDescent="0.15">
      <c r="B841" s="191" t="s">
        <v>5721</v>
      </c>
      <c r="C841" s="210" t="s">
        <v>6890</v>
      </c>
    </row>
    <row r="842" spans="1:3" x14ac:dyDescent="0.15">
      <c r="B842" s="191" t="s">
        <v>5722</v>
      </c>
      <c r="C842" s="131">
        <v>339</v>
      </c>
    </row>
    <row r="843" spans="1:3" ht="15" x14ac:dyDescent="0.2">
      <c r="B843" s="191" t="s">
        <v>5720</v>
      </c>
      <c r="C843" s="167" t="s">
        <v>6889</v>
      </c>
    </row>
    <row r="845" spans="1:3" x14ac:dyDescent="0.15">
      <c r="A845" s="191" t="s">
        <v>6997</v>
      </c>
      <c r="B845" s="43" t="s">
        <v>6642</v>
      </c>
    </row>
    <row r="846" spans="1:3" x14ac:dyDescent="0.15">
      <c r="B846" s="175" t="s">
        <v>5721</v>
      </c>
      <c r="C846" s="176" t="s">
        <v>6587</v>
      </c>
    </row>
    <row r="847" spans="1:3" x14ac:dyDescent="0.15">
      <c r="B847" s="175" t="s">
        <v>5722</v>
      </c>
      <c r="C847" s="131">
        <v>241</v>
      </c>
    </row>
    <row r="848" spans="1:3" x14ac:dyDescent="0.15">
      <c r="B848" s="175" t="s">
        <v>5720</v>
      </c>
      <c r="C848" s="110" t="s">
        <v>6643</v>
      </c>
    </row>
    <row r="850" spans="1:3" x14ac:dyDescent="0.15">
      <c r="A850" s="191" t="s">
        <v>6807</v>
      </c>
      <c r="B850" s="43" t="s">
        <v>6645</v>
      </c>
    </row>
    <row r="851" spans="1:3" x14ac:dyDescent="0.15">
      <c r="B851" s="175" t="s">
        <v>5721</v>
      </c>
      <c r="C851" s="176" t="s">
        <v>6648</v>
      </c>
    </row>
    <row r="852" spans="1:3" x14ac:dyDescent="0.15">
      <c r="B852" s="175" t="s">
        <v>5722</v>
      </c>
      <c r="C852" s="126">
        <v>30753</v>
      </c>
    </row>
    <row r="853" spans="1:3" x14ac:dyDescent="0.15">
      <c r="B853" s="175" t="s">
        <v>5720</v>
      </c>
      <c r="C853" s="25" t="s">
        <v>6644</v>
      </c>
    </row>
    <row r="855" spans="1:3" x14ac:dyDescent="0.15">
      <c r="A855" s="191" t="s">
        <v>6833</v>
      </c>
      <c r="B855" s="43" t="s">
        <v>5536</v>
      </c>
    </row>
    <row r="856" spans="1:3" x14ac:dyDescent="0.15">
      <c r="B856" s="191" t="s">
        <v>5721</v>
      </c>
      <c r="C856" s="118" t="s">
        <v>5535</v>
      </c>
    </row>
    <row r="857" spans="1:3" x14ac:dyDescent="0.15">
      <c r="B857" s="191" t="s">
        <v>5722</v>
      </c>
      <c r="C857" s="128">
        <v>14017</v>
      </c>
    </row>
    <row r="858" spans="1:3" x14ac:dyDescent="0.15">
      <c r="B858" s="191" t="s">
        <v>5720</v>
      </c>
      <c r="C858" s="25" t="s">
        <v>6806</v>
      </c>
    </row>
    <row r="859" spans="1:3" s="191" customFormat="1" x14ac:dyDescent="0.15"/>
    <row r="860" spans="1:3" s="191" customFormat="1" x14ac:dyDescent="0.15">
      <c r="A860" s="191" t="s">
        <v>6834</v>
      </c>
      <c r="B860" s="43" t="s">
        <v>6539</v>
      </c>
      <c r="C860" s="210"/>
    </row>
    <row r="861" spans="1:3" s="191" customFormat="1" x14ac:dyDescent="0.15">
      <c r="B861" s="191" t="s">
        <v>5721</v>
      </c>
      <c r="C861" s="210" t="s">
        <v>5551</v>
      </c>
    </row>
    <row r="862" spans="1:3" s="191" customFormat="1" x14ac:dyDescent="0.15">
      <c r="B862" s="191" t="s">
        <v>5722</v>
      </c>
      <c r="C862" s="213">
        <v>9183</v>
      </c>
    </row>
    <row r="863" spans="1:3" s="191" customFormat="1" ht="14" x14ac:dyDescent="0.2">
      <c r="B863" s="191" t="s">
        <v>5720</v>
      </c>
      <c r="C863" s="28" t="s">
        <v>6538</v>
      </c>
    </row>
    <row r="864" spans="1:3" s="191" customFormat="1" x14ac:dyDescent="0.15">
      <c r="C864" s="210"/>
    </row>
    <row r="865" spans="1:3" s="191" customFormat="1" x14ac:dyDescent="0.15">
      <c r="A865" s="191" t="s">
        <v>6835</v>
      </c>
      <c r="B865" s="43" t="s">
        <v>6566</v>
      </c>
      <c r="C865" s="210"/>
    </row>
    <row r="866" spans="1:3" s="191" customFormat="1" x14ac:dyDescent="0.15">
      <c r="B866" s="191" t="s">
        <v>5721</v>
      </c>
      <c r="C866" s="210" t="s">
        <v>6553</v>
      </c>
    </row>
    <row r="867" spans="1:3" s="191" customFormat="1" x14ac:dyDescent="0.15">
      <c r="B867" s="191" t="s">
        <v>5722</v>
      </c>
      <c r="C867" s="213">
        <v>8373</v>
      </c>
    </row>
    <row r="868" spans="1:3" s="191" customFormat="1" ht="14" x14ac:dyDescent="0.2">
      <c r="B868" s="191" t="s">
        <v>5720</v>
      </c>
      <c r="C868" s="160" t="s">
        <v>6554</v>
      </c>
    </row>
    <row r="869" spans="1:3" s="191" customFormat="1" ht="14" x14ac:dyDescent="0.2">
      <c r="C869" s="160"/>
    </row>
    <row r="870" spans="1:3" s="191" customFormat="1" x14ac:dyDescent="0.15">
      <c r="A870" s="191" t="s">
        <v>6836</v>
      </c>
      <c r="B870" s="43" t="s">
        <v>6102</v>
      </c>
      <c r="C870" s="210"/>
    </row>
    <row r="871" spans="1:3" s="191" customFormat="1" x14ac:dyDescent="0.15">
      <c r="B871" s="191" t="s">
        <v>5721</v>
      </c>
      <c r="C871" s="224" t="s">
        <v>6101</v>
      </c>
    </row>
    <row r="872" spans="1:3" s="191" customFormat="1" x14ac:dyDescent="0.15">
      <c r="B872" s="191" t="s">
        <v>5722</v>
      </c>
      <c r="C872" s="214">
        <v>3259</v>
      </c>
    </row>
    <row r="873" spans="1:3" s="191" customFormat="1" x14ac:dyDescent="0.15">
      <c r="B873" s="191" t="s">
        <v>5720</v>
      </c>
      <c r="C873" s="25" t="s">
        <v>6805</v>
      </c>
    </row>
    <row r="874" spans="1:3" s="191" customFormat="1" x14ac:dyDescent="0.15">
      <c r="C874" s="210"/>
    </row>
    <row r="875" spans="1:3" s="191" customFormat="1" x14ac:dyDescent="0.15">
      <c r="A875" s="191" t="s">
        <v>6837</v>
      </c>
      <c r="B875" s="43" t="s">
        <v>6537</v>
      </c>
      <c r="C875" s="210"/>
    </row>
    <row r="876" spans="1:3" s="191" customFormat="1" x14ac:dyDescent="0.15">
      <c r="B876" s="191" t="s">
        <v>5721</v>
      </c>
      <c r="C876" s="210" t="s">
        <v>6106</v>
      </c>
    </row>
    <row r="877" spans="1:3" s="191" customFormat="1" x14ac:dyDescent="0.15">
      <c r="B877" s="191" t="s">
        <v>5722</v>
      </c>
      <c r="C877" s="214">
        <v>1330</v>
      </c>
    </row>
    <row r="878" spans="1:3" s="191" customFormat="1" ht="14" x14ac:dyDescent="0.2">
      <c r="B878" s="191" t="s">
        <v>5720</v>
      </c>
      <c r="C878" s="160" t="s">
        <v>6536</v>
      </c>
    </row>
    <row r="879" spans="1:3" s="191" customFormat="1" ht="14" x14ac:dyDescent="0.2">
      <c r="C879" s="160"/>
    </row>
    <row r="880" spans="1:3" x14ac:dyDescent="0.15">
      <c r="A880" s="191" t="s">
        <v>6838</v>
      </c>
      <c r="B880" s="43" t="s">
        <v>6540</v>
      </c>
    </row>
    <row r="881" spans="1:3" x14ac:dyDescent="0.15">
      <c r="B881" s="117" t="s">
        <v>5721</v>
      </c>
      <c r="C881" s="118" t="s">
        <v>5506</v>
      </c>
    </row>
    <row r="882" spans="1:3" x14ac:dyDescent="0.15">
      <c r="B882" s="117" t="s">
        <v>5722</v>
      </c>
      <c r="C882" s="131">
        <v>1302</v>
      </c>
    </row>
    <row r="883" spans="1:3" x14ac:dyDescent="0.15">
      <c r="B883" s="117" t="s">
        <v>5720</v>
      </c>
      <c r="C883" s="117"/>
    </row>
    <row r="884" spans="1:3" x14ac:dyDescent="0.15">
      <c r="B884" s="117" t="s">
        <v>4233</v>
      </c>
      <c r="C884" s="117" t="s">
        <v>6081</v>
      </c>
    </row>
    <row r="885" spans="1:3" x14ac:dyDescent="0.15">
      <c r="C885" s="117" t="s">
        <v>5511</v>
      </c>
    </row>
    <row r="886" spans="1:3" x14ac:dyDescent="0.15">
      <c r="C886" s="117" t="s">
        <v>5512</v>
      </c>
    </row>
    <row r="887" spans="1:3" x14ac:dyDescent="0.15">
      <c r="C887" s="117" t="s">
        <v>5513</v>
      </c>
    </row>
    <row r="888" spans="1:3" x14ac:dyDescent="0.15">
      <c r="C888" s="117" t="s">
        <v>5514</v>
      </c>
    </row>
    <row r="889" spans="1:3" x14ac:dyDescent="0.15">
      <c r="C889" s="117"/>
    </row>
    <row r="890" spans="1:3" s="191" customFormat="1" x14ac:dyDescent="0.15">
      <c r="A890" s="191" t="s">
        <v>6839</v>
      </c>
      <c r="B890" s="43" t="s">
        <v>6567</v>
      </c>
      <c r="C890" s="210"/>
    </row>
    <row r="891" spans="1:3" s="191" customFormat="1" x14ac:dyDescent="0.15">
      <c r="B891" s="191" t="s">
        <v>5721</v>
      </c>
      <c r="C891" s="210" t="s">
        <v>6080</v>
      </c>
    </row>
    <row r="892" spans="1:3" s="191" customFormat="1" x14ac:dyDescent="0.15">
      <c r="B892" s="191" t="s">
        <v>5722</v>
      </c>
      <c r="C892" s="214">
        <v>681</v>
      </c>
    </row>
    <row r="893" spans="1:3" s="191" customFormat="1" x14ac:dyDescent="0.15">
      <c r="B893" s="191" t="s">
        <v>5720</v>
      </c>
      <c r="C893" s="110" t="s">
        <v>6809</v>
      </c>
    </row>
    <row r="894" spans="1:3" s="191" customFormat="1" x14ac:dyDescent="0.15">
      <c r="C894" s="210"/>
    </row>
    <row r="895" spans="1:3" s="191" customFormat="1" x14ac:dyDescent="0.15">
      <c r="A895" s="191" t="s">
        <v>6840</v>
      </c>
      <c r="B895" s="43" t="s">
        <v>6411</v>
      </c>
      <c r="C895" s="210"/>
    </row>
    <row r="896" spans="1:3" s="191" customFormat="1" x14ac:dyDescent="0.15">
      <c r="B896" s="191" t="s">
        <v>5721</v>
      </c>
      <c r="C896" s="210" t="s">
        <v>6410</v>
      </c>
    </row>
    <row r="897" spans="1:3" x14ac:dyDescent="0.15">
      <c r="B897" s="117" t="s">
        <v>5722</v>
      </c>
      <c r="C897" s="214">
        <v>341</v>
      </c>
    </row>
    <row r="898" spans="1:3" ht="15" x14ac:dyDescent="0.2">
      <c r="B898" s="117" t="s">
        <v>5720</v>
      </c>
      <c r="C898" s="167" t="s">
        <v>6412</v>
      </c>
    </row>
    <row r="900" spans="1:3" x14ac:dyDescent="0.15">
      <c r="A900" s="265" t="s">
        <v>7729</v>
      </c>
      <c r="B900" s="43" t="s">
        <v>7730</v>
      </c>
    </row>
    <row r="901" spans="1:3" x14ac:dyDescent="0.15">
      <c r="B901" s="265" t="s">
        <v>5721</v>
      </c>
      <c r="C901" s="266" t="s">
        <v>7731</v>
      </c>
    </row>
    <row r="902" spans="1:3" x14ac:dyDescent="0.15">
      <c r="B902" s="265" t="s">
        <v>5722</v>
      </c>
      <c r="C902" s="214">
        <v>4000</v>
      </c>
    </row>
    <row r="903" spans="1:3" x14ac:dyDescent="0.15">
      <c r="B903" s="265" t="s">
        <v>5720</v>
      </c>
      <c r="C903" s="25" t="s">
        <v>7732</v>
      </c>
    </row>
    <row r="904" spans="1:3" x14ac:dyDescent="0.15">
      <c r="B904" s="265" t="s">
        <v>4233</v>
      </c>
      <c r="C904" s="276" t="s">
        <v>7747</v>
      </c>
    </row>
    <row r="906" spans="1:3" x14ac:dyDescent="0.15">
      <c r="A906" s="191" t="s">
        <v>6831</v>
      </c>
      <c r="B906" s="43" t="s">
        <v>6533</v>
      </c>
    </row>
    <row r="907" spans="1:3" x14ac:dyDescent="0.15">
      <c r="B907" s="175" t="s">
        <v>5721</v>
      </c>
      <c r="C907" s="176" t="s">
        <v>6534</v>
      </c>
    </row>
    <row r="908" spans="1:3" x14ac:dyDescent="0.15">
      <c r="B908" s="175" t="s">
        <v>5722</v>
      </c>
      <c r="C908" s="214">
        <v>226</v>
      </c>
    </row>
    <row r="909" spans="1:3" ht="15" x14ac:dyDescent="0.2">
      <c r="B909" s="175" t="s">
        <v>5720</v>
      </c>
      <c r="C909" s="167" t="s">
        <v>6535</v>
      </c>
    </row>
    <row r="911" spans="1:3" x14ac:dyDescent="0.15">
      <c r="A911" s="191" t="s">
        <v>6832</v>
      </c>
      <c r="B911" s="43" t="s">
        <v>6541</v>
      </c>
      <c r="C911" s="117"/>
    </row>
    <row r="912" spans="1:3" x14ac:dyDescent="0.15">
      <c r="B912" s="175" t="s">
        <v>5721</v>
      </c>
      <c r="C912" s="175" t="s">
        <v>6542</v>
      </c>
    </row>
    <row r="913" spans="1:3" x14ac:dyDescent="0.15">
      <c r="B913" s="175" t="s">
        <v>5722</v>
      </c>
      <c r="C913" s="214">
        <v>46</v>
      </c>
    </row>
    <row r="914" spans="1:3" ht="15" x14ac:dyDescent="0.2">
      <c r="B914" s="175" t="s">
        <v>5720</v>
      </c>
      <c r="C914" s="45" t="s">
        <v>6543</v>
      </c>
    </row>
    <row r="916" spans="1:3" x14ac:dyDescent="0.15">
      <c r="A916" s="191" t="s">
        <v>6842</v>
      </c>
      <c r="B916" s="43" t="s">
        <v>6529</v>
      </c>
    </row>
    <row r="917" spans="1:3" x14ac:dyDescent="0.15">
      <c r="B917" s="175" t="s">
        <v>5787</v>
      </c>
      <c r="C917" s="176" t="s">
        <v>4538</v>
      </c>
    </row>
    <row r="918" spans="1:3" x14ac:dyDescent="0.15">
      <c r="B918" s="175" t="s">
        <v>5722</v>
      </c>
      <c r="C918" s="125">
        <v>5145</v>
      </c>
    </row>
    <row r="919" spans="1:3" ht="15" x14ac:dyDescent="0.2">
      <c r="B919" s="175" t="s">
        <v>5720</v>
      </c>
      <c r="C919" s="45" t="s">
        <v>6530</v>
      </c>
    </row>
    <row r="920" spans="1:3" x14ac:dyDescent="0.15">
      <c r="C920" s="266"/>
    </row>
    <row r="921" spans="1:3" x14ac:dyDescent="0.15">
      <c r="A921" s="191" t="s">
        <v>6841</v>
      </c>
      <c r="B921" s="43" t="s">
        <v>6532</v>
      </c>
      <c r="C921" s="266"/>
    </row>
    <row r="922" spans="1:3" x14ac:dyDescent="0.15">
      <c r="B922" s="175" t="s">
        <v>5721</v>
      </c>
      <c r="C922" s="266" t="s">
        <v>5540</v>
      </c>
    </row>
    <row r="923" spans="1:3" x14ac:dyDescent="0.15">
      <c r="B923" s="175" t="s">
        <v>5722</v>
      </c>
      <c r="C923" s="275">
        <v>2033</v>
      </c>
    </row>
    <row r="924" spans="1:3" x14ac:dyDescent="0.15">
      <c r="B924" s="175" t="s">
        <v>5720</v>
      </c>
      <c r="C924" s="25" t="s">
        <v>6531</v>
      </c>
    </row>
    <row r="925" spans="1:3" x14ac:dyDescent="0.15">
      <c r="C925" s="266"/>
    </row>
    <row r="926" spans="1:3" x14ac:dyDescent="0.15">
      <c r="A926" s="191" t="s">
        <v>6843</v>
      </c>
      <c r="B926" s="43" t="s">
        <v>6507</v>
      </c>
      <c r="C926" s="266"/>
    </row>
    <row r="927" spans="1:3" x14ac:dyDescent="0.15">
      <c r="B927" s="175" t="s">
        <v>5721</v>
      </c>
      <c r="C927" s="266" t="s">
        <v>5627</v>
      </c>
    </row>
    <row r="928" spans="1:3" x14ac:dyDescent="0.15">
      <c r="B928" s="175" t="s">
        <v>5722</v>
      </c>
      <c r="C928" s="275">
        <v>806</v>
      </c>
    </row>
    <row r="929" spans="1:3" x14ac:dyDescent="0.15">
      <c r="B929" s="176" t="s">
        <v>5720</v>
      </c>
      <c r="C929" s="110" t="s">
        <v>6508</v>
      </c>
    </row>
    <row r="930" spans="1:3" x14ac:dyDescent="0.15">
      <c r="B930" s="176"/>
      <c r="C930" s="266"/>
    </row>
    <row r="931" spans="1:3" x14ac:dyDescent="0.15">
      <c r="A931" s="265" t="s">
        <v>7725</v>
      </c>
      <c r="B931" s="119" t="s">
        <v>7728</v>
      </c>
      <c r="C931" s="266"/>
    </row>
    <row r="932" spans="1:3" x14ac:dyDescent="0.15">
      <c r="B932" s="266" t="s">
        <v>5721</v>
      </c>
      <c r="C932" s="266" t="s">
        <v>7727</v>
      </c>
    </row>
    <row r="933" spans="1:3" x14ac:dyDescent="0.15">
      <c r="B933" s="266" t="s">
        <v>5722</v>
      </c>
      <c r="C933" s="275">
        <v>300</v>
      </c>
    </row>
    <row r="934" spans="1:3" x14ac:dyDescent="0.15">
      <c r="B934" s="266" t="s">
        <v>5720</v>
      </c>
      <c r="C934" s="110" t="s">
        <v>7726</v>
      </c>
    </row>
    <row r="935" spans="1:3" x14ac:dyDescent="0.15">
      <c r="B935" s="266" t="s">
        <v>4233</v>
      </c>
    </row>
    <row r="936" spans="1:3" x14ac:dyDescent="0.15">
      <c r="B936" s="176"/>
    </row>
    <row r="937" spans="1:3" x14ac:dyDescent="0.15">
      <c r="A937" s="265" t="s">
        <v>7738</v>
      </c>
      <c r="B937" s="119" t="s">
        <v>7739</v>
      </c>
    </row>
    <row r="938" spans="1:3" x14ac:dyDescent="0.15">
      <c r="B938" s="266" t="s">
        <v>5721</v>
      </c>
      <c r="C938" s="266" t="s">
        <v>7740</v>
      </c>
    </row>
    <row r="939" spans="1:3" x14ac:dyDescent="0.15">
      <c r="B939" s="266" t="s">
        <v>5722</v>
      </c>
      <c r="C939" s="275">
        <v>113</v>
      </c>
    </row>
    <row r="940" spans="1:3" x14ac:dyDescent="0.15">
      <c r="B940" s="266" t="s">
        <v>5720</v>
      </c>
      <c r="C940" s="110" t="s">
        <v>7741</v>
      </c>
    </row>
    <row r="941" spans="1:3" x14ac:dyDescent="0.15">
      <c r="B941" s="176"/>
    </row>
    <row r="942" spans="1:3" x14ac:dyDescent="0.15">
      <c r="A942" s="191" t="s">
        <v>6844</v>
      </c>
      <c r="B942" s="43" t="s">
        <v>6568</v>
      </c>
      <c r="C942" s="266"/>
    </row>
    <row r="943" spans="1:3" x14ac:dyDescent="0.15">
      <c r="B943" s="175" t="s">
        <v>5721</v>
      </c>
      <c r="C943" s="266" t="s">
        <v>6569</v>
      </c>
    </row>
    <row r="944" spans="1:3" x14ac:dyDescent="0.15">
      <c r="B944" s="175" t="s">
        <v>5722</v>
      </c>
      <c r="C944" s="275">
        <v>54</v>
      </c>
    </row>
    <row r="945" spans="1:3" ht="14" x14ac:dyDescent="0.2">
      <c r="B945" s="175" t="s">
        <v>5720</v>
      </c>
      <c r="C945" s="160" t="s">
        <v>6570</v>
      </c>
    </row>
    <row r="946" spans="1:3" x14ac:dyDescent="0.15">
      <c r="C946" s="266"/>
    </row>
    <row r="947" spans="1:3" x14ac:dyDescent="0.15">
      <c r="A947" s="191" t="s">
        <v>6845</v>
      </c>
      <c r="B947" s="43" t="s">
        <v>6510</v>
      </c>
      <c r="C947" s="266"/>
    </row>
    <row r="948" spans="1:3" x14ac:dyDescent="0.15">
      <c r="B948" s="117" t="s">
        <v>5721</v>
      </c>
      <c r="C948" s="266" t="s">
        <v>6404</v>
      </c>
    </row>
    <row r="949" spans="1:3" x14ac:dyDescent="0.15">
      <c r="B949" s="117" t="s">
        <v>5722</v>
      </c>
      <c r="C949" s="275">
        <v>44</v>
      </c>
    </row>
    <row r="950" spans="1:3" ht="14" x14ac:dyDescent="0.2">
      <c r="B950" s="117" t="s">
        <v>5720</v>
      </c>
      <c r="C950" s="160" t="s">
        <v>6403</v>
      </c>
    </row>
    <row r="951" spans="1:3" x14ac:dyDescent="0.15">
      <c r="C951" s="266"/>
    </row>
    <row r="952" spans="1:3" x14ac:dyDescent="0.15">
      <c r="A952" s="191" t="s">
        <v>6846</v>
      </c>
      <c r="B952" s="119" t="s">
        <v>6526</v>
      </c>
      <c r="C952" s="266"/>
    </row>
    <row r="953" spans="1:3" x14ac:dyDescent="0.15">
      <c r="B953" s="176" t="s">
        <v>5721</v>
      </c>
      <c r="C953" s="266" t="s">
        <v>6527</v>
      </c>
    </row>
    <row r="954" spans="1:3" x14ac:dyDescent="0.15">
      <c r="B954" s="176" t="s">
        <v>5722</v>
      </c>
      <c r="C954" s="275">
        <v>8</v>
      </c>
    </row>
    <row r="955" spans="1:3" ht="14" x14ac:dyDescent="0.2">
      <c r="B955" s="176" t="s">
        <v>5720</v>
      </c>
      <c r="C955" s="160" t="s">
        <v>6528</v>
      </c>
    </row>
    <row r="956" spans="1:3" x14ac:dyDescent="0.15">
      <c r="B956" s="176"/>
      <c r="C956" s="266"/>
    </row>
    <row r="957" spans="1:3" x14ac:dyDescent="0.15">
      <c r="A957" s="191" t="s">
        <v>6849</v>
      </c>
      <c r="B957" s="43" t="s">
        <v>6573</v>
      </c>
      <c r="C957" s="266"/>
    </row>
    <row r="958" spans="1:3" x14ac:dyDescent="0.15">
      <c r="B958" s="175" t="s">
        <v>5721</v>
      </c>
      <c r="C958" s="176" t="s">
        <v>6574</v>
      </c>
    </row>
    <row r="959" spans="1:3" x14ac:dyDescent="0.15">
      <c r="B959" s="175" t="s">
        <v>5722</v>
      </c>
      <c r="C959" s="131">
        <v>1812</v>
      </c>
    </row>
    <row r="960" spans="1:3" ht="15" x14ac:dyDescent="0.2">
      <c r="B960" s="175" t="s">
        <v>5720</v>
      </c>
      <c r="C960" s="167" t="s">
        <v>6575</v>
      </c>
    </row>
    <row r="962" spans="1:9" x14ac:dyDescent="0.15">
      <c r="A962" s="191" t="s">
        <v>6850</v>
      </c>
      <c r="B962" s="43" t="s">
        <v>6509</v>
      </c>
    </row>
    <row r="963" spans="1:9" x14ac:dyDescent="0.15">
      <c r="B963" s="175" t="s">
        <v>5721</v>
      </c>
      <c r="C963" s="176" t="s">
        <v>6506</v>
      </c>
    </row>
    <row r="964" spans="1:9" x14ac:dyDescent="0.15">
      <c r="B964" s="175" t="s">
        <v>5722</v>
      </c>
      <c r="C964" s="131">
        <v>1259</v>
      </c>
    </row>
    <row r="965" spans="1:9" x14ac:dyDescent="0.15">
      <c r="B965" s="176" t="s">
        <v>5720</v>
      </c>
      <c r="C965" s="110" t="s">
        <v>6847</v>
      </c>
    </row>
    <row r="966" spans="1:9" x14ac:dyDescent="0.15">
      <c r="B966" s="176"/>
    </row>
    <row r="967" spans="1:9" x14ac:dyDescent="0.15">
      <c r="A967" s="191" t="s">
        <v>6851</v>
      </c>
      <c r="B967" s="119" t="s">
        <v>6501</v>
      </c>
      <c r="C967" s="176"/>
      <c r="D967" s="175"/>
      <c r="E967" s="175"/>
      <c r="F967" s="175"/>
      <c r="G967" s="175"/>
      <c r="H967" s="175"/>
      <c r="I967" s="175"/>
    </row>
    <row r="968" spans="1:9" x14ac:dyDescent="0.15">
      <c r="A968" s="175"/>
      <c r="B968" s="176" t="s">
        <v>5721</v>
      </c>
      <c r="C968" s="176" t="s">
        <v>6502</v>
      </c>
      <c r="D968" s="175"/>
      <c r="E968" s="175"/>
      <c r="F968" s="175"/>
      <c r="G968" s="175"/>
      <c r="H968" s="175"/>
      <c r="I968" s="175"/>
    </row>
    <row r="969" spans="1:9" x14ac:dyDescent="0.15">
      <c r="A969" s="175"/>
      <c r="B969" s="176" t="s">
        <v>5722</v>
      </c>
      <c r="C969" s="131">
        <v>398</v>
      </c>
      <c r="D969" s="175"/>
      <c r="E969" s="175"/>
      <c r="F969" s="175"/>
      <c r="G969" s="175"/>
      <c r="H969" s="175"/>
      <c r="I969" s="175"/>
    </row>
    <row r="970" spans="1:9" ht="14" x14ac:dyDescent="0.2">
      <c r="A970" s="175"/>
      <c r="B970" s="176" t="s">
        <v>5720</v>
      </c>
      <c r="C970" s="160" t="s">
        <v>6503</v>
      </c>
      <c r="D970" s="175"/>
      <c r="E970" s="175"/>
      <c r="F970" s="175"/>
      <c r="G970" s="175"/>
      <c r="H970" s="175"/>
      <c r="I970" s="175"/>
    </row>
    <row r="971" spans="1:9" ht="14" x14ac:dyDescent="0.2">
      <c r="A971" s="175"/>
      <c r="B971" s="176"/>
      <c r="C971" s="160"/>
      <c r="D971" s="175"/>
      <c r="E971" s="175"/>
      <c r="F971" s="175"/>
      <c r="G971" s="175"/>
      <c r="H971" s="175"/>
      <c r="I971" s="175"/>
    </row>
    <row r="972" spans="1:9" x14ac:dyDescent="0.15">
      <c r="A972" s="191" t="s">
        <v>6852</v>
      </c>
      <c r="B972" s="119" t="s">
        <v>6848</v>
      </c>
      <c r="C972" s="176"/>
      <c r="D972" s="175"/>
      <c r="E972" s="175"/>
      <c r="F972" s="175"/>
      <c r="G972" s="175"/>
      <c r="H972" s="175"/>
      <c r="I972" s="175"/>
    </row>
    <row r="973" spans="1:9" x14ac:dyDescent="0.15">
      <c r="A973" s="175"/>
      <c r="B973" s="176" t="s">
        <v>5721</v>
      </c>
      <c r="C973" s="176" t="s">
        <v>6588</v>
      </c>
      <c r="D973" s="175"/>
      <c r="E973" s="175"/>
      <c r="F973" s="175"/>
      <c r="G973" s="175"/>
      <c r="H973" s="175"/>
      <c r="I973" s="175"/>
    </row>
    <row r="974" spans="1:9" x14ac:dyDescent="0.15">
      <c r="A974" s="175"/>
      <c r="B974" s="176" t="s">
        <v>5722</v>
      </c>
      <c r="C974" s="131">
        <v>185</v>
      </c>
      <c r="D974" s="175"/>
      <c r="E974" s="175"/>
      <c r="F974" s="175"/>
      <c r="G974" s="175"/>
      <c r="H974" s="175"/>
      <c r="I974" s="175"/>
    </row>
    <row r="975" spans="1:9" ht="15" x14ac:dyDescent="0.2">
      <c r="A975" s="175"/>
      <c r="B975" s="176" t="s">
        <v>5720</v>
      </c>
      <c r="C975" s="167" t="s">
        <v>6589</v>
      </c>
      <c r="D975" s="175"/>
      <c r="E975" s="175"/>
      <c r="F975" s="175"/>
      <c r="G975" s="175"/>
      <c r="H975" s="175"/>
      <c r="I975" s="175"/>
    </row>
    <row r="976" spans="1:9" x14ac:dyDescent="0.15">
      <c r="A976" s="175"/>
      <c r="B976" s="176"/>
      <c r="C976" s="176"/>
      <c r="D976" s="175"/>
      <c r="E976" s="175"/>
      <c r="F976" s="175"/>
      <c r="G976" s="175"/>
      <c r="H976" s="175"/>
      <c r="I976" s="175"/>
    </row>
    <row r="977" spans="1:9" ht="14" x14ac:dyDescent="0.2">
      <c r="A977" s="191" t="s">
        <v>6853</v>
      </c>
      <c r="B977" s="119" t="s">
        <v>6552</v>
      </c>
      <c r="C977" s="160"/>
      <c r="D977" s="175"/>
      <c r="E977" s="175"/>
      <c r="F977" s="175"/>
      <c r="G977" s="175"/>
      <c r="H977" s="175"/>
      <c r="I977" s="175"/>
    </row>
    <row r="978" spans="1:9" x14ac:dyDescent="0.15">
      <c r="A978" s="175"/>
      <c r="B978" s="176" t="s">
        <v>5721</v>
      </c>
      <c r="C978" s="176" t="s">
        <v>6550</v>
      </c>
      <c r="D978" s="175"/>
      <c r="E978" s="175"/>
      <c r="F978" s="175"/>
      <c r="G978" s="175"/>
      <c r="H978" s="175"/>
      <c r="I978" s="175"/>
    </row>
    <row r="979" spans="1:9" x14ac:dyDescent="0.15">
      <c r="A979" s="175"/>
      <c r="B979" s="176" t="s">
        <v>5722</v>
      </c>
      <c r="C979" s="131">
        <v>169</v>
      </c>
      <c r="D979" s="175"/>
      <c r="E979" s="175"/>
      <c r="F979" s="175"/>
      <c r="G979" s="175"/>
      <c r="H979" s="175"/>
      <c r="I979" s="175"/>
    </row>
    <row r="980" spans="1:9" ht="14" x14ac:dyDescent="0.2">
      <c r="A980" s="175"/>
      <c r="B980" s="176" t="s">
        <v>5720</v>
      </c>
      <c r="C980" s="160" t="s">
        <v>6551</v>
      </c>
      <c r="D980" s="175"/>
      <c r="E980" s="175"/>
      <c r="F980" s="175"/>
      <c r="G980" s="175"/>
      <c r="H980" s="175"/>
      <c r="I980" s="175"/>
    </row>
    <row r="981" spans="1:9" x14ac:dyDescent="0.15">
      <c r="A981" s="175"/>
      <c r="B981" s="176"/>
      <c r="C981" s="176"/>
      <c r="D981" s="175"/>
      <c r="E981" s="175"/>
      <c r="F981" s="175"/>
      <c r="G981" s="175"/>
      <c r="H981" s="175"/>
      <c r="I981" s="175"/>
    </row>
    <row r="982" spans="1:9" x14ac:dyDescent="0.15">
      <c r="A982" s="191" t="s">
        <v>6854</v>
      </c>
      <c r="B982" s="119" t="s">
        <v>6407</v>
      </c>
      <c r="C982" s="176"/>
      <c r="D982" s="175"/>
      <c r="E982" s="175"/>
      <c r="F982" s="175"/>
      <c r="G982" s="175"/>
      <c r="H982" s="175"/>
      <c r="I982" s="175"/>
    </row>
    <row r="983" spans="1:9" x14ac:dyDescent="0.15">
      <c r="A983" s="175"/>
      <c r="B983" s="176" t="s">
        <v>5721</v>
      </c>
      <c r="C983" s="176" t="s">
        <v>6406</v>
      </c>
      <c r="D983" s="175"/>
      <c r="E983" s="175"/>
      <c r="F983" s="175"/>
      <c r="G983" s="175"/>
      <c r="H983" s="175"/>
      <c r="I983" s="175"/>
    </row>
    <row r="984" spans="1:9" x14ac:dyDescent="0.15">
      <c r="A984" s="175"/>
      <c r="B984" s="176" t="s">
        <v>5722</v>
      </c>
      <c r="C984" s="131">
        <v>123</v>
      </c>
      <c r="D984" s="175"/>
      <c r="E984" s="175"/>
      <c r="F984" s="175"/>
      <c r="G984" s="175"/>
      <c r="H984" s="175"/>
      <c r="I984" s="175"/>
    </row>
    <row r="985" spans="1:9" ht="14" x14ac:dyDescent="0.2">
      <c r="A985" s="175"/>
      <c r="B985" s="176" t="s">
        <v>5720</v>
      </c>
      <c r="C985" s="160" t="s">
        <v>6405</v>
      </c>
      <c r="D985" s="175"/>
      <c r="E985" s="175"/>
      <c r="F985" s="175"/>
      <c r="G985" s="175"/>
      <c r="H985" s="175"/>
      <c r="I985" s="175"/>
    </row>
    <row r="986" spans="1:9" x14ac:dyDescent="0.15">
      <c r="A986" s="175"/>
      <c r="B986" s="176"/>
      <c r="C986" s="176"/>
      <c r="D986" s="175"/>
      <c r="E986" s="175"/>
      <c r="F986" s="175"/>
      <c r="G986" s="175"/>
      <c r="H986" s="175"/>
      <c r="I986" s="175"/>
    </row>
    <row r="987" spans="1:9" x14ac:dyDescent="0.15">
      <c r="A987" s="191" t="s">
        <v>6855</v>
      </c>
      <c r="B987" s="43" t="s">
        <v>6640</v>
      </c>
      <c r="C987" s="176"/>
      <c r="D987" s="175"/>
      <c r="E987" s="175"/>
      <c r="F987" s="175"/>
      <c r="G987" s="175"/>
      <c r="H987" s="175"/>
    </row>
    <row r="988" spans="1:9" x14ac:dyDescent="0.15">
      <c r="B988" s="175" t="s">
        <v>5721</v>
      </c>
      <c r="C988" s="176" t="s">
        <v>6639</v>
      </c>
      <c r="D988" s="175"/>
      <c r="E988" s="175"/>
      <c r="F988" s="175"/>
      <c r="G988" s="175"/>
      <c r="H988" s="175"/>
    </row>
    <row r="989" spans="1:9" x14ac:dyDescent="0.15">
      <c r="B989" s="175" t="s">
        <v>5722</v>
      </c>
      <c r="C989" s="131">
        <v>75</v>
      </c>
      <c r="D989" s="175"/>
      <c r="E989" s="175"/>
      <c r="F989" s="175"/>
      <c r="G989" s="175"/>
      <c r="H989" s="175"/>
    </row>
    <row r="990" spans="1:9" x14ac:dyDescent="0.15">
      <c r="B990" s="175" t="s">
        <v>5720</v>
      </c>
      <c r="C990" s="110" t="s">
        <v>6638</v>
      </c>
      <c r="D990" s="175"/>
      <c r="E990" s="175"/>
      <c r="F990" s="175"/>
      <c r="G990" s="175"/>
      <c r="H990" s="175"/>
    </row>
    <row r="991" spans="1:9" x14ac:dyDescent="0.15">
      <c r="B991" s="118"/>
    </row>
    <row r="992" spans="1:9" x14ac:dyDescent="0.15">
      <c r="A992" s="191" t="s">
        <v>6856</v>
      </c>
      <c r="B992" s="43" t="s">
        <v>6525</v>
      </c>
    </row>
    <row r="993" spans="1:9" x14ac:dyDescent="0.15">
      <c r="B993" s="117" t="s">
        <v>5721</v>
      </c>
      <c r="C993" s="118" t="s">
        <v>4163</v>
      </c>
    </row>
    <row r="994" spans="1:9" x14ac:dyDescent="0.15">
      <c r="B994" s="117" t="s">
        <v>5722</v>
      </c>
      <c r="C994" s="131">
        <v>66</v>
      </c>
    </row>
    <row r="995" spans="1:9" x14ac:dyDescent="0.15">
      <c r="B995" s="117" t="s">
        <v>5720</v>
      </c>
      <c r="C995" s="114" t="s">
        <v>6064</v>
      </c>
    </row>
    <row r="997" spans="1:9" x14ac:dyDescent="0.15">
      <c r="A997" s="191" t="s">
        <v>6857</v>
      </c>
      <c r="B997" s="43" t="s">
        <v>6522</v>
      </c>
      <c r="C997" s="176"/>
      <c r="D997" s="175"/>
      <c r="E997" s="175"/>
      <c r="F997" s="175"/>
      <c r="G997" s="175"/>
      <c r="H997" s="175"/>
      <c r="I997" s="175"/>
    </row>
    <row r="998" spans="1:9" x14ac:dyDescent="0.15">
      <c r="A998" s="175"/>
      <c r="B998" s="175" t="s">
        <v>5721</v>
      </c>
      <c r="C998" s="176" t="s">
        <v>6521</v>
      </c>
      <c r="D998" s="175"/>
      <c r="E998" s="175"/>
      <c r="F998" s="175"/>
      <c r="G998" s="175"/>
      <c r="H998" s="175"/>
      <c r="I998" s="175"/>
    </row>
    <row r="999" spans="1:9" x14ac:dyDescent="0.15">
      <c r="A999" s="175"/>
      <c r="B999" s="175" t="s">
        <v>5722</v>
      </c>
      <c r="C999" s="131">
        <v>29</v>
      </c>
      <c r="D999" s="175"/>
      <c r="E999" s="175"/>
      <c r="F999" s="175"/>
      <c r="G999" s="175"/>
      <c r="H999" s="175"/>
      <c r="I999" s="175"/>
    </row>
    <row r="1000" spans="1:9" ht="14" x14ac:dyDescent="0.2">
      <c r="A1000" s="175"/>
      <c r="B1000" s="175" t="s">
        <v>5720</v>
      </c>
      <c r="C1000" s="160" t="s">
        <v>6523</v>
      </c>
      <c r="D1000" s="175"/>
      <c r="E1000" s="175"/>
      <c r="F1000" s="175"/>
      <c r="G1000" s="175"/>
      <c r="H1000" s="175"/>
      <c r="I1000" s="175"/>
    </row>
    <row r="1001" spans="1:9" x14ac:dyDescent="0.15">
      <c r="A1001" s="175"/>
      <c r="B1001" s="175"/>
      <c r="C1001" s="176"/>
      <c r="D1001" s="175"/>
      <c r="E1001" s="175"/>
      <c r="F1001" s="175"/>
      <c r="G1001" s="175"/>
      <c r="H1001" s="175"/>
      <c r="I1001" s="175"/>
    </row>
    <row r="1002" spans="1:9" x14ac:dyDescent="0.15">
      <c r="A1002" s="191" t="s">
        <v>6858</v>
      </c>
      <c r="B1002" s="119" t="s">
        <v>6504</v>
      </c>
    </row>
    <row r="1003" spans="1:9" x14ac:dyDescent="0.15">
      <c r="B1003" s="118" t="s">
        <v>5721</v>
      </c>
      <c r="C1003" s="118" t="s">
        <v>6408</v>
      </c>
    </row>
    <row r="1004" spans="1:9" x14ac:dyDescent="0.15">
      <c r="B1004" s="118" t="s">
        <v>5722</v>
      </c>
      <c r="C1004" s="131">
        <v>6</v>
      </c>
    </row>
    <row r="1005" spans="1:9" ht="15" x14ac:dyDescent="0.2">
      <c r="B1005" s="118" t="s">
        <v>5720</v>
      </c>
      <c r="C1005" s="167" t="s">
        <v>6505</v>
      </c>
    </row>
    <row r="1006" spans="1:9" x14ac:dyDescent="0.15">
      <c r="B1006" s="118"/>
    </row>
    <row r="1007" spans="1:9" x14ac:dyDescent="0.15">
      <c r="A1007" s="191" t="s">
        <v>6860</v>
      </c>
      <c r="B1007" s="119" t="s">
        <v>6581</v>
      </c>
      <c r="C1007" s="176"/>
      <c r="D1007" s="175"/>
      <c r="E1007" s="175"/>
      <c r="F1007" s="175"/>
      <c r="G1007" s="175"/>
      <c r="H1007" s="175"/>
      <c r="I1007" s="175"/>
    </row>
    <row r="1008" spans="1:9" x14ac:dyDescent="0.15">
      <c r="A1008" s="175"/>
      <c r="B1008" s="176" t="s">
        <v>5721</v>
      </c>
      <c r="C1008" s="176" t="s">
        <v>6583</v>
      </c>
      <c r="D1008" s="175"/>
      <c r="E1008" s="175"/>
      <c r="F1008" s="175"/>
      <c r="G1008" s="175"/>
      <c r="H1008" s="175"/>
      <c r="I1008" s="175"/>
    </row>
    <row r="1009" spans="1:9" x14ac:dyDescent="0.15">
      <c r="A1009" s="175"/>
      <c r="B1009" s="176" t="s">
        <v>5722</v>
      </c>
      <c r="C1009" s="131">
        <v>878</v>
      </c>
      <c r="D1009" s="175"/>
      <c r="E1009" s="175"/>
      <c r="F1009" s="175"/>
      <c r="G1009" s="175"/>
      <c r="H1009" s="175"/>
      <c r="I1009" s="175"/>
    </row>
    <row r="1010" spans="1:9" ht="15" x14ac:dyDescent="0.2">
      <c r="A1010" s="175"/>
      <c r="B1010" s="176" t="s">
        <v>5720</v>
      </c>
      <c r="C1010" s="167" t="s">
        <v>6582</v>
      </c>
      <c r="D1010" s="175"/>
      <c r="E1010" s="175"/>
      <c r="F1010" s="175"/>
      <c r="G1010" s="175"/>
      <c r="H1010" s="175"/>
      <c r="I1010" s="175"/>
    </row>
    <row r="1011" spans="1:9" x14ac:dyDescent="0.15">
      <c r="A1011" s="175"/>
      <c r="B1011" s="176"/>
      <c r="C1011" s="176"/>
      <c r="D1011" s="175"/>
      <c r="E1011" s="175"/>
      <c r="F1011" s="175"/>
      <c r="G1011" s="175"/>
      <c r="H1011" s="175"/>
      <c r="I1011" s="175"/>
    </row>
    <row r="1012" spans="1:9" x14ac:dyDescent="0.15">
      <c r="A1012" s="191" t="s">
        <v>6861</v>
      </c>
      <c r="B1012" s="43" t="s">
        <v>6488</v>
      </c>
      <c r="C1012" s="176"/>
      <c r="D1012" s="175"/>
      <c r="E1012" s="175"/>
      <c r="F1012" s="175"/>
      <c r="G1012" s="175"/>
      <c r="H1012" s="175"/>
      <c r="I1012" s="175"/>
    </row>
    <row r="1013" spans="1:9" x14ac:dyDescent="0.15">
      <c r="A1013" s="175"/>
      <c r="B1013" s="175" t="s">
        <v>5721</v>
      </c>
      <c r="C1013" s="176" t="s">
        <v>6104</v>
      </c>
      <c r="D1013" s="175"/>
      <c r="E1013" s="175"/>
      <c r="F1013" s="175"/>
      <c r="G1013" s="175"/>
      <c r="H1013" s="175"/>
      <c r="I1013" s="175"/>
    </row>
    <row r="1014" spans="1:9" x14ac:dyDescent="0.15">
      <c r="A1014" s="175"/>
      <c r="B1014" s="175" t="s">
        <v>5722</v>
      </c>
      <c r="C1014" s="131">
        <v>501</v>
      </c>
      <c r="D1014" s="175"/>
      <c r="E1014" s="175"/>
      <c r="F1014" s="175"/>
      <c r="G1014" s="175"/>
      <c r="H1014" s="175"/>
      <c r="I1014" s="175"/>
    </row>
    <row r="1015" spans="1:9" ht="14" x14ac:dyDescent="0.2">
      <c r="A1015" s="175"/>
      <c r="B1015" s="175" t="s">
        <v>5720</v>
      </c>
      <c r="C1015" s="160" t="s">
        <v>6487</v>
      </c>
      <c r="D1015" s="175"/>
      <c r="E1015" s="175"/>
      <c r="F1015" s="175"/>
      <c r="G1015" s="175"/>
      <c r="H1015" s="175"/>
      <c r="I1015" s="175"/>
    </row>
    <row r="1016" spans="1:9" ht="14" x14ac:dyDescent="0.2">
      <c r="A1016" s="175"/>
      <c r="B1016" s="175"/>
      <c r="C1016" s="160"/>
      <c r="D1016" s="175"/>
      <c r="E1016" s="175"/>
      <c r="F1016" s="175"/>
      <c r="G1016" s="175"/>
      <c r="H1016" s="175"/>
      <c r="I1016" s="175"/>
    </row>
    <row r="1017" spans="1:9" x14ac:dyDescent="0.15">
      <c r="A1017" s="175"/>
      <c r="B1017" s="119" t="s">
        <v>6580</v>
      </c>
      <c r="C1017" s="176"/>
      <c r="D1017" s="175"/>
      <c r="E1017" s="175"/>
      <c r="F1017" s="175"/>
      <c r="G1017" s="175"/>
      <c r="H1017" s="175"/>
      <c r="I1017" s="175"/>
    </row>
    <row r="1018" spans="1:9" x14ac:dyDescent="0.15">
      <c r="A1018" s="175"/>
      <c r="B1018" s="176" t="s">
        <v>5721</v>
      </c>
      <c r="C1018" s="176" t="s">
        <v>6555</v>
      </c>
      <c r="D1018" s="175"/>
      <c r="E1018" s="175"/>
      <c r="F1018" s="175"/>
      <c r="G1018" s="175"/>
      <c r="H1018" s="175"/>
      <c r="I1018" s="175"/>
    </row>
    <row r="1019" spans="1:9" x14ac:dyDescent="0.15">
      <c r="A1019" s="175"/>
      <c r="B1019" s="176" t="s">
        <v>5722</v>
      </c>
      <c r="C1019" s="131">
        <v>75</v>
      </c>
      <c r="D1019" s="175"/>
      <c r="E1019" s="175"/>
      <c r="F1019" s="175"/>
      <c r="G1019" s="175"/>
      <c r="H1019" s="175"/>
      <c r="I1019" s="175"/>
    </row>
    <row r="1020" spans="1:9" ht="15" x14ac:dyDescent="0.2">
      <c r="A1020" s="175"/>
      <c r="B1020" s="176" t="s">
        <v>5720</v>
      </c>
      <c r="C1020" s="167" t="s">
        <v>6556</v>
      </c>
      <c r="D1020" s="175"/>
      <c r="E1020" s="175"/>
      <c r="F1020" s="175"/>
      <c r="G1020" s="175"/>
      <c r="H1020" s="175"/>
      <c r="I1020" s="175"/>
    </row>
    <row r="1021" spans="1:9" x14ac:dyDescent="0.15">
      <c r="A1021" s="175"/>
      <c r="B1021" s="176"/>
      <c r="C1021" s="176"/>
      <c r="D1021" s="175"/>
      <c r="E1021" s="175"/>
      <c r="F1021" s="175"/>
      <c r="G1021" s="175"/>
      <c r="H1021" s="175"/>
      <c r="I1021" s="175"/>
    </row>
    <row r="1022" spans="1:9" x14ac:dyDescent="0.15">
      <c r="A1022" s="175"/>
      <c r="B1022" s="43" t="s">
        <v>6414</v>
      </c>
      <c r="C1022" s="176"/>
      <c r="D1022" s="175"/>
      <c r="E1022" s="175"/>
      <c r="F1022" s="175"/>
      <c r="G1022" s="175"/>
      <c r="H1022" s="175"/>
      <c r="I1022" s="175"/>
    </row>
    <row r="1023" spans="1:9" x14ac:dyDescent="0.15">
      <c r="A1023" s="175"/>
      <c r="B1023" s="175" t="s">
        <v>5721</v>
      </c>
      <c r="C1023" s="176" t="s">
        <v>6393</v>
      </c>
      <c r="D1023" s="175"/>
      <c r="E1023" s="175"/>
      <c r="F1023" s="175"/>
      <c r="G1023" s="175"/>
      <c r="H1023" s="175"/>
      <c r="I1023" s="175"/>
    </row>
    <row r="1024" spans="1:9" x14ac:dyDescent="0.15">
      <c r="A1024" s="175"/>
      <c r="B1024" s="175" t="s">
        <v>5722</v>
      </c>
      <c r="C1024" s="214" t="s">
        <v>1</v>
      </c>
      <c r="D1024" s="175"/>
      <c r="E1024" s="175"/>
      <c r="F1024" s="175"/>
      <c r="G1024" s="175"/>
      <c r="H1024" s="175"/>
      <c r="I1024" s="175"/>
    </row>
    <row r="1025" spans="1:9" ht="14" x14ac:dyDescent="0.2">
      <c r="A1025" s="175"/>
      <c r="B1025" s="175" t="s">
        <v>5720</v>
      </c>
      <c r="C1025" s="160" t="s">
        <v>6413</v>
      </c>
      <c r="D1025" s="175"/>
      <c r="E1025" s="175"/>
      <c r="F1025" s="175"/>
      <c r="G1025" s="175"/>
      <c r="H1025" s="175"/>
      <c r="I1025" s="175"/>
    </row>
    <row r="1026" spans="1:9" x14ac:dyDescent="0.15">
      <c r="A1026" s="175"/>
      <c r="B1026" s="175"/>
      <c r="C1026" s="176"/>
      <c r="D1026" s="175"/>
      <c r="E1026" s="175"/>
      <c r="F1026" s="175"/>
      <c r="G1026" s="175"/>
      <c r="H1026" s="175"/>
      <c r="I1026" s="175"/>
    </row>
    <row r="1027" spans="1:9" x14ac:dyDescent="0.15">
      <c r="A1027" s="175"/>
      <c r="B1027" s="43" t="s">
        <v>6571</v>
      </c>
      <c r="C1027" s="176"/>
      <c r="D1027" s="175"/>
      <c r="E1027" s="175"/>
      <c r="F1027" s="175"/>
      <c r="G1027" s="175"/>
      <c r="H1027" s="175"/>
      <c r="I1027" s="175"/>
    </row>
    <row r="1028" spans="1:9" x14ac:dyDescent="0.15">
      <c r="A1028" s="175"/>
      <c r="B1028" s="175" t="s">
        <v>5721</v>
      </c>
      <c r="C1028" s="176" t="s">
        <v>0</v>
      </c>
      <c r="D1028" s="175"/>
      <c r="E1028" s="175"/>
      <c r="F1028" s="175"/>
      <c r="G1028" s="175"/>
      <c r="H1028" s="175"/>
      <c r="I1028" s="175"/>
    </row>
    <row r="1029" spans="1:9" x14ac:dyDescent="0.15">
      <c r="A1029" s="175"/>
      <c r="B1029" s="175" t="s">
        <v>5722</v>
      </c>
      <c r="C1029" s="214" t="s">
        <v>1</v>
      </c>
      <c r="D1029" s="175"/>
      <c r="E1029" s="175"/>
      <c r="F1029" s="175"/>
      <c r="G1029" s="175"/>
      <c r="H1029" s="175"/>
      <c r="I1029" s="175"/>
    </row>
    <row r="1030" spans="1:9" ht="15" x14ac:dyDescent="0.2">
      <c r="A1030" s="175"/>
      <c r="B1030" s="175" t="s">
        <v>5720</v>
      </c>
      <c r="C1030" s="167" t="s">
        <v>6572</v>
      </c>
      <c r="D1030" s="176"/>
      <c r="E1030" s="175"/>
      <c r="F1030" s="175"/>
      <c r="G1030" s="175"/>
      <c r="H1030" s="175"/>
      <c r="I1030" s="175"/>
    </row>
    <row r="1031" spans="1:9" x14ac:dyDescent="0.15">
      <c r="A1031" s="175"/>
      <c r="B1031" s="175"/>
      <c r="C1031" s="176"/>
      <c r="D1031" s="175"/>
      <c r="E1031" s="175"/>
      <c r="F1031" s="175"/>
      <c r="G1031" s="175"/>
      <c r="H1031" s="175"/>
      <c r="I1031" s="175"/>
    </row>
    <row r="1032" spans="1:9" x14ac:dyDescent="0.15">
      <c r="A1032" s="175"/>
      <c r="B1032" s="43" t="s">
        <v>6593</v>
      </c>
      <c r="C1032" s="176"/>
      <c r="D1032" s="175"/>
      <c r="E1032" s="175"/>
      <c r="F1032" s="175"/>
      <c r="G1032" s="175"/>
      <c r="H1032" s="175"/>
      <c r="I1032" s="175"/>
    </row>
    <row r="1033" spans="1:9" x14ac:dyDescent="0.15">
      <c r="A1033" s="175"/>
      <c r="B1033" s="175" t="s">
        <v>5721</v>
      </c>
      <c r="C1033" s="176" t="s">
        <v>6594</v>
      </c>
      <c r="D1033" s="175"/>
      <c r="E1033" s="175"/>
      <c r="F1033" s="175"/>
      <c r="G1033" s="175"/>
      <c r="H1033" s="175"/>
      <c r="I1033" s="175"/>
    </row>
    <row r="1034" spans="1:9" x14ac:dyDescent="0.15">
      <c r="A1034" s="175"/>
      <c r="B1034" s="175" t="s">
        <v>5722</v>
      </c>
      <c r="C1034" s="131">
        <v>29</v>
      </c>
      <c r="D1034" s="175"/>
      <c r="E1034" s="175"/>
      <c r="F1034" s="175"/>
      <c r="G1034" s="175"/>
      <c r="H1034" s="175"/>
      <c r="I1034" s="175"/>
    </row>
    <row r="1035" spans="1:9" ht="15" x14ac:dyDescent="0.2">
      <c r="A1035" s="175"/>
      <c r="B1035" s="175" t="s">
        <v>5720</v>
      </c>
      <c r="C1035" s="167" t="s">
        <v>6595</v>
      </c>
      <c r="D1035" s="175"/>
      <c r="E1035" s="175"/>
      <c r="F1035" s="175"/>
      <c r="G1035" s="175"/>
      <c r="H1035" s="175"/>
      <c r="I1035" s="175"/>
    </row>
    <row r="1036" spans="1:9" x14ac:dyDescent="0.15">
      <c r="A1036" s="175"/>
      <c r="B1036" s="175"/>
      <c r="C1036" s="176"/>
      <c r="D1036" s="175"/>
      <c r="E1036" s="175"/>
      <c r="F1036" s="175"/>
      <c r="G1036" s="175"/>
      <c r="H1036" s="175"/>
      <c r="I1036" s="175"/>
    </row>
    <row r="1037" spans="1:9" x14ac:dyDescent="0.15">
      <c r="B1037" s="119" t="s">
        <v>6578</v>
      </c>
    </row>
    <row r="1038" spans="1:9" x14ac:dyDescent="0.15">
      <c r="B1038" s="176" t="s">
        <v>5721</v>
      </c>
      <c r="C1038" s="176" t="s">
        <v>6576</v>
      </c>
    </row>
    <row r="1039" spans="1:9" x14ac:dyDescent="0.15">
      <c r="B1039" s="176" t="s">
        <v>5722</v>
      </c>
      <c r="C1039" s="131">
        <v>93</v>
      </c>
    </row>
    <row r="1040" spans="1:9" ht="15" x14ac:dyDescent="0.2">
      <c r="B1040" s="176" t="s">
        <v>5720</v>
      </c>
      <c r="C1040" s="167" t="s">
        <v>6577</v>
      </c>
    </row>
    <row r="1041" spans="1:9" x14ac:dyDescent="0.15">
      <c r="A1041" s="175"/>
      <c r="B1041" s="175"/>
      <c r="C1041" s="176"/>
      <c r="D1041" s="175"/>
      <c r="E1041" s="175"/>
      <c r="F1041" s="175"/>
      <c r="G1041" s="175"/>
      <c r="H1041" s="175"/>
      <c r="I1041" s="175"/>
    </row>
    <row r="1042" spans="1:9" x14ac:dyDescent="0.15">
      <c r="A1042" s="175"/>
      <c r="B1042" s="43" t="s">
        <v>6544</v>
      </c>
      <c r="C1042" s="176"/>
      <c r="D1042" s="175"/>
      <c r="E1042" s="175"/>
      <c r="F1042" s="175"/>
      <c r="G1042" s="175"/>
      <c r="H1042" s="175"/>
      <c r="I1042" s="175"/>
    </row>
    <row r="1043" spans="1:9" x14ac:dyDescent="0.15">
      <c r="A1043" s="175"/>
      <c r="B1043" s="175" t="s">
        <v>5721</v>
      </c>
      <c r="C1043" s="176" t="s">
        <v>6546</v>
      </c>
      <c r="D1043" s="175"/>
      <c r="E1043" s="175"/>
      <c r="F1043" s="175"/>
      <c r="G1043" s="175"/>
      <c r="H1043" s="175"/>
      <c r="I1043" s="175"/>
    </row>
    <row r="1044" spans="1:9" x14ac:dyDescent="0.15">
      <c r="A1044" s="175"/>
      <c r="B1044" s="175" t="s">
        <v>5722</v>
      </c>
      <c r="C1044" s="131">
        <v>35</v>
      </c>
      <c r="D1044" s="175"/>
      <c r="E1044" s="175"/>
      <c r="F1044" s="175"/>
      <c r="G1044" s="175"/>
      <c r="H1044" s="175"/>
      <c r="I1044" s="175"/>
    </row>
    <row r="1045" spans="1:9" ht="14" x14ac:dyDescent="0.2">
      <c r="A1045" s="175"/>
      <c r="B1045" s="175" t="s">
        <v>5720</v>
      </c>
      <c r="C1045" s="160" t="s">
        <v>6547</v>
      </c>
      <c r="D1045" s="175"/>
      <c r="E1045" s="175"/>
      <c r="F1045" s="175"/>
      <c r="G1045" s="175"/>
      <c r="H1045" s="175"/>
      <c r="I1045" s="175"/>
    </row>
    <row r="1046" spans="1:9" x14ac:dyDescent="0.15">
      <c r="A1046" s="175"/>
      <c r="B1046" s="175"/>
      <c r="C1046" s="176"/>
      <c r="D1046" s="175"/>
      <c r="E1046" s="175"/>
      <c r="F1046" s="175"/>
      <c r="G1046" s="175"/>
      <c r="H1046" s="175"/>
      <c r="I1046" s="175"/>
    </row>
    <row r="1047" spans="1:9" x14ac:dyDescent="0.15">
      <c r="A1047" s="175"/>
      <c r="B1047" s="43" t="s">
        <v>6590</v>
      </c>
      <c r="C1047" s="176"/>
      <c r="D1047" s="175"/>
      <c r="E1047" s="175"/>
      <c r="F1047" s="175"/>
      <c r="G1047" s="175"/>
      <c r="H1047" s="175"/>
      <c r="I1047" s="175"/>
    </row>
    <row r="1048" spans="1:9" x14ac:dyDescent="0.15">
      <c r="A1048" s="175"/>
      <c r="B1048" s="175" t="s">
        <v>5721</v>
      </c>
      <c r="C1048" s="176" t="s">
        <v>6592</v>
      </c>
      <c r="D1048" s="175"/>
      <c r="E1048" s="175"/>
      <c r="F1048" s="175"/>
      <c r="G1048" s="175"/>
      <c r="H1048" s="175"/>
      <c r="I1048" s="175"/>
    </row>
    <row r="1049" spans="1:9" x14ac:dyDescent="0.15">
      <c r="A1049" s="175"/>
      <c r="B1049" s="175" t="s">
        <v>5722</v>
      </c>
      <c r="C1049" s="131">
        <v>20</v>
      </c>
      <c r="D1049" s="175"/>
      <c r="E1049" s="175"/>
      <c r="F1049" s="175"/>
      <c r="G1049" s="175"/>
      <c r="H1049" s="175"/>
      <c r="I1049" s="175"/>
    </row>
    <row r="1050" spans="1:9" ht="15" x14ac:dyDescent="0.2">
      <c r="A1050" s="175"/>
      <c r="B1050" s="175" t="s">
        <v>5720</v>
      </c>
      <c r="C1050" s="167" t="s">
        <v>6591</v>
      </c>
      <c r="D1050" s="175"/>
      <c r="E1050" s="175"/>
      <c r="F1050" s="175"/>
      <c r="G1050" s="175"/>
      <c r="H1050" s="175"/>
      <c r="I1050" s="175"/>
    </row>
    <row r="1051" spans="1:9" x14ac:dyDescent="0.15">
      <c r="A1051" s="175"/>
      <c r="B1051" s="175"/>
      <c r="C1051" s="176"/>
      <c r="D1051" s="175"/>
      <c r="E1051" s="175"/>
      <c r="F1051" s="175"/>
      <c r="G1051" s="175"/>
      <c r="H1051" s="175"/>
      <c r="I1051" s="175"/>
    </row>
    <row r="1052" spans="1:9" x14ac:dyDescent="0.15">
      <c r="A1052" s="175"/>
      <c r="B1052" s="43" t="s">
        <v>6545</v>
      </c>
      <c r="C1052" s="176"/>
      <c r="D1052" s="175"/>
      <c r="E1052" s="175"/>
      <c r="F1052" s="175"/>
      <c r="G1052" s="175"/>
      <c r="H1052" s="175"/>
      <c r="I1052" s="175"/>
    </row>
    <row r="1053" spans="1:9" x14ac:dyDescent="0.15">
      <c r="A1053" s="175"/>
      <c r="B1053" s="175" t="s">
        <v>5721</v>
      </c>
      <c r="C1053" s="176" t="s">
        <v>6482</v>
      </c>
      <c r="D1053" s="175"/>
      <c r="E1053" s="175"/>
      <c r="F1053" s="175"/>
      <c r="G1053" s="175"/>
      <c r="H1053" s="175"/>
      <c r="I1053" s="175"/>
    </row>
    <row r="1054" spans="1:9" x14ac:dyDescent="0.15">
      <c r="A1054" s="175"/>
      <c r="B1054" s="175" t="s">
        <v>5722</v>
      </c>
      <c r="C1054" s="131">
        <v>2</v>
      </c>
      <c r="D1054" s="175"/>
      <c r="E1054" s="175"/>
      <c r="F1054" s="175"/>
      <c r="G1054" s="175"/>
      <c r="H1054" s="175"/>
      <c r="I1054" s="175"/>
    </row>
    <row r="1055" spans="1:9" ht="14" x14ac:dyDescent="0.2">
      <c r="A1055" s="175"/>
      <c r="B1055" s="175" t="s">
        <v>5720</v>
      </c>
      <c r="C1055" s="160" t="s">
        <v>6490</v>
      </c>
      <c r="D1055" s="175"/>
      <c r="E1055" s="175"/>
      <c r="F1055" s="175"/>
      <c r="G1055" s="175"/>
      <c r="H1055" s="175"/>
      <c r="I1055" s="175"/>
    </row>
    <row r="1056" spans="1:9" x14ac:dyDescent="0.15">
      <c r="A1056" s="175"/>
      <c r="B1056" s="175"/>
      <c r="C1056" s="176"/>
      <c r="D1056" s="175"/>
      <c r="E1056" s="175"/>
      <c r="F1056" s="175"/>
      <c r="G1056" s="175"/>
      <c r="H1056" s="175"/>
      <c r="I1056" s="175"/>
    </row>
    <row r="1057" spans="1:9" x14ac:dyDescent="0.15">
      <c r="A1057" s="175"/>
      <c r="B1057" s="43" t="s">
        <v>6491</v>
      </c>
      <c r="C1057" s="176"/>
      <c r="D1057" s="175"/>
      <c r="E1057" s="175"/>
      <c r="F1057" s="175"/>
      <c r="G1057" s="175"/>
      <c r="H1057" s="175"/>
      <c r="I1057" s="175"/>
    </row>
    <row r="1058" spans="1:9" x14ac:dyDescent="0.15">
      <c r="A1058" s="175"/>
      <c r="B1058" s="175" t="s">
        <v>5721</v>
      </c>
      <c r="C1058" s="176" t="s">
        <v>6482</v>
      </c>
      <c r="D1058" s="175"/>
      <c r="E1058" s="175"/>
      <c r="F1058" s="175"/>
      <c r="G1058" s="175"/>
      <c r="H1058" s="175"/>
      <c r="I1058" s="175"/>
    </row>
    <row r="1059" spans="1:9" x14ac:dyDescent="0.15">
      <c r="A1059" s="175"/>
      <c r="B1059" s="175" t="s">
        <v>5722</v>
      </c>
      <c r="C1059" s="131">
        <v>1</v>
      </c>
      <c r="D1059" s="175"/>
      <c r="E1059" s="175"/>
      <c r="F1059" s="175"/>
      <c r="G1059" s="175"/>
      <c r="H1059" s="175"/>
      <c r="I1059" s="175"/>
    </row>
    <row r="1060" spans="1:9" ht="14" x14ac:dyDescent="0.2">
      <c r="A1060" s="175"/>
      <c r="B1060" s="175" t="s">
        <v>5720</v>
      </c>
      <c r="C1060" s="160" t="s">
        <v>6492</v>
      </c>
      <c r="D1060" s="175"/>
      <c r="E1060" s="175"/>
      <c r="F1060" s="175"/>
      <c r="G1060" s="175"/>
      <c r="H1060" s="175"/>
      <c r="I1060" s="175"/>
    </row>
    <row r="1061" spans="1:9" x14ac:dyDescent="0.15">
      <c r="A1061" s="175"/>
      <c r="B1061" s="175"/>
      <c r="C1061" s="176"/>
      <c r="D1061" s="175"/>
      <c r="E1061" s="175"/>
      <c r="F1061" s="175"/>
      <c r="G1061" s="175"/>
      <c r="H1061" s="175"/>
      <c r="I1061" s="175"/>
    </row>
    <row r="1062" spans="1:9" x14ac:dyDescent="0.15">
      <c r="A1062" s="175"/>
      <c r="B1062" s="119" t="s">
        <v>6863</v>
      </c>
      <c r="C1062" s="176"/>
      <c r="D1062" s="175"/>
      <c r="E1062" s="175"/>
      <c r="F1062" s="175"/>
      <c r="G1062" s="175"/>
      <c r="H1062" s="175"/>
      <c r="I1062" s="175"/>
    </row>
    <row r="1063" spans="1:9" x14ac:dyDescent="0.15">
      <c r="A1063" s="175"/>
      <c r="B1063" s="176" t="s">
        <v>5721</v>
      </c>
      <c r="C1063" s="176" t="s">
        <v>6395</v>
      </c>
      <c r="D1063" s="175"/>
      <c r="E1063" s="175"/>
      <c r="F1063" s="175"/>
      <c r="G1063" s="175"/>
      <c r="H1063" s="175"/>
      <c r="I1063" s="175"/>
    </row>
    <row r="1064" spans="1:9" x14ac:dyDescent="0.15">
      <c r="A1064" s="175"/>
      <c r="B1064" s="176" t="s">
        <v>5722</v>
      </c>
      <c r="C1064" s="131">
        <v>5</v>
      </c>
      <c r="D1064" s="175"/>
      <c r="E1064" s="175"/>
      <c r="F1064" s="175"/>
      <c r="G1064" s="175"/>
      <c r="H1064" s="175"/>
      <c r="I1064" s="175"/>
    </row>
    <row r="1065" spans="1:9" x14ac:dyDescent="0.15">
      <c r="A1065" s="175"/>
      <c r="B1065" s="176" t="s">
        <v>5720</v>
      </c>
      <c r="C1065" s="110" t="s">
        <v>6399</v>
      </c>
      <c r="D1065" s="175"/>
      <c r="E1065" s="175"/>
      <c r="F1065" s="175"/>
      <c r="G1065" s="175"/>
      <c r="H1065" s="175"/>
      <c r="I1065" s="175"/>
    </row>
    <row r="1066" spans="1:9" x14ac:dyDescent="0.15">
      <c r="A1066" s="175"/>
      <c r="B1066" s="176"/>
      <c r="C1066" s="110"/>
      <c r="D1066" s="175"/>
      <c r="E1066" s="175"/>
      <c r="F1066" s="175"/>
      <c r="G1066" s="175"/>
      <c r="H1066" s="175"/>
      <c r="I1066" s="175"/>
    </row>
    <row r="1067" spans="1:9" x14ac:dyDescent="0.15">
      <c r="A1067" s="175"/>
      <c r="B1067" s="119" t="s">
        <v>6864</v>
      </c>
      <c r="C1067" s="110"/>
      <c r="D1067" s="175"/>
      <c r="E1067" s="175"/>
      <c r="F1067" s="175"/>
      <c r="G1067" s="175"/>
      <c r="H1067" s="175"/>
      <c r="I1067" s="175"/>
    </row>
    <row r="1068" spans="1:9" x14ac:dyDescent="0.15">
      <c r="A1068" s="175"/>
      <c r="B1068" s="210" t="s">
        <v>5721</v>
      </c>
      <c r="C1068" s="210" t="s">
        <v>6588</v>
      </c>
      <c r="D1068" s="175"/>
      <c r="E1068" s="175"/>
      <c r="F1068" s="175"/>
      <c r="G1068" s="175"/>
      <c r="H1068" s="175"/>
      <c r="I1068" s="175"/>
    </row>
    <row r="1069" spans="1:9" x14ac:dyDescent="0.15">
      <c r="A1069" s="175"/>
      <c r="B1069" s="210" t="s">
        <v>5722</v>
      </c>
      <c r="C1069" s="110"/>
      <c r="D1069" s="175"/>
      <c r="E1069" s="175"/>
      <c r="F1069" s="175"/>
      <c r="G1069" s="175"/>
      <c r="H1069" s="175"/>
      <c r="I1069" s="175"/>
    </row>
    <row r="1070" spans="1:9" ht="15" x14ac:dyDescent="0.2">
      <c r="A1070" s="175"/>
      <c r="B1070" s="210" t="s">
        <v>5720</v>
      </c>
      <c r="C1070" s="167" t="s">
        <v>6865</v>
      </c>
      <c r="D1070" s="175"/>
      <c r="E1070" s="175"/>
      <c r="F1070" s="175"/>
      <c r="G1070" s="175"/>
      <c r="H1070" s="175"/>
      <c r="I1070" s="175"/>
    </row>
    <row r="1071" spans="1:9" x14ac:dyDescent="0.15">
      <c r="A1071" s="175"/>
      <c r="B1071" s="176"/>
      <c r="C1071" s="176"/>
      <c r="D1071" s="175"/>
      <c r="E1071" s="175"/>
      <c r="F1071" s="175"/>
      <c r="G1071" s="175"/>
      <c r="H1071" s="175"/>
      <c r="I1071" s="175"/>
    </row>
    <row r="1072" spans="1:9" x14ac:dyDescent="0.15">
      <c r="A1072" s="175" t="s">
        <v>6400</v>
      </c>
      <c r="B1072" s="119" t="s">
        <v>6396</v>
      </c>
      <c r="C1072" s="176"/>
      <c r="D1072" s="175"/>
      <c r="E1072" s="175"/>
      <c r="F1072" s="175"/>
      <c r="G1072" s="175"/>
      <c r="H1072" s="175"/>
      <c r="I1072" s="175"/>
    </row>
    <row r="1073" spans="1:9" x14ac:dyDescent="0.15">
      <c r="A1073" s="175"/>
      <c r="B1073" s="176" t="s">
        <v>5721</v>
      </c>
      <c r="C1073" s="176" t="s">
        <v>6397</v>
      </c>
      <c r="D1073" s="175"/>
      <c r="E1073" s="175"/>
      <c r="F1073" s="175"/>
      <c r="G1073" s="175"/>
      <c r="H1073" s="175"/>
      <c r="I1073" s="175"/>
    </row>
    <row r="1074" spans="1:9" x14ac:dyDescent="0.15">
      <c r="A1074" s="175"/>
      <c r="B1074" s="176" t="s">
        <v>5722</v>
      </c>
      <c r="C1074" s="131">
        <v>84</v>
      </c>
      <c r="D1074" s="175"/>
      <c r="E1074" s="175"/>
      <c r="F1074" s="175"/>
      <c r="G1074" s="175"/>
      <c r="H1074" s="175"/>
      <c r="I1074" s="175"/>
    </row>
    <row r="1075" spans="1:9" x14ac:dyDescent="0.15">
      <c r="A1075" s="175"/>
      <c r="B1075" s="176" t="s">
        <v>5720</v>
      </c>
      <c r="C1075" s="110" t="s">
        <v>6398</v>
      </c>
      <c r="D1075" s="175"/>
      <c r="E1075" s="175"/>
      <c r="F1075" s="175"/>
      <c r="G1075" s="175"/>
      <c r="H1075" s="175"/>
      <c r="I1075" s="175"/>
    </row>
    <row r="1076" spans="1:9" x14ac:dyDescent="0.15">
      <c r="A1076" s="175"/>
      <c r="B1076" s="176"/>
      <c r="C1076" s="176"/>
      <c r="D1076" s="175"/>
      <c r="E1076" s="175"/>
      <c r="F1076" s="175"/>
      <c r="G1076" s="175"/>
      <c r="H1076" s="175"/>
      <c r="I1076" s="175"/>
    </row>
    <row r="1077" spans="1:9" x14ac:dyDescent="0.15">
      <c r="A1077" s="175"/>
      <c r="B1077" s="43" t="s">
        <v>6862</v>
      </c>
      <c r="C1077" s="176"/>
      <c r="D1077" s="175"/>
      <c r="E1077" s="175"/>
      <c r="F1077" s="175"/>
      <c r="G1077" s="175"/>
      <c r="H1077" s="175"/>
      <c r="I1077" s="175"/>
    </row>
    <row r="1078" spans="1:9" x14ac:dyDescent="0.15">
      <c r="A1078" s="175"/>
      <c r="B1078" s="175" t="s">
        <v>5721</v>
      </c>
      <c r="C1078" s="176" t="s">
        <v>6105</v>
      </c>
      <c r="D1078" s="175"/>
      <c r="E1078" s="175"/>
      <c r="F1078" s="175"/>
      <c r="G1078" s="175"/>
      <c r="H1078" s="175"/>
      <c r="I1078" s="175"/>
    </row>
    <row r="1079" spans="1:9" x14ac:dyDescent="0.15">
      <c r="A1079" s="175"/>
      <c r="B1079" s="175" t="s">
        <v>5722</v>
      </c>
      <c r="C1079" s="131">
        <v>53</v>
      </c>
      <c r="D1079" s="175"/>
      <c r="E1079" s="175"/>
      <c r="F1079" s="175"/>
      <c r="G1079" s="175"/>
      <c r="H1079" s="175"/>
      <c r="I1079" s="175"/>
    </row>
    <row r="1080" spans="1:9" x14ac:dyDescent="0.15">
      <c r="A1080" s="175"/>
      <c r="B1080" s="175" t="s">
        <v>5720</v>
      </c>
      <c r="C1080" s="110" t="s">
        <v>6486</v>
      </c>
      <c r="D1080" s="175"/>
      <c r="E1080" s="175"/>
      <c r="F1080" s="175"/>
      <c r="G1080" s="175"/>
      <c r="H1080" s="175"/>
      <c r="I1080" s="175"/>
    </row>
    <row r="1081" spans="1:9" x14ac:dyDescent="0.15">
      <c r="A1081" s="175"/>
      <c r="B1081" s="175"/>
      <c r="C1081" s="110"/>
      <c r="D1081" s="175"/>
      <c r="E1081" s="175"/>
      <c r="F1081" s="175"/>
      <c r="G1081" s="175"/>
      <c r="H1081" s="175"/>
      <c r="I1081" s="175"/>
    </row>
    <row r="1082" spans="1:9" ht="14" x14ac:dyDescent="0.2">
      <c r="A1082" s="175"/>
      <c r="B1082" s="43" t="s">
        <v>6599</v>
      </c>
      <c r="C1082" s="160"/>
      <c r="D1082" s="175"/>
      <c r="E1082" s="175"/>
      <c r="F1082" s="175"/>
      <c r="G1082" s="175"/>
      <c r="H1082" s="175"/>
      <c r="I1082" s="175"/>
    </row>
    <row r="1083" spans="1:9" x14ac:dyDescent="0.15">
      <c r="A1083" s="175"/>
      <c r="B1083" s="175" t="s">
        <v>5721</v>
      </c>
      <c r="C1083" s="175" t="s">
        <v>6623</v>
      </c>
      <c r="D1083" s="175"/>
      <c r="E1083" s="175"/>
      <c r="F1083" s="175"/>
      <c r="G1083" s="175"/>
      <c r="H1083" s="175"/>
      <c r="I1083" s="175"/>
    </row>
    <row r="1084" spans="1:9" x14ac:dyDescent="0.15">
      <c r="A1084" s="175"/>
      <c r="B1084" s="175" t="s">
        <v>5722</v>
      </c>
      <c r="C1084" s="180">
        <v>35</v>
      </c>
      <c r="D1084" s="175"/>
      <c r="E1084" s="175"/>
      <c r="F1084" s="175"/>
      <c r="G1084" s="175"/>
      <c r="H1084" s="175"/>
      <c r="I1084" s="175"/>
    </row>
    <row r="1085" spans="1:9" x14ac:dyDescent="0.15">
      <c r="A1085" s="175"/>
      <c r="B1085" s="175" t="s">
        <v>5720</v>
      </c>
      <c r="C1085" s="110" t="s">
        <v>6600</v>
      </c>
      <c r="D1085" s="175"/>
      <c r="E1085" s="175"/>
      <c r="F1085" s="175"/>
      <c r="G1085" s="175"/>
      <c r="H1085" s="175"/>
      <c r="I1085" s="175"/>
    </row>
    <row r="1086" spans="1:9" x14ac:dyDescent="0.15">
      <c r="A1086" s="175"/>
      <c r="B1086" s="175" t="s">
        <v>4233</v>
      </c>
      <c r="C1086" s="175" t="s">
        <v>6641</v>
      </c>
      <c r="D1086" s="175"/>
      <c r="E1086" s="175"/>
      <c r="F1086" s="175"/>
      <c r="G1086" s="175"/>
      <c r="H1086" s="175"/>
      <c r="I1086" s="175"/>
    </row>
    <row r="1087" spans="1:9" x14ac:dyDescent="0.15">
      <c r="C1087" s="176"/>
      <c r="D1087" s="175"/>
      <c r="E1087" s="175"/>
      <c r="F1087" s="175"/>
    </row>
    <row r="1088" spans="1:9" x14ac:dyDescent="0.15">
      <c r="B1088" s="43" t="s">
        <v>6516</v>
      </c>
      <c r="C1088" s="176"/>
      <c r="D1088" s="175"/>
      <c r="E1088" s="175"/>
      <c r="F1088" s="175"/>
    </row>
    <row r="1089" spans="2:6" x14ac:dyDescent="0.15">
      <c r="B1089" s="175" t="s">
        <v>5721</v>
      </c>
      <c r="C1089" s="176" t="s">
        <v>6517</v>
      </c>
      <c r="D1089" s="175"/>
      <c r="E1089" s="175"/>
      <c r="F1089" s="175"/>
    </row>
    <row r="1090" spans="2:6" x14ac:dyDescent="0.15">
      <c r="B1090" s="175" t="s">
        <v>5722</v>
      </c>
      <c r="C1090" s="180">
        <v>12</v>
      </c>
      <c r="D1090" s="175"/>
      <c r="E1090" s="175"/>
      <c r="F1090" s="175"/>
    </row>
    <row r="1091" spans="2:6" x14ac:dyDescent="0.15">
      <c r="B1091" s="175" t="s">
        <v>5720</v>
      </c>
      <c r="C1091" s="176" t="s">
        <v>6518</v>
      </c>
      <c r="D1091" s="175"/>
      <c r="E1091" s="175"/>
      <c r="F1091" s="175"/>
    </row>
    <row r="1092" spans="2:6" x14ac:dyDescent="0.15">
      <c r="C1092" s="176"/>
      <c r="D1092" s="175"/>
      <c r="E1092" s="175"/>
      <c r="F1092" s="175"/>
    </row>
    <row r="1093" spans="2:6" x14ac:dyDescent="0.15">
      <c r="B1093" s="43" t="s">
        <v>6511</v>
      </c>
      <c r="C1093" s="176"/>
      <c r="D1093" s="175"/>
      <c r="E1093" s="175"/>
      <c r="F1093" s="175"/>
    </row>
    <row r="1094" spans="2:6" x14ac:dyDescent="0.15">
      <c r="B1094" s="175" t="s">
        <v>5721</v>
      </c>
      <c r="C1094" s="176" t="s">
        <v>6512</v>
      </c>
      <c r="D1094" s="175"/>
      <c r="E1094" s="175"/>
      <c r="F1094" s="175"/>
    </row>
    <row r="1095" spans="2:6" x14ac:dyDescent="0.15">
      <c r="B1095" s="175" t="s">
        <v>5722</v>
      </c>
      <c r="C1095" s="180">
        <v>6</v>
      </c>
      <c r="D1095" s="175"/>
      <c r="E1095" s="175"/>
      <c r="F1095" s="175"/>
    </row>
    <row r="1096" spans="2:6" x14ac:dyDescent="0.15">
      <c r="B1096" s="175" t="s">
        <v>5720</v>
      </c>
      <c r="C1096" s="118" t="s">
        <v>6513</v>
      </c>
    </row>
    <row r="1098" spans="2:6" x14ac:dyDescent="0.15">
      <c r="B1098" s="119" t="s">
        <v>6562</v>
      </c>
      <c r="C1098" s="176"/>
      <c r="D1098" s="175"/>
      <c r="E1098" s="175"/>
      <c r="F1098" s="175"/>
    </row>
    <row r="1099" spans="2:6" x14ac:dyDescent="0.15">
      <c r="B1099" s="176" t="s">
        <v>5721</v>
      </c>
      <c r="C1099" s="176" t="s">
        <v>6561</v>
      </c>
      <c r="D1099" s="175"/>
      <c r="E1099" s="175"/>
      <c r="F1099" s="175"/>
    </row>
    <row r="1100" spans="2:6" x14ac:dyDescent="0.15">
      <c r="B1100" s="175" t="s">
        <v>5722</v>
      </c>
      <c r="C1100" s="214" t="s">
        <v>1</v>
      </c>
      <c r="D1100" s="175"/>
      <c r="E1100" s="175"/>
      <c r="F1100" s="175"/>
    </row>
    <row r="1101" spans="2:6" ht="14" x14ac:dyDescent="0.2">
      <c r="B1101" s="175" t="s">
        <v>5720</v>
      </c>
      <c r="C1101" s="160" t="s">
        <v>6402</v>
      </c>
      <c r="D1101" s="175"/>
      <c r="E1101" s="175"/>
      <c r="F1101" s="175"/>
    </row>
    <row r="1102" spans="2:6" x14ac:dyDescent="0.15">
      <c r="B1102" s="175"/>
      <c r="C1102" s="176"/>
      <c r="D1102" s="175"/>
      <c r="E1102" s="175"/>
      <c r="F1102" s="175"/>
    </row>
    <row r="1103" spans="2:6" x14ac:dyDescent="0.15">
      <c r="B1103" s="43" t="s">
        <v>6584</v>
      </c>
    </row>
    <row r="1104" spans="2:6" x14ac:dyDescent="0.15">
      <c r="B1104" s="175" t="s">
        <v>5721</v>
      </c>
      <c r="C1104" s="176" t="s">
        <v>6585</v>
      </c>
    </row>
    <row r="1105" spans="2:3" x14ac:dyDescent="0.15">
      <c r="B1105" s="175" t="s">
        <v>5722</v>
      </c>
      <c r="C1105" s="131">
        <v>17</v>
      </c>
    </row>
    <row r="1106" spans="2:3" ht="15" x14ac:dyDescent="0.2">
      <c r="B1106" s="175" t="s">
        <v>5720</v>
      </c>
      <c r="C1106" s="167" t="s">
        <v>6586</v>
      </c>
    </row>
    <row r="1108" spans="2:3" x14ac:dyDescent="0.15">
      <c r="B1108" s="43" t="s">
        <v>6485</v>
      </c>
    </row>
    <row r="1109" spans="2:3" x14ac:dyDescent="0.15">
      <c r="B1109" s="175" t="s">
        <v>5721</v>
      </c>
      <c r="C1109" s="176" t="s">
        <v>6483</v>
      </c>
    </row>
    <row r="1110" spans="2:3" x14ac:dyDescent="0.15">
      <c r="B1110" s="175" t="s">
        <v>5722</v>
      </c>
      <c r="C1110" s="131">
        <v>0</v>
      </c>
    </row>
    <row r="1111" spans="2:3" ht="15" x14ac:dyDescent="0.2">
      <c r="B1111" s="175" t="s">
        <v>5720</v>
      </c>
      <c r="C1111" s="45" t="s">
        <v>6484</v>
      </c>
    </row>
    <row r="1113" spans="2:3" x14ac:dyDescent="0.15">
      <c r="B1113" s="43" t="s">
        <v>7639</v>
      </c>
    </row>
    <row r="1114" spans="2:3" x14ac:dyDescent="0.15">
      <c r="B1114" s="265" t="s">
        <v>5721</v>
      </c>
      <c r="C1114" s="266" t="s">
        <v>7640</v>
      </c>
    </row>
    <row r="1115" spans="2:3" x14ac:dyDescent="0.15">
      <c r="B1115" s="265" t="s">
        <v>5722</v>
      </c>
    </row>
    <row r="1116" spans="2:3" x14ac:dyDescent="0.15">
      <c r="B1116" s="265" t="s">
        <v>5720</v>
      </c>
      <c r="C1116" s="110" t="s">
        <v>7641</v>
      </c>
    </row>
    <row r="1118" spans="2:3" x14ac:dyDescent="0.15">
      <c r="B1118" s="43" t="s">
        <v>6859</v>
      </c>
    </row>
    <row r="1119" spans="2:3" x14ac:dyDescent="0.15">
      <c r="B1119" s="117" t="s">
        <v>5721</v>
      </c>
      <c r="C1119" s="118" t="s">
        <v>6103</v>
      </c>
    </row>
    <row r="1120" spans="2:3" x14ac:dyDescent="0.15">
      <c r="B1120" s="117" t="s">
        <v>5722</v>
      </c>
      <c r="C1120" s="131">
        <v>1</v>
      </c>
    </row>
    <row r="1121" spans="2:4" ht="15" x14ac:dyDescent="0.2">
      <c r="B1121" s="117" t="s">
        <v>5720</v>
      </c>
      <c r="C1121" s="167" t="s">
        <v>6489</v>
      </c>
    </row>
    <row r="1123" spans="2:4" x14ac:dyDescent="0.15">
      <c r="B1123" s="43" t="s">
        <v>6494</v>
      </c>
      <c r="C1123" s="176"/>
      <c r="D1123" s="175"/>
    </row>
    <row r="1124" spans="2:4" x14ac:dyDescent="0.15">
      <c r="B1124" s="175" t="s">
        <v>5721</v>
      </c>
      <c r="C1124" s="176" t="s">
        <v>6482</v>
      </c>
      <c r="D1124" s="175"/>
    </row>
    <row r="1125" spans="2:4" x14ac:dyDescent="0.15">
      <c r="B1125" s="175" t="s">
        <v>5722</v>
      </c>
      <c r="C1125" s="131">
        <v>0</v>
      </c>
      <c r="D1125" s="175"/>
    </row>
    <row r="1126" spans="2:4" ht="14" x14ac:dyDescent="0.2">
      <c r="B1126" s="175" t="s">
        <v>5720</v>
      </c>
      <c r="C1126" s="160" t="s">
        <v>6481</v>
      </c>
      <c r="D1126" s="175"/>
    </row>
    <row r="1128" spans="2:4" x14ac:dyDescent="0.15">
      <c r="B1128" s="43" t="s">
        <v>6493</v>
      </c>
    </row>
    <row r="1129" spans="2:4" x14ac:dyDescent="0.15">
      <c r="B1129" s="175" t="s">
        <v>5721</v>
      </c>
      <c r="C1129" s="176" t="s">
        <v>6495</v>
      </c>
    </row>
    <row r="1130" spans="2:4" x14ac:dyDescent="0.15">
      <c r="B1130" s="175" t="s">
        <v>5722</v>
      </c>
      <c r="C1130" s="214" t="s">
        <v>1</v>
      </c>
    </row>
    <row r="1131" spans="2:4" ht="15" x14ac:dyDescent="0.2">
      <c r="B1131" s="175" t="s">
        <v>5720</v>
      </c>
      <c r="C1131" s="167" t="s">
        <v>6496</v>
      </c>
    </row>
    <row r="1133" spans="2:4" x14ac:dyDescent="0.15">
      <c r="B1133" s="43" t="s">
        <v>6596</v>
      </c>
    </row>
    <row r="1134" spans="2:4" x14ac:dyDescent="0.15">
      <c r="B1134" s="175" t="s">
        <v>5721</v>
      </c>
      <c r="C1134" s="176" t="s">
        <v>6597</v>
      </c>
    </row>
    <row r="1135" spans="2:4" x14ac:dyDescent="0.15">
      <c r="B1135" s="175" t="s">
        <v>5722</v>
      </c>
      <c r="C1135" s="131">
        <v>30</v>
      </c>
    </row>
    <row r="1136" spans="2:4" ht="15" x14ac:dyDescent="0.2">
      <c r="B1136" s="175" t="s">
        <v>5720</v>
      </c>
      <c r="C1136" s="167" t="s">
        <v>6598</v>
      </c>
    </row>
    <row r="1138" spans="1:6" x14ac:dyDescent="0.15">
      <c r="B1138" s="43" t="s">
        <v>7712</v>
      </c>
    </row>
    <row r="1139" spans="1:6" x14ac:dyDescent="0.15">
      <c r="B1139" s="265" t="s">
        <v>5721</v>
      </c>
      <c r="C1139" s="266" t="s">
        <v>7713</v>
      </c>
    </row>
    <row r="1140" spans="1:6" x14ac:dyDescent="0.15">
      <c r="B1140" s="265" t="s">
        <v>5722</v>
      </c>
      <c r="C1140" s="131">
        <v>2</v>
      </c>
    </row>
    <row r="1141" spans="1:6" x14ac:dyDescent="0.15">
      <c r="B1141" s="265" t="s">
        <v>5720</v>
      </c>
      <c r="C1141" s="110" t="s">
        <v>7714</v>
      </c>
    </row>
    <row r="1143" spans="1:6" x14ac:dyDescent="0.15">
      <c r="B1143" s="43" t="s">
        <v>6557</v>
      </c>
      <c r="C1143" s="176"/>
      <c r="D1143" s="175"/>
      <c r="E1143" s="175"/>
      <c r="F1143" s="175"/>
    </row>
    <row r="1144" spans="1:6" x14ac:dyDescent="0.15">
      <c r="B1144" s="175" t="s">
        <v>5721</v>
      </c>
      <c r="C1144" s="176" t="s">
        <v>6559</v>
      </c>
      <c r="D1144" s="175"/>
      <c r="E1144" s="175"/>
      <c r="F1144" s="175"/>
    </row>
    <row r="1145" spans="1:6" x14ac:dyDescent="0.15">
      <c r="B1145" s="175" t="s">
        <v>5722</v>
      </c>
      <c r="C1145" s="131">
        <v>11</v>
      </c>
      <c r="D1145" s="175"/>
      <c r="E1145" s="175"/>
      <c r="F1145" s="175"/>
    </row>
    <row r="1146" spans="1:6" ht="14" x14ac:dyDescent="0.2">
      <c r="B1146" s="175" t="s">
        <v>5720</v>
      </c>
      <c r="C1146" s="160" t="s">
        <v>6560</v>
      </c>
      <c r="D1146" s="175"/>
      <c r="E1146" s="175"/>
      <c r="F1146" s="175"/>
    </row>
    <row r="1147" spans="1:6" x14ac:dyDescent="0.15">
      <c r="B1147" s="175"/>
      <c r="C1147" s="176"/>
      <c r="D1147" s="175"/>
      <c r="E1147" s="175"/>
      <c r="F1147" s="175"/>
    </row>
    <row r="1148" spans="1:6" x14ac:dyDescent="0.15">
      <c r="A1148" s="117" t="s">
        <v>6401</v>
      </c>
      <c r="B1148" s="43" t="s">
        <v>6558</v>
      </c>
      <c r="C1148" s="176"/>
      <c r="D1148" s="175"/>
      <c r="E1148" s="175"/>
      <c r="F1148" s="175"/>
    </row>
    <row r="1149" spans="1:6" x14ac:dyDescent="0.15">
      <c r="B1149" s="175" t="s">
        <v>5721</v>
      </c>
      <c r="C1149" s="176" t="s">
        <v>6393</v>
      </c>
      <c r="D1149" s="175"/>
      <c r="E1149" s="175"/>
      <c r="F1149" s="175"/>
    </row>
    <row r="1150" spans="1:6" x14ac:dyDescent="0.15">
      <c r="B1150" s="175" t="s">
        <v>5722</v>
      </c>
      <c r="C1150" s="131">
        <v>3</v>
      </c>
      <c r="D1150" s="175"/>
      <c r="E1150" s="175"/>
      <c r="F1150" s="175"/>
    </row>
    <row r="1151" spans="1:6" x14ac:dyDescent="0.15">
      <c r="B1151" s="175" t="s">
        <v>5720</v>
      </c>
      <c r="C1151" s="110" t="s">
        <v>6394</v>
      </c>
      <c r="D1151" s="175"/>
      <c r="E1151" s="175"/>
      <c r="F1151" s="175"/>
    </row>
    <row r="1152" spans="1:6" x14ac:dyDescent="0.15">
      <c r="B1152" s="175" t="s">
        <v>4233</v>
      </c>
      <c r="C1152" s="176" t="s">
        <v>6409</v>
      </c>
      <c r="D1152" s="175"/>
      <c r="E1152" s="175"/>
      <c r="F1152" s="175"/>
    </row>
    <row r="1153" spans="2:8" x14ac:dyDescent="0.15">
      <c r="B1153" s="175" t="s">
        <v>6219</v>
      </c>
      <c r="C1153" s="179">
        <v>45149</v>
      </c>
      <c r="D1153" s="175"/>
      <c r="E1153" s="175"/>
      <c r="F1153" s="175"/>
    </row>
    <row r="1154" spans="2:8" x14ac:dyDescent="0.15">
      <c r="B1154" s="175"/>
      <c r="C1154" s="176"/>
      <c r="D1154" s="175"/>
      <c r="E1154" s="175"/>
      <c r="F1154" s="175"/>
    </row>
    <row r="1155" spans="2:8" x14ac:dyDescent="0.15">
      <c r="B1155" s="43" t="s">
        <v>6563</v>
      </c>
      <c r="C1155" s="176"/>
      <c r="D1155" s="175"/>
      <c r="E1155" s="175"/>
      <c r="F1155" s="175"/>
    </row>
    <row r="1156" spans="2:8" x14ac:dyDescent="0.15">
      <c r="B1156" s="175" t="s">
        <v>5721</v>
      </c>
      <c r="C1156" s="176" t="s">
        <v>6565</v>
      </c>
      <c r="D1156" s="175"/>
      <c r="E1156" s="175"/>
      <c r="F1156" s="175"/>
    </row>
    <row r="1157" spans="2:8" x14ac:dyDescent="0.15">
      <c r="B1157" s="175" t="s">
        <v>5722</v>
      </c>
      <c r="C1157" s="131">
        <v>0</v>
      </c>
      <c r="D1157" s="175"/>
      <c r="E1157" s="175"/>
      <c r="F1157" s="175"/>
    </row>
    <row r="1158" spans="2:8" ht="14" x14ac:dyDescent="0.2">
      <c r="B1158" s="175" t="s">
        <v>5720</v>
      </c>
      <c r="C1158" s="160" t="s">
        <v>6564</v>
      </c>
      <c r="D1158" s="175"/>
      <c r="E1158" s="175"/>
      <c r="F1158" s="175"/>
    </row>
    <row r="1159" spans="2:8" x14ac:dyDescent="0.15">
      <c r="B1159" s="175"/>
      <c r="C1159" s="176"/>
      <c r="D1159" s="175"/>
      <c r="E1159" s="175"/>
      <c r="F1159" s="175"/>
    </row>
    <row r="1161" spans="2:8" x14ac:dyDescent="0.15">
      <c r="B1161" s="144" t="s">
        <v>4246</v>
      </c>
      <c r="H1161" s="144" t="s">
        <v>5518</v>
      </c>
    </row>
    <row r="1162" spans="2:8" x14ac:dyDescent="0.15">
      <c r="B1162" s="117" t="s">
        <v>4245</v>
      </c>
      <c r="H1162" s="222" t="s">
        <v>7290</v>
      </c>
    </row>
    <row r="1163" spans="2:8" x14ac:dyDescent="0.15">
      <c r="B1163" s="117" t="s">
        <v>5433</v>
      </c>
      <c r="H1163" s="229" t="s">
        <v>7297</v>
      </c>
    </row>
    <row r="1164" spans="2:8" x14ac:dyDescent="0.15">
      <c r="B1164" s="222" t="s">
        <v>7291</v>
      </c>
      <c r="H1164" s="229" t="s">
        <v>7296</v>
      </c>
    </row>
    <row r="1165" spans="2:8" x14ac:dyDescent="0.15">
      <c r="B1165" s="117" t="s">
        <v>4244</v>
      </c>
      <c r="H1165" s="191" t="s">
        <v>7002</v>
      </c>
    </row>
    <row r="1166" spans="2:8" x14ac:dyDescent="0.15">
      <c r="B1166" s="222" t="s">
        <v>7293</v>
      </c>
      <c r="H1166" s="222" t="s">
        <v>7289</v>
      </c>
    </row>
    <row r="1167" spans="2:8" x14ac:dyDescent="0.15">
      <c r="B1167" s="117" t="s">
        <v>5431</v>
      </c>
      <c r="H1167" s="191" t="s">
        <v>6901</v>
      </c>
    </row>
    <row r="1168" spans="2:8" x14ac:dyDescent="0.15">
      <c r="B1168" s="222" t="s">
        <v>7292</v>
      </c>
      <c r="H1168" s="191" t="s">
        <v>6884</v>
      </c>
    </row>
    <row r="1169" spans="2:8" x14ac:dyDescent="0.15">
      <c r="B1169" s="117" t="s">
        <v>4243</v>
      </c>
      <c r="H1169" s="117" t="s">
        <v>6088</v>
      </c>
    </row>
    <row r="1170" spans="2:8" x14ac:dyDescent="0.15">
      <c r="B1170" s="117" t="s">
        <v>4242</v>
      </c>
      <c r="H1170" s="191" t="s">
        <v>6993</v>
      </c>
    </row>
    <row r="1171" spans="2:8" x14ac:dyDescent="0.15">
      <c r="B1171" s="229" t="s">
        <v>7295</v>
      </c>
      <c r="H1171" s="222" t="s">
        <v>7288</v>
      </c>
    </row>
    <row r="1172" spans="2:8" x14ac:dyDescent="0.15">
      <c r="B1172" s="117" t="s">
        <v>4241</v>
      </c>
      <c r="H1172" s="191" t="s">
        <v>6942</v>
      </c>
    </row>
    <row r="1173" spans="2:8" x14ac:dyDescent="0.15">
      <c r="B1173" s="117" t="s">
        <v>4240</v>
      </c>
      <c r="H1173" s="117" t="s">
        <v>6087</v>
      </c>
    </row>
    <row r="1174" spans="2:8" x14ac:dyDescent="0.15">
      <c r="B1174" s="117" t="s">
        <v>5519</v>
      </c>
      <c r="H1174" s="229" t="s">
        <v>7294</v>
      </c>
    </row>
    <row r="1175" spans="2:8" x14ac:dyDescent="0.15">
      <c r="B1175" s="117" t="s">
        <v>4239</v>
      </c>
    </row>
    <row r="1176" spans="2:8" x14ac:dyDescent="0.15">
      <c r="B1176" s="117" t="s">
        <v>4238</v>
      </c>
    </row>
    <row r="1177" spans="2:8" x14ac:dyDescent="0.15">
      <c r="B1177" s="117" t="s">
        <v>4237</v>
      </c>
    </row>
    <row r="1178" spans="2:8" x14ac:dyDescent="0.15">
      <c r="B1178" s="117" t="s">
        <v>4236</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95"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51" r:id="rId91" xr:uid="{FD3A88B9-DCDA-DE46-823F-1C8C4FA63047}"/>
    <hyperlink ref="C1075" r:id="rId92" xr:uid="{6B8CE6ED-0CF5-274B-9202-E5DE0FDDF19F}"/>
    <hyperlink ref="C1065" r:id="rId93" xr:uid="{D4229FD7-D012-F445-BEAE-0E9830BBAE3C}"/>
    <hyperlink ref="C1101" r:id="rId94" xr:uid="{848943F4-B5B0-254B-8526-9B8024478CD4}"/>
    <hyperlink ref="C950" r:id="rId95" xr:uid="{8364F52D-63E0-5D4D-AC64-F23BDC88A271}"/>
    <hyperlink ref="C985" r:id="rId96" xr:uid="{F4579EE8-FBB1-994E-9CE0-694DA8BA1467}"/>
    <hyperlink ref="C898" r:id="rId97" xr:uid="{A8315BA0-DA63-0447-A866-D629B6FF396D}"/>
    <hyperlink ref="C1025"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26" r:id="rId99" xr:uid="{459C5803-8A3E-0248-9040-073A526ADCB5}"/>
    <hyperlink ref="C1111" r:id="rId100" xr:uid="{6DBE0C48-C83E-3247-A142-2AD22FC2B571}"/>
    <hyperlink ref="C1080" r:id="rId101" xr:uid="{6346ED4F-C020-8F4F-9240-42870E4CC312}"/>
    <hyperlink ref="C1015" r:id="rId102" xr:uid="{B8CBDEC6-78EF-CC40-A230-504D56DF37EF}"/>
    <hyperlink ref="C1121" r:id="rId103" xr:uid="{D44B7B09-1E9E-F943-A454-FB76278C19A1}"/>
    <hyperlink ref="C1055" r:id="rId104" xr:uid="{3437F2CA-3229-3A41-A172-155769FA8B9B}"/>
    <hyperlink ref="C1060" r:id="rId105" xr:uid="{A07B1319-1110-104C-B6AC-BEB3D9CFB59B}"/>
    <hyperlink ref="C1131" r:id="rId106" xr:uid="{FBE0AFCB-98D4-F244-BF2A-52D26821FDA2}"/>
    <hyperlink ref="C670" r:id="rId107" xr:uid="{C1AB0838-840B-EB49-897B-672317863763}"/>
    <hyperlink ref="C970" r:id="rId108" xr:uid="{5AC661D7-40AC-CD4A-B2CA-66D593B08369}"/>
    <hyperlink ref="C1005" r:id="rId109" xr:uid="{0F31D9BA-EBE8-764B-89B2-D7795DBE12B5}"/>
    <hyperlink ref="C929" r:id="rId110" xr:uid="{A28D4F07-2086-8740-9EA9-F36012461027}"/>
    <hyperlink ref="C1000" r:id="rId111" xr:uid="{1BB8A6E5-880E-FC40-82F9-96418351263C}"/>
    <hyperlink ref="C955" r:id="rId112" xr:uid="{4710B20A-B72D-014B-9C36-A29AAB374F99}"/>
    <hyperlink ref="C919" r:id="rId113" xr:uid="{398C5A1B-5016-F841-96C3-A007F235A204}"/>
    <hyperlink ref="C924" r:id="rId114" xr:uid="{D5EA6BA0-00E2-CA46-84B0-1BA2676A5577}"/>
    <hyperlink ref="C909" r:id="rId115" xr:uid="{24B38ADB-2F1D-6041-8EFD-171C81721B89}"/>
    <hyperlink ref="C878" r:id="rId116" xr:uid="{C48F5C24-6186-4B44-87F5-44704A9A47F8}"/>
    <hyperlink ref="C863" r:id="rId117" xr:uid="{ED91056C-FC46-8F4D-A37F-F4D146E21FB6}"/>
    <hyperlink ref="C914" r:id="rId118" xr:uid="{E45377B3-F7CC-954F-ABBA-56BA64B5F00A}"/>
    <hyperlink ref="C1045" r:id="rId119" xr:uid="{4D488C27-ABC3-5C43-98D9-F258CEE285DD}"/>
    <hyperlink ref="C980" r:id="rId120" xr:uid="{B49ECAEC-1371-4C44-842A-883BA8FD979B}"/>
    <hyperlink ref="C868" r:id="rId121" xr:uid="{B70D436A-91F9-7F4C-9FB5-97B56F762046}"/>
    <hyperlink ref="C1020" r:id="rId122" xr:uid="{3EA52B20-EB32-1F44-85BF-7ACA5503940A}"/>
    <hyperlink ref="C1146" r:id="rId123" xr:uid="{2BC94F57-CB8B-394C-81A2-FD1F5C5BB1ED}"/>
    <hyperlink ref="C1158" r:id="rId124" xr:uid="{94BD3665-0A67-9E47-9AB0-0105F746D88B}"/>
    <hyperlink ref="C945" r:id="rId125" xr:uid="{687CDDCB-B9C2-244D-9919-61B2AF29A13C}"/>
    <hyperlink ref="C1030" r:id="rId126" xr:uid="{30B2DE27-E41B-C940-AE01-A926134BB4EE}"/>
    <hyperlink ref="C960" r:id="rId127" xr:uid="{1CA3892F-EF26-8740-B4B4-62E365669BBE}"/>
    <hyperlink ref="C1040" r:id="rId128" xr:uid="{C117FE5E-2A01-2444-8D1F-35D90924DE9E}"/>
    <hyperlink ref="C1010" r:id="rId129" xr:uid="{F77B7F2B-2C51-944C-813A-B2DA6A20792E}"/>
    <hyperlink ref="C1106" r:id="rId130" xr:uid="{11C1F7AD-4FDB-744A-ABA8-B018C8906111}"/>
    <hyperlink ref="C848" r:id="rId131" xr:uid="{B15520CA-4185-CB4C-89B8-4D949917A183}"/>
    <hyperlink ref="C975" r:id="rId132" xr:uid="{EA406DEA-E0ED-074A-91CB-C1203C307DFA}"/>
    <hyperlink ref="C1050" r:id="rId133" xr:uid="{E3A88A94-4F47-7E4E-ADA4-27E6BD39FD0A}"/>
    <hyperlink ref="C1035" r:id="rId134" xr:uid="{B3D732C6-5B85-9A41-9F8B-B7AAF3FDD9C6}"/>
    <hyperlink ref="C1136" r:id="rId135" xr:uid="{78DE8049-9434-2F4D-97B4-16015EC9530F}"/>
    <hyperlink ref="C1085"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90"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65" r:id="rId147" xr:uid="{58D2BF0D-7D35-0347-BA2F-F21DD26EF245}"/>
    <hyperlink ref="C1070"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16" r:id="rId192" xr:uid="{37A8F447-6BC7-1945-BA30-5FD11C3EF162}"/>
    <hyperlink ref="C1141" r:id="rId193" xr:uid="{91FCD7EE-B584-2445-8438-4B264AF527FF}"/>
    <hyperlink ref="C934" r:id="rId194" xr:uid="{E7E029FA-E246-DC45-9423-FE9C219B9FF6}"/>
    <hyperlink ref="C903" r:id="rId195" xr:uid="{94C5AB1E-C5BD-8E4B-8051-235C18C32950}"/>
    <hyperlink ref="C940" r:id="rId196" xr:uid="{A8419877-C611-8D4A-BBAC-0DCB61AD2E04}"/>
    <hyperlink ref="C761" r:id="rId197" xr:uid="{2895A439-8BD3-6941-BFBF-4E4D73315913}"/>
    <hyperlink ref="C808" r:id="rId198" xr:uid="{12424E96-7C3A-1F45-90F4-6972A8D53CC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1167</v>
      </c>
    </row>
    <row r="2" spans="1:6" x14ac:dyDescent="0.15">
      <c r="B2" s="264" t="s">
        <v>5722</v>
      </c>
      <c r="C2" s="263" t="s">
        <v>1158</v>
      </c>
      <c r="D2" s="256" t="s">
        <v>5721</v>
      </c>
      <c r="E2" s="256" t="s">
        <v>6624</v>
      </c>
      <c r="F2" s="256" t="s">
        <v>7440</v>
      </c>
    </row>
    <row r="3" spans="1:6" x14ac:dyDescent="0.15">
      <c r="B3" s="264">
        <v>80021</v>
      </c>
      <c r="C3" s="263">
        <v>1992</v>
      </c>
      <c r="D3" s="256" t="s">
        <v>5786</v>
      </c>
      <c r="E3" s="265" t="s">
        <v>7446</v>
      </c>
      <c r="F3" s="256" t="s">
        <v>7445</v>
      </c>
    </row>
    <row r="4" spans="1:6" x14ac:dyDescent="0.15">
      <c r="B4" s="264">
        <v>34391</v>
      </c>
      <c r="C4" s="263">
        <v>1986</v>
      </c>
      <c r="D4" s="256" t="s">
        <v>7444</v>
      </c>
      <c r="E4" s="256" t="s">
        <v>7443</v>
      </c>
      <c r="F4" s="256" t="s">
        <v>5519</v>
      </c>
    </row>
    <row r="5" spans="1:6" x14ac:dyDescent="0.15">
      <c r="B5" s="264">
        <v>21162</v>
      </c>
      <c r="C5" s="263">
        <v>1950</v>
      </c>
      <c r="D5" s="256" t="s">
        <v>4129</v>
      </c>
      <c r="E5" s="265" t="s">
        <v>7442</v>
      </c>
      <c r="F5" s="256" t="s">
        <v>7441</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59"/>
  <sheetViews>
    <sheetView tabSelected="1" topLeftCell="A9" zoomScale="130" zoomScaleNormal="130" workbookViewId="0">
      <selection activeCell="B30" sqref="B30:L32"/>
    </sheetView>
  </sheetViews>
  <sheetFormatPr baseColWidth="10" defaultColWidth="10.83203125" defaultRowHeight="13" x14ac:dyDescent="0.15"/>
  <cols>
    <col min="1" max="1" width="4.83203125" style="116" bestFit="1" customWidth="1"/>
    <col min="2" max="2" width="12.5" style="116" customWidth="1"/>
    <col min="3" max="10" width="10.83203125" style="116"/>
    <col min="11" max="11" width="6.1640625" style="116" customWidth="1"/>
    <col min="12" max="12" width="9.1640625" style="116" customWidth="1"/>
    <col min="13" max="16384" width="10.83203125" style="116"/>
  </cols>
  <sheetData>
    <row r="1" spans="1:12" x14ac:dyDescent="0.15">
      <c r="A1" s="25" t="s">
        <v>1167</v>
      </c>
    </row>
    <row r="2" spans="1:12" x14ac:dyDescent="0.15">
      <c r="A2" s="25"/>
      <c r="B2" s="151" t="s">
        <v>4005</v>
      </c>
      <c r="C2" s="151" t="s">
        <v>6276</v>
      </c>
      <c r="D2" s="151" t="s">
        <v>1152</v>
      </c>
      <c r="E2" s="151" t="s">
        <v>5720</v>
      </c>
      <c r="F2" s="256"/>
      <c r="G2" s="256"/>
      <c r="H2" s="256"/>
    </row>
    <row r="3" spans="1:12" ht="14" x14ac:dyDescent="0.2">
      <c r="B3" s="256" t="s">
        <v>6206</v>
      </c>
      <c r="C3" s="28" t="s">
        <v>6272</v>
      </c>
      <c r="D3" s="256" t="s">
        <v>7822</v>
      </c>
      <c r="E3" s="256"/>
      <c r="F3" s="256"/>
      <c r="G3" s="256"/>
      <c r="H3" s="256"/>
    </row>
    <row r="4" spans="1:12" ht="14" x14ac:dyDescent="0.2">
      <c r="B4" s="256" t="s">
        <v>6207</v>
      </c>
      <c r="C4" s="25" t="s">
        <v>6208</v>
      </c>
      <c r="D4" s="28" t="s">
        <v>6209</v>
      </c>
      <c r="E4" s="256"/>
      <c r="F4" s="256"/>
      <c r="G4" s="256"/>
      <c r="H4" s="256"/>
    </row>
    <row r="5" spans="1:12" ht="14" x14ac:dyDescent="0.2">
      <c r="B5" s="256" t="s">
        <v>5308</v>
      </c>
      <c r="C5" s="28" t="s">
        <v>6278</v>
      </c>
      <c r="D5" s="256"/>
      <c r="E5" s="256"/>
      <c r="F5" s="256"/>
      <c r="G5" s="256"/>
      <c r="H5" s="256"/>
    </row>
    <row r="6" spans="1:12" ht="14" x14ac:dyDescent="0.2">
      <c r="B6" s="256" t="s">
        <v>6286</v>
      </c>
      <c r="C6" s="28" t="s">
        <v>6287</v>
      </c>
      <c r="D6" s="256"/>
      <c r="E6" s="256"/>
      <c r="F6" s="256"/>
      <c r="G6" s="256"/>
      <c r="H6" s="256"/>
    </row>
    <row r="7" spans="1:12" ht="14" x14ac:dyDescent="0.2">
      <c r="B7" s="256" t="s">
        <v>6210</v>
      </c>
      <c r="C7" s="28" t="s">
        <v>6062</v>
      </c>
      <c r="D7" s="256" t="s">
        <v>6285</v>
      </c>
      <c r="E7" s="28" t="s">
        <v>6065</v>
      </c>
      <c r="F7" s="256"/>
      <c r="G7" s="256"/>
      <c r="H7" s="256"/>
    </row>
    <row r="8" spans="1:12" ht="14" x14ac:dyDescent="0.2">
      <c r="B8" s="256" t="s">
        <v>6273</v>
      </c>
      <c r="C8" s="28" t="s">
        <v>6274</v>
      </c>
      <c r="D8" s="256" t="s">
        <v>6275</v>
      </c>
      <c r="E8" s="256"/>
      <c r="F8" s="256"/>
      <c r="G8" s="256"/>
      <c r="H8" s="256"/>
    </row>
    <row r="9" spans="1:12" ht="14" x14ac:dyDescent="0.2">
      <c r="B9" s="256" t="s">
        <v>6279</v>
      </c>
      <c r="C9" s="28" t="s">
        <v>6280</v>
      </c>
      <c r="D9" s="256"/>
      <c r="E9" s="256"/>
      <c r="F9" s="256"/>
      <c r="G9" s="256"/>
      <c r="H9" s="256"/>
    </row>
    <row r="10" spans="1:12" ht="14" x14ac:dyDescent="0.2">
      <c r="B10" s="256" t="s">
        <v>6281</v>
      </c>
      <c r="C10" s="28" t="s">
        <v>6282</v>
      </c>
      <c r="D10" s="256"/>
      <c r="E10" s="256"/>
      <c r="F10" s="256"/>
      <c r="G10" s="256"/>
      <c r="H10" s="256"/>
    </row>
    <row r="11" spans="1:12" ht="14" x14ac:dyDescent="0.2">
      <c r="B11" s="256" t="s">
        <v>6283</v>
      </c>
      <c r="C11" s="28" t="s">
        <v>6284</v>
      </c>
      <c r="D11" s="256"/>
      <c r="E11" s="256"/>
      <c r="F11" s="256"/>
      <c r="G11" s="256"/>
      <c r="H11" s="256"/>
    </row>
    <row r="12" spans="1:12" ht="14" x14ac:dyDescent="0.2">
      <c r="B12" s="256" t="s">
        <v>5244</v>
      </c>
      <c r="C12" s="28"/>
      <c r="D12" s="256" t="s">
        <v>7630</v>
      </c>
      <c r="E12" s="28" t="s">
        <v>7613</v>
      </c>
      <c r="F12" s="256"/>
      <c r="G12" s="256"/>
      <c r="H12" s="256"/>
    </row>
    <row r="13" spans="1:12" ht="15" x14ac:dyDescent="0.2">
      <c r="B13" s="256" t="s">
        <v>7821</v>
      </c>
      <c r="C13" s="28"/>
      <c r="D13" s="256"/>
      <c r="E13" s="45" t="s">
        <v>7823</v>
      </c>
      <c r="F13" s="256"/>
      <c r="G13" s="256"/>
      <c r="H13" s="256"/>
    </row>
    <row r="14" spans="1:12" ht="14" x14ac:dyDescent="0.2">
      <c r="B14" s="256" t="s">
        <v>7824</v>
      </c>
      <c r="C14" s="28"/>
      <c r="D14" s="256"/>
      <c r="E14" s="25"/>
      <c r="F14" s="256"/>
      <c r="G14" s="256"/>
      <c r="H14" s="256"/>
      <c r="I14" s="256"/>
      <c r="J14" s="256"/>
      <c r="K14" s="256"/>
    </row>
    <row r="15" spans="1:12" ht="14" x14ac:dyDescent="0.2">
      <c r="B15" s="256"/>
      <c r="C15" s="28"/>
      <c r="D15" s="256"/>
      <c r="E15" s="25"/>
      <c r="F15" s="256"/>
      <c r="G15" s="256"/>
      <c r="H15" s="256"/>
      <c r="I15" s="256"/>
      <c r="J15" s="256"/>
      <c r="K15" s="256"/>
    </row>
    <row r="16" spans="1:12" x14ac:dyDescent="0.15">
      <c r="B16" s="256"/>
      <c r="C16" s="226" t="s">
        <v>7753</v>
      </c>
      <c r="D16" s="226" t="s">
        <v>7752</v>
      </c>
      <c r="E16" s="226" t="s">
        <v>3995</v>
      </c>
      <c r="F16" s="226" t="s">
        <v>4000</v>
      </c>
      <c r="G16" s="226" t="s">
        <v>7503</v>
      </c>
      <c r="H16" s="226" t="s">
        <v>7758</v>
      </c>
      <c r="I16" s="226" t="s">
        <v>7760</v>
      </c>
      <c r="J16" s="226" t="s">
        <v>7755</v>
      </c>
      <c r="K16" s="226" t="s">
        <v>1152</v>
      </c>
      <c r="L16" s="227" t="s">
        <v>7788</v>
      </c>
    </row>
    <row r="17" spans="2:19" x14ac:dyDescent="0.15">
      <c r="B17" s="256" t="s">
        <v>3220</v>
      </c>
      <c r="C17" s="256">
        <v>2022</v>
      </c>
      <c r="D17" s="256" t="s">
        <v>6206</v>
      </c>
      <c r="E17" s="25" t="s">
        <v>5183</v>
      </c>
      <c r="F17" s="256" t="s">
        <v>7757</v>
      </c>
      <c r="G17" s="256">
        <v>330</v>
      </c>
      <c r="H17" s="256" t="s">
        <v>7759</v>
      </c>
      <c r="I17" s="256">
        <f>330/40</f>
        <v>8.25</v>
      </c>
      <c r="J17" s="256" t="s">
        <v>7762</v>
      </c>
      <c r="L17" s="281">
        <v>11.71</v>
      </c>
    </row>
    <row r="18" spans="2:19" x14ac:dyDescent="0.15">
      <c r="B18" s="256" t="s">
        <v>1544</v>
      </c>
      <c r="C18" s="256">
        <v>2017</v>
      </c>
      <c r="D18" s="256"/>
      <c r="E18" s="25" t="s">
        <v>7793</v>
      </c>
      <c r="F18" s="256" t="s">
        <v>7781</v>
      </c>
      <c r="G18" s="256">
        <f>32*12</f>
        <v>384</v>
      </c>
      <c r="H18" s="256">
        <v>100</v>
      </c>
      <c r="I18" s="116">
        <f>G18/H18</f>
        <v>3.84</v>
      </c>
      <c r="K18" s="256" t="s">
        <v>7780</v>
      </c>
      <c r="L18" s="116">
        <v>5.9790000000000001</v>
      </c>
      <c r="P18" s="263"/>
    </row>
    <row r="19" spans="2:19" x14ac:dyDescent="0.15">
      <c r="B19" s="256" t="s">
        <v>7511</v>
      </c>
      <c r="C19" s="256">
        <v>2020</v>
      </c>
      <c r="D19" s="256"/>
      <c r="E19" s="25" t="s">
        <v>5192</v>
      </c>
      <c r="F19" s="256" t="s">
        <v>7783</v>
      </c>
      <c r="G19" s="256">
        <v>39</v>
      </c>
      <c r="H19" s="256" t="s">
        <v>7782</v>
      </c>
      <c r="I19" s="116">
        <f>39/4</f>
        <v>9.75</v>
      </c>
      <c r="J19" s="256" t="s">
        <v>7784</v>
      </c>
      <c r="L19" s="116">
        <v>2.5950000000000002</v>
      </c>
    </row>
    <row r="20" spans="2:19" x14ac:dyDescent="0.15">
      <c r="B20" s="256" t="s">
        <v>621</v>
      </c>
      <c r="C20" s="256">
        <v>2022</v>
      </c>
      <c r="D20" s="256" t="s">
        <v>6206</v>
      </c>
      <c r="E20" s="25" t="s">
        <v>5191</v>
      </c>
      <c r="F20" s="256" t="s">
        <v>2690</v>
      </c>
      <c r="G20" s="256">
        <v>999</v>
      </c>
      <c r="H20" s="256" t="s">
        <v>7769</v>
      </c>
      <c r="I20" s="263">
        <f>999/225</f>
        <v>4.4400000000000004</v>
      </c>
      <c r="J20" s="256" t="s">
        <v>7763</v>
      </c>
      <c r="L20" s="116">
        <v>2.012</v>
      </c>
    </row>
    <row r="21" spans="2:19" x14ac:dyDescent="0.15">
      <c r="B21" s="256" t="s">
        <v>482</v>
      </c>
      <c r="C21" s="256"/>
      <c r="D21" s="256"/>
      <c r="E21" s="256"/>
      <c r="F21" s="256"/>
      <c r="G21" s="256">
        <v>6.0000000000000001E-3</v>
      </c>
      <c r="H21" s="256" t="s">
        <v>7794</v>
      </c>
      <c r="I21" s="277">
        <f>G21*60*60</f>
        <v>21.599999999999998</v>
      </c>
      <c r="L21" s="280">
        <v>0.91888099999999995</v>
      </c>
    </row>
    <row r="22" spans="2:19" x14ac:dyDescent="0.15">
      <c r="B22" s="256" t="s">
        <v>122</v>
      </c>
      <c r="C22" s="256"/>
      <c r="D22" s="256"/>
      <c r="E22" s="256"/>
      <c r="F22" s="256"/>
      <c r="G22" s="256">
        <v>149</v>
      </c>
      <c r="H22" s="256" t="s">
        <v>7812</v>
      </c>
      <c r="I22" s="277">
        <f>149/20</f>
        <v>7.45</v>
      </c>
      <c r="K22" s="256" t="s">
        <v>7813</v>
      </c>
      <c r="L22" s="280">
        <v>0.96093700000000004</v>
      </c>
    </row>
    <row r="23" spans="2:19" x14ac:dyDescent="0.15">
      <c r="B23" s="256" t="s">
        <v>7502</v>
      </c>
      <c r="C23" s="256">
        <v>2018</v>
      </c>
      <c r="D23" s="256" t="s">
        <v>7774</v>
      </c>
      <c r="E23" s="25" t="s">
        <v>7504</v>
      </c>
      <c r="F23" s="256" t="s">
        <v>7773</v>
      </c>
      <c r="G23" s="256">
        <v>99</v>
      </c>
      <c r="H23" s="279" t="s">
        <v>7771</v>
      </c>
      <c r="I23" s="278">
        <f>99/75</f>
        <v>1.32</v>
      </c>
      <c r="J23" s="256" t="s">
        <v>7772</v>
      </c>
      <c r="K23" s="256" t="s">
        <v>7775</v>
      </c>
      <c r="L23" s="280">
        <v>0.29441499999999998</v>
      </c>
    </row>
    <row r="24" spans="2:19" x14ac:dyDescent="0.15">
      <c r="B24" s="256" t="s">
        <v>1968</v>
      </c>
      <c r="C24" s="256">
        <v>2020</v>
      </c>
      <c r="D24" s="256" t="s">
        <v>6206</v>
      </c>
      <c r="E24" s="25" t="s">
        <v>7764</v>
      </c>
      <c r="F24" s="256" t="s">
        <v>7754</v>
      </c>
      <c r="G24" s="256">
        <v>175</v>
      </c>
      <c r="H24" s="256" t="s">
        <v>7761</v>
      </c>
      <c r="I24" s="278">
        <f>175/25</f>
        <v>7</v>
      </c>
      <c r="J24" s="256" t="s">
        <v>7756</v>
      </c>
      <c r="L24" s="280">
        <v>0.26786700000000002</v>
      </c>
      <c r="P24" s="162"/>
      <c r="Q24" s="162"/>
      <c r="R24" s="277"/>
      <c r="S24" s="277"/>
    </row>
    <row r="25" spans="2:19" x14ac:dyDescent="0.15">
      <c r="B25" s="256" t="s">
        <v>6277</v>
      </c>
      <c r="C25" s="256">
        <v>2021</v>
      </c>
      <c r="D25" s="256" t="s">
        <v>7767</v>
      </c>
      <c r="E25" s="25" t="s">
        <v>7768</v>
      </c>
      <c r="F25" s="256" t="s">
        <v>7765</v>
      </c>
      <c r="G25" s="256">
        <v>75</v>
      </c>
      <c r="H25" s="256" t="s">
        <v>7770</v>
      </c>
      <c r="I25" s="256">
        <f>75/20</f>
        <v>3.75</v>
      </c>
      <c r="J25" s="256" t="s">
        <v>7766</v>
      </c>
      <c r="L25" s="280">
        <v>5.1739999999999998E-3</v>
      </c>
      <c r="P25" s="162"/>
      <c r="Q25" s="162"/>
      <c r="R25" s="277"/>
      <c r="S25" s="277"/>
    </row>
    <row r="26" spans="2:19" x14ac:dyDescent="0.15">
      <c r="B26" s="256" t="s">
        <v>5223</v>
      </c>
      <c r="C26" s="256">
        <v>2022</v>
      </c>
      <c r="D26" s="256"/>
      <c r="E26" s="25" t="s">
        <v>7791</v>
      </c>
      <c r="F26" s="256" t="s">
        <v>7792</v>
      </c>
      <c r="G26" s="256">
        <v>4999</v>
      </c>
      <c r="H26" s="256" t="s">
        <v>7786</v>
      </c>
      <c r="I26" s="277">
        <f>5000/12500</f>
        <v>0.4</v>
      </c>
      <c r="K26" s="256" t="s">
        <v>7787</v>
      </c>
      <c r="L26" s="281">
        <v>1.6397999999999999E-2</v>
      </c>
    </row>
    <row r="27" spans="2:19" x14ac:dyDescent="0.15">
      <c r="B27" s="256" t="s">
        <v>7811</v>
      </c>
      <c r="E27" s="256"/>
      <c r="G27" s="116">
        <v>162</v>
      </c>
      <c r="H27" s="256" t="s">
        <v>7770</v>
      </c>
      <c r="I27" s="277">
        <f>162/20</f>
        <v>8.1</v>
      </c>
      <c r="L27" s="280">
        <v>0.36320200000000002</v>
      </c>
    </row>
    <row r="28" spans="2:19" x14ac:dyDescent="0.15">
      <c r="B28" s="256" t="s">
        <v>7509</v>
      </c>
      <c r="C28" s="256">
        <v>2019</v>
      </c>
      <c r="D28" s="256"/>
      <c r="E28" s="256"/>
      <c r="F28" s="256"/>
      <c r="G28" s="256">
        <v>199</v>
      </c>
      <c r="H28" s="256" t="s">
        <v>7782</v>
      </c>
      <c r="I28" s="277">
        <f>199/4</f>
        <v>49.75</v>
      </c>
      <c r="J28" s="256" t="s">
        <v>7810</v>
      </c>
      <c r="L28" s="280">
        <v>3.2071000000000002E-2</v>
      </c>
    </row>
    <row r="29" spans="2:19" x14ac:dyDescent="0.15">
      <c r="B29" s="256" t="s">
        <v>2002</v>
      </c>
      <c r="E29" s="25" t="s">
        <v>7816</v>
      </c>
      <c r="F29" s="256"/>
      <c r="G29" s="116">
        <v>36</v>
      </c>
      <c r="H29" s="256" t="s">
        <v>7782</v>
      </c>
      <c r="I29" s="277">
        <f>G29/4</f>
        <v>9</v>
      </c>
      <c r="K29" s="256" t="s">
        <v>6707</v>
      </c>
      <c r="L29" s="280">
        <v>0.130269</v>
      </c>
    </row>
    <row r="30" spans="2:19" x14ac:dyDescent="0.15">
      <c r="B30" s="256" t="s">
        <v>7776</v>
      </c>
      <c r="E30" s="256"/>
      <c r="F30" s="256"/>
    </row>
    <row r="31" spans="2:19" x14ac:dyDescent="0.15">
      <c r="B31" s="256" t="s">
        <v>7777</v>
      </c>
      <c r="E31" s="256"/>
    </row>
    <row r="32" spans="2:19" x14ac:dyDescent="0.15">
      <c r="B32" s="256" t="s">
        <v>7817</v>
      </c>
      <c r="E32" s="256"/>
    </row>
    <row r="33" spans="2:13" x14ac:dyDescent="0.15">
      <c r="B33" s="256" t="s">
        <v>7818</v>
      </c>
      <c r="D33" s="256" t="s">
        <v>5244</v>
      </c>
      <c r="E33" s="25" t="s">
        <v>7819</v>
      </c>
      <c r="G33" s="116">
        <v>36</v>
      </c>
      <c r="H33" s="256" t="s">
        <v>7820</v>
      </c>
      <c r="I33" s="277">
        <f>36/6</f>
        <v>6</v>
      </c>
      <c r="L33" s="280">
        <v>6.5215999999999996E-2</v>
      </c>
    </row>
    <row r="34" spans="2:13" x14ac:dyDescent="0.15">
      <c r="B34" s="256" t="s">
        <v>1295</v>
      </c>
      <c r="D34" s="256"/>
      <c r="E34" s="25" t="s">
        <v>7825</v>
      </c>
      <c r="G34" s="116">
        <v>119</v>
      </c>
      <c r="H34" s="256" t="s">
        <v>7826</v>
      </c>
      <c r="I34" s="277">
        <f>119/30</f>
        <v>3.9666666666666668</v>
      </c>
      <c r="L34" s="280">
        <v>0.119672</v>
      </c>
    </row>
    <row r="36" spans="2:13" x14ac:dyDescent="0.15">
      <c r="B36" s="151" t="s">
        <v>7801</v>
      </c>
    </row>
    <row r="37" spans="2:13" x14ac:dyDescent="0.15">
      <c r="B37" s="256" t="s">
        <v>7778</v>
      </c>
      <c r="G37" s="116">
        <v>20</v>
      </c>
      <c r="H37" s="256" t="s">
        <v>7770</v>
      </c>
      <c r="I37" s="277">
        <v>1</v>
      </c>
      <c r="J37" s="256" t="s">
        <v>1</v>
      </c>
      <c r="K37" s="256" t="s">
        <v>7785</v>
      </c>
    </row>
    <row r="38" spans="2:13" x14ac:dyDescent="0.15">
      <c r="B38" s="256" t="s">
        <v>3951</v>
      </c>
      <c r="E38" s="256"/>
      <c r="F38" s="256"/>
      <c r="G38" s="256"/>
      <c r="H38" s="256" t="s">
        <v>7796</v>
      </c>
      <c r="I38" s="263" t="s">
        <v>1</v>
      </c>
      <c r="J38" s="256" t="s">
        <v>1</v>
      </c>
      <c r="K38" s="256" t="s">
        <v>7785</v>
      </c>
    </row>
    <row r="39" spans="2:13" x14ac:dyDescent="0.15">
      <c r="B39" s="256" t="s">
        <v>7510</v>
      </c>
      <c r="L39" s="116">
        <v>1.986</v>
      </c>
      <c r="M39" s="256" t="s">
        <v>7789</v>
      </c>
    </row>
    <row r="40" spans="2:13" x14ac:dyDescent="0.15">
      <c r="B40" s="256" t="s">
        <v>958</v>
      </c>
      <c r="E40" s="256"/>
      <c r="F40" s="256"/>
      <c r="G40" s="256"/>
      <c r="H40" s="256"/>
      <c r="I40" s="256"/>
      <c r="J40" s="256"/>
      <c r="K40" s="256" t="s">
        <v>7797</v>
      </c>
    </row>
    <row r="41" spans="2:13" x14ac:dyDescent="0.15">
      <c r="B41" s="256" t="s">
        <v>1476</v>
      </c>
      <c r="C41" s="116">
        <v>2018</v>
      </c>
      <c r="F41" s="256" t="s">
        <v>7799</v>
      </c>
      <c r="G41" s="116">
        <v>0.09</v>
      </c>
      <c r="H41" s="256" t="s">
        <v>7794</v>
      </c>
      <c r="I41" s="277">
        <f>G41*60*60</f>
        <v>323.99999999999994</v>
      </c>
      <c r="J41" s="256" t="s">
        <v>7798</v>
      </c>
      <c r="L41" s="281">
        <v>0.109024</v>
      </c>
      <c r="M41" s="256" t="s">
        <v>7800</v>
      </c>
    </row>
    <row r="42" spans="2:13" x14ac:dyDescent="0.15">
      <c r="B42" s="256" t="s">
        <v>2008</v>
      </c>
      <c r="E42" s="25" t="s">
        <v>7795</v>
      </c>
      <c r="F42" s="256"/>
      <c r="L42" s="116">
        <v>3.2669999999999999</v>
      </c>
      <c r="M42" s="256" t="s">
        <v>7802</v>
      </c>
    </row>
    <row r="43" spans="2:13" x14ac:dyDescent="0.15">
      <c r="B43" s="256" t="s">
        <v>1444</v>
      </c>
      <c r="G43" s="116">
        <v>99</v>
      </c>
      <c r="H43" s="256" t="s">
        <v>7803</v>
      </c>
      <c r="I43" s="277"/>
      <c r="J43" s="277"/>
      <c r="K43" s="256" t="s">
        <v>7804</v>
      </c>
    </row>
    <row r="44" spans="2:13" x14ac:dyDescent="0.15">
      <c r="B44" s="256" t="s">
        <v>5219</v>
      </c>
      <c r="K44" s="256" t="s">
        <v>7805</v>
      </c>
    </row>
    <row r="45" spans="2:13" x14ac:dyDescent="0.15">
      <c r="B45" s="256" t="s">
        <v>5943</v>
      </c>
      <c r="K45" s="256" t="s">
        <v>7806</v>
      </c>
    </row>
    <row r="46" spans="2:13" x14ac:dyDescent="0.15">
      <c r="B46" s="256" t="s">
        <v>386</v>
      </c>
      <c r="K46" s="256" t="s">
        <v>7807</v>
      </c>
    </row>
    <row r="47" spans="2:13" x14ac:dyDescent="0.15">
      <c r="B47" s="256" t="s">
        <v>929</v>
      </c>
      <c r="K47" s="256" t="s">
        <v>7808</v>
      </c>
    </row>
    <row r="48" spans="2:13" x14ac:dyDescent="0.15">
      <c r="B48" s="256" t="s">
        <v>3007</v>
      </c>
      <c r="C48" s="256"/>
      <c r="D48" s="256"/>
      <c r="E48" s="256"/>
      <c r="F48" s="256"/>
      <c r="G48" s="256"/>
      <c r="H48" s="256"/>
      <c r="K48" s="256" t="s">
        <v>7809</v>
      </c>
    </row>
    <row r="49" spans="2:13" x14ac:dyDescent="0.15">
      <c r="B49" s="80" t="s">
        <v>2533</v>
      </c>
    </row>
    <row r="50" spans="2:13" x14ac:dyDescent="0.15">
      <c r="B50" s="256" t="s">
        <v>5126</v>
      </c>
      <c r="E50" s="256"/>
      <c r="F50" s="256"/>
      <c r="G50" s="256" t="s">
        <v>7815</v>
      </c>
      <c r="H50" s="256" t="s">
        <v>7814</v>
      </c>
    </row>
    <row r="51" spans="2:13" x14ac:dyDescent="0.15">
      <c r="B51" s="256" t="s">
        <v>639</v>
      </c>
      <c r="K51" s="264" t="s">
        <v>7779</v>
      </c>
    </row>
    <row r="52" spans="2:13" x14ac:dyDescent="0.15">
      <c r="B52" s="256" t="s">
        <v>6775</v>
      </c>
      <c r="L52" s="116">
        <v>1.5589999999999999</v>
      </c>
      <c r="M52" s="256" t="s">
        <v>7790</v>
      </c>
    </row>
    <row r="53" spans="2:13" x14ac:dyDescent="0.15">
      <c r="B53" s="256" t="s">
        <v>6808</v>
      </c>
    </row>
    <row r="54" spans="2:13" x14ac:dyDescent="0.15">
      <c r="B54" s="256" t="s">
        <v>7827</v>
      </c>
      <c r="L54" s="116">
        <v>2.0636000000000002E-2</v>
      </c>
    </row>
    <row r="55" spans="2:13" x14ac:dyDescent="0.15">
      <c r="B55" s="256" t="s">
        <v>7828</v>
      </c>
      <c r="L55" s="116">
        <v>0.89679900000000001</v>
      </c>
    </row>
    <row r="56" spans="2:13" x14ac:dyDescent="0.15">
      <c r="B56" s="256" t="s">
        <v>1351</v>
      </c>
      <c r="L56" s="116">
        <v>0.65854500000000005</v>
      </c>
    </row>
    <row r="57" spans="2:13" ht="15" x14ac:dyDescent="0.2">
      <c r="B57" s="256" t="s">
        <v>7829</v>
      </c>
      <c r="E57" s="45" t="s">
        <v>7830</v>
      </c>
    </row>
    <row r="58" spans="2:13" ht="15" x14ac:dyDescent="0.2">
      <c r="B58" s="256" t="s">
        <v>7832</v>
      </c>
      <c r="E58" s="45" t="s">
        <v>7831</v>
      </c>
    </row>
    <row r="59" spans="2:13" x14ac:dyDescent="0.15">
      <c r="B59" s="256" t="s">
        <v>7833</v>
      </c>
      <c r="G59" s="116">
        <v>8.0000000000000007E-5</v>
      </c>
      <c r="H59" s="256" t="s">
        <v>7834</v>
      </c>
      <c r="I59" s="277">
        <f>G59*250000</f>
        <v>20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 ref="E20" r:id="rId13" xr:uid="{6F20C77C-3565-BB41-AF99-4414A4345CD9}"/>
    <hyperlink ref="E24" r:id="rId14" xr:uid="{DDE01190-AB56-2946-8E18-483FB6BF4735}"/>
    <hyperlink ref="E17" r:id="rId15" xr:uid="{1441F3F9-7BA7-E94F-BF15-B9F799E4FB47}"/>
    <hyperlink ref="E25" r:id="rId16" xr:uid="{E32980B6-F10A-2F48-8810-C8DBA5698EE7}"/>
    <hyperlink ref="E23" r:id="rId17" xr:uid="{A6E8EB31-6520-BF4F-BECA-84FA707781F3}"/>
    <hyperlink ref="E19" r:id="rId18" xr:uid="{A621B667-05F5-3742-B853-B856BFE0865D}"/>
    <hyperlink ref="E26" r:id="rId19" xr:uid="{251C4F88-B1DC-7040-9D8B-170B8EE37DD1}"/>
    <hyperlink ref="E18" r:id="rId20" xr:uid="{92FD8217-6E61-464C-A12B-2C1EAF4F40A8}"/>
    <hyperlink ref="E42" r:id="rId21" xr:uid="{08803D76-EB2D-AA46-BC85-AEDDA6CC301D}"/>
    <hyperlink ref="E29" r:id="rId22" xr:uid="{782AED29-31AC-2A42-8B06-70569AE34C48}"/>
    <hyperlink ref="E33" r:id="rId23" xr:uid="{7921B99A-E601-634A-BB7E-EAA0ECE834A5}"/>
    <hyperlink ref="E13" r:id="rId24" xr:uid="{4B5E6AAA-030A-9945-BF6E-DCE9347860B5}"/>
    <hyperlink ref="E34" r:id="rId25" xr:uid="{BB1708BF-D0E4-804A-9168-6D105B8DE9D4}"/>
    <hyperlink ref="E57" r:id="rId26" xr:uid="{2C3AA4DD-5BC1-154A-98B6-E6E5E62BD0D8}"/>
    <hyperlink ref="E58" r:id="rId27" xr:uid="{6466BF3B-2C9F-4B42-8658-E7E90E2CAF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1167</v>
      </c>
      <c r="B1" s="140"/>
      <c r="C1" s="141"/>
      <c r="D1" s="141"/>
      <c r="E1" s="117"/>
      <c r="F1" s="141"/>
      <c r="G1" s="142"/>
      <c r="H1" s="117"/>
      <c r="I1" s="117"/>
      <c r="J1" s="117"/>
      <c r="K1" s="117"/>
      <c r="L1" s="117"/>
      <c r="M1" s="117"/>
      <c r="N1" s="117"/>
      <c r="O1" s="118"/>
    </row>
    <row r="2" spans="1:15" x14ac:dyDescent="0.15">
      <c r="A2" s="25"/>
      <c r="B2" s="118" t="s">
        <v>4005</v>
      </c>
      <c r="C2" s="163" t="s">
        <v>5721</v>
      </c>
      <c r="D2" s="163" t="s">
        <v>1802</v>
      </c>
      <c r="E2" s="117" t="s">
        <v>5002</v>
      </c>
      <c r="F2" s="141" t="s">
        <v>6382</v>
      </c>
      <c r="G2" s="142" t="s">
        <v>1152</v>
      </c>
      <c r="H2" s="117" t="s">
        <v>5720</v>
      </c>
      <c r="I2" s="117"/>
      <c r="J2" s="117"/>
      <c r="K2" s="117"/>
      <c r="L2" s="117"/>
      <c r="M2" s="117"/>
      <c r="N2" s="117"/>
      <c r="O2" s="118"/>
    </row>
    <row r="3" spans="1:15" x14ac:dyDescent="0.15">
      <c r="B3" s="116" t="s">
        <v>6298</v>
      </c>
      <c r="E3" s="25" t="s">
        <v>6299</v>
      </c>
      <c r="F3" s="162">
        <v>58300</v>
      </c>
    </row>
    <row r="4" spans="1:15" x14ac:dyDescent="0.15">
      <c r="B4" s="116" t="s">
        <v>6300</v>
      </c>
      <c r="C4" s="116" t="s">
        <v>6302</v>
      </c>
      <c r="E4" s="25" t="s">
        <v>6301</v>
      </c>
      <c r="F4" s="162">
        <v>37800</v>
      </c>
    </row>
    <row r="5" spans="1:15" x14ac:dyDescent="0.15">
      <c r="B5" s="116" t="s">
        <v>6292</v>
      </c>
      <c r="C5" s="116" t="s">
        <v>3965</v>
      </c>
      <c r="E5" s="25" t="s">
        <v>6293</v>
      </c>
      <c r="F5" s="162">
        <v>27600</v>
      </c>
    </row>
    <row r="6" spans="1:15" x14ac:dyDescent="0.15">
      <c r="B6" s="116" t="s">
        <v>6383</v>
      </c>
      <c r="C6" s="116" t="s">
        <v>4182</v>
      </c>
      <c r="E6" s="25" t="s">
        <v>6384</v>
      </c>
      <c r="F6" s="162">
        <v>26300</v>
      </c>
    </row>
    <row r="7" spans="1:15" x14ac:dyDescent="0.15">
      <c r="B7" s="116" t="s">
        <v>6294</v>
      </c>
      <c r="E7" s="25" t="s">
        <v>6295</v>
      </c>
      <c r="F7" s="162">
        <v>26100</v>
      </c>
    </row>
    <row r="8" spans="1:15" x14ac:dyDescent="0.15">
      <c r="B8" s="117" t="s">
        <v>4011</v>
      </c>
      <c r="D8" s="42"/>
      <c r="E8" s="42" t="s">
        <v>4010</v>
      </c>
      <c r="F8" s="141">
        <v>16700</v>
      </c>
      <c r="G8" s="118" t="s">
        <v>6379</v>
      </c>
      <c r="H8" s="117"/>
      <c r="I8" s="117"/>
      <c r="J8" s="117"/>
      <c r="K8" s="117"/>
      <c r="L8" s="117"/>
      <c r="M8" s="117"/>
      <c r="N8" s="117"/>
      <c r="O8" s="118"/>
    </row>
    <row r="9" spans="1:15" x14ac:dyDescent="0.15">
      <c r="B9" s="116" t="s">
        <v>6073</v>
      </c>
      <c r="E9" s="25" t="s">
        <v>6072</v>
      </c>
      <c r="F9" s="162">
        <v>14900</v>
      </c>
      <c r="G9" s="116" t="s">
        <v>6074</v>
      </c>
    </row>
    <row r="10" spans="1:15" x14ac:dyDescent="0.15">
      <c r="B10" s="116" t="s">
        <v>4109</v>
      </c>
      <c r="C10" s="116" t="s">
        <v>0</v>
      </c>
      <c r="E10" s="164" t="s">
        <v>4201</v>
      </c>
      <c r="F10" s="162">
        <v>15300</v>
      </c>
    </row>
    <row r="11" spans="1:15" x14ac:dyDescent="0.15">
      <c r="B11" s="116" t="s">
        <v>6290</v>
      </c>
      <c r="E11" s="25" t="s">
        <v>6291</v>
      </c>
      <c r="F11" s="162">
        <v>12600</v>
      </c>
    </row>
    <row r="12" spans="1:15" x14ac:dyDescent="0.15">
      <c r="B12" s="117" t="s">
        <v>4007</v>
      </c>
      <c r="D12" s="165"/>
      <c r="E12" s="165" t="s">
        <v>4006</v>
      </c>
      <c r="F12" s="141">
        <v>6700</v>
      </c>
      <c r="G12" s="142"/>
      <c r="H12" s="117"/>
      <c r="I12" s="117"/>
      <c r="J12" s="117"/>
      <c r="K12" s="117"/>
      <c r="L12" s="117"/>
      <c r="M12" s="117"/>
      <c r="N12" s="117"/>
      <c r="O12" s="118"/>
    </row>
    <row r="13" spans="1:15" x14ac:dyDescent="0.15">
      <c r="B13" s="116" t="s">
        <v>6377</v>
      </c>
      <c r="E13" s="25" t="s">
        <v>6378</v>
      </c>
      <c r="F13" s="162">
        <v>5100</v>
      </c>
    </row>
    <row r="14" spans="1:15" x14ac:dyDescent="0.15">
      <c r="B14" s="116" t="s">
        <v>6296</v>
      </c>
      <c r="E14" s="25" t="s">
        <v>6297</v>
      </c>
      <c r="F14" s="162">
        <v>5000</v>
      </c>
    </row>
    <row r="15" spans="1:15" x14ac:dyDescent="0.15">
      <c r="B15" s="116" t="s">
        <v>6370</v>
      </c>
      <c r="E15" s="25" t="s">
        <v>6386</v>
      </c>
      <c r="F15" s="162">
        <v>4600</v>
      </c>
    </row>
    <row r="16" spans="1:15" x14ac:dyDescent="0.15">
      <c r="B16" s="177" t="s">
        <v>6519</v>
      </c>
      <c r="E16" s="25" t="s">
        <v>6520</v>
      </c>
      <c r="F16" s="162">
        <v>2100</v>
      </c>
    </row>
    <row r="17" spans="1:15" ht="15" x14ac:dyDescent="0.2">
      <c r="B17" s="116" t="s">
        <v>6371</v>
      </c>
      <c r="E17" s="25" t="s">
        <v>6387</v>
      </c>
      <c r="F17" s="162">
        <v>1900</v>
      </c>
      <c r="H17" s="45" t="s">
        <v>6524</v>
      </c>
    </row>
    <row r="18" spans="1:15" x14ac:dyDescent="0.15">
      <c r="B18" s="116" t="s">
        <v>6381</v>
      </c>
      <c r="E18" s="25" t="s">
        <v>6380</v>
      </c>
      <c r="F18" s="162">
        <v>1200</v>
      </c>
    </row>
    <row r="19" spans="1:15" x14ac:dyDescent="0.15">
      <c r="A19" s="117"/>
      <c r="B19" s="118" t="s">
        <v>6063</v>
      </c>
      <c r="D19" s="118" t="s">
        <v>3338</v>
      </c>
      <c r="E19" s="114" t="s">
        <v>6062</v>
      </c>
      <c r="F19" s="141">
        <v>967</v>
      </c>
      <c r="G19" s="142"/>
      <c r="H19" s="117"/>
      <c r="I19" s="117"/>
      <c r="J19" s="117"/>
      <c r="K19" s="117"/>
      <c r="L19" s="117"/>
      <c r="M19" s="117"/>
      <c r="N19" s="117"/>
      <c r="O19" s="118"/>
    </row>
    <row r="20" spans="1:15" ht="15" x14ac:dyDescent="0.2">
      <c r="A20" s="117"/>
      <c r="B20" s="176" t="s">
        <v>6549</v>
      </c>
      <c r="D20" s="118"/>
      <c r="E20" s="178" t="s">
        <v>6548</v>
      </c>
      <c r="F20" s="141">
        <v>512</v>
      </c>
      <c r="G20" s="142"/>
      <c r="H20" s="117"/>
      <c r="I20" s="117"/>
      <c r="J20" s="117"/>
      <c r="K20" s="117"/>
      <c r="L20" s="117"/>
      <c r="M20" s="117"/>
      <c r="N20" s="117"/>
      <c r="O20" s="118"/>
    </row>
    <row r="21" spans="1:15" x14ac:dyDescent="0.15">
      <c r="B21" s="116" t="s">
        <v>6067</v>
      </c>
      <c r="E21" s="25" t="s">
        <v>6068</v>
      </c>
      <c r="F21" s="162">
        <v>391</v>
      </c>
      <c r="H21" s="25" t="s">
        <v>6069</v>
      </c>
    </row>
    <row r="22" spans="1:15" x14ac:dyDescent="0.15">
      <c r="B22" s="116" t="s">
        <v>6066</v>
      </c>
      <c r="C22" s="116" t="s">
        <v>3869</v>
      </c>
      <c r="E22" s="116" t="s">
        <v>6065</v>
      </c>
      <c r="F22" s="166" t="s">
        <v>1</v>
      </c>
    </row>
    <row r="23" spans="1:15" x14ac:dyDescent="0.15">
      <c r="B23" s="116" t="s">
        <v>6304</v>
      </c>
      <c r="E23" s="25" t="s">
        <v>6303</v>
      </c>
    </row>
    <row r="24" spans="1:15" x14ac:dyDescent="0.15">
      <c r="B24" s="116" t="s">
        <v>6369</v>
      </c>
      <c r="E24" s="25" t="s">
        <v>6368</v>
      </c>
    </row>
    <row r="25" spans="1:15" x14ac:dyDescent="0.15">
      <c r="B25" s="117" t="s">
        <v>4015</v>
      </c>
      <c r="C25" s="117" t="s">
        <v>4014</v>
      </c>
      <c r="D25" s="117"/>
      <c r="E25" s="42" t="s">
        <v>4013</v>
      </c>
      <c r="F25" s="141"/>
      <c r="G25" s="142"/>
      <c r="H25" s="117"/>
      <c r="I25" s="117"/>
      <c r="J25" s="117"/>
      <c r="K25" s="117"/>
      <c r="L25" s="117"/>
      <c r="M25" s="117"/>
      <c r="N25" s="117"/>
      <c r="O25" s="118"/>
    </row>
    <row r="26" spans="1:15" x14ac:dyDescent="0.15">
      <c r="B26" s="117" t="s">
        <v>4012</v>
      </c>
      <c r="C26" s="140"/>
      <c r="D26" s="140"/>
      <c r="E26" s="114" t="s">
        <v>6385</v>
      </c>
      <c r="F26" s="141"/>
      <c r="G26" s="142"/>
      <c r="H26" s="117"/>
      <c r="I26" s="117"/>
      <c r="J26" s="117"/>
      <c r="K26" s="117"/>
      <c r="L26" s="117"/>
      <c r="M26" s="117"/>
      <c r="N26" s="117"/>
      <c r="O26" s="118"/>
    </row>
    <row r="27" spans="1:15" ht="15" x14ac:dyDescent="0.2">
      <c r="B27" s="116" t="s">
        <v>6372</v>
      </c>
      <c r="E27" s="25" t="s">
        <v>6388</v>
      </c>
      <c r="H27" s="45" t="s">
        <v>6497</v>
      </c>
    </row>
    <row r="28" spans="1:15" x14ac:dyDescent="0.15">
      <c r="B28" s="116" t="s">
        <v>6375</v>
      </c>
      <c r="E28" s="25" t="s">
        <v>6376</v>
      </c>
    </row>
    <row r="29" spans="1:15" x14ac:dyDescent="0.15">
      <c r="B29" s="117" t="s">
        <v>4009</v>
      </c>
      <c r="D29" s="42"/>
      <c r="E29" s="42" t="s">
        <v>4008</v>
      </c>
      <c r="F29" s="141"/>
      <c r="G29" s="142"/>
      <c r="H29" s="117"/>
      <c r="I29" s="117"/>
      <c r="J29" s="117"/>
      <c r="K29" s="117"/>
      <c r="L29" s="117"/>
      <c r="M29" s="117"/>
      <c r="N29" s="117"/>
      <c r="O29" s="118"/>
    </row>
    <row r="30" spans="1:15" ht="15" x14ac:dyDescent="0.2">
      <c r="B30" s="177" t="s">
        <v>6514</v>
      </c>
      <c r="E30" s="45" t="s">
        <v>6515</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1167</v>
      </c>
      <c r="N1" s="46">
        <f>COUNTIF(N3:N42,"White")</f>
        <v>30</v>
      </c>
    </row>
    <row r="2" spans="1:17" x14ac:dyDescent="0.15">
      <c r="A2" s="25"/>
      <c r="B2" s="226" t="s">
        <v>4005</v>
      </c>
      <c r="C2" s="226" t="s">
        <v>6192</v>
      </c>
      <c r="D2" s="227" t="s">
        <v>5722</v>
      </c>
      <c r="E2" s="216" t="s">
        <v>4671</v>
      </c>
      <c r="F2" s="256" t="s">
        <v>7429</v>
      </c>
      <c r="G2" s="216" t="s">
        <v>1152</v>
      </c>
      <c r="H2" s="216" t="s">
        <v>5941</v>
      </c>
      <c r="I2" s="216" t="s">
        <v>5722</v>
      </c>
      <c r="J2" s="220" t="s">
        <v>7148</v>
      </c>
      <c r="K2" s="220" t="s">
        <v>7149</v>
      </c>
      <c r="L2" s="220" t="s">
        <v>7156</v>
      </c>
      <c r="M2" s="250" t="s">
        <v>7422</v>
      </c>
      <c r="N2" s="250" t="s">
        <v>7423</v>
      </c>
      <c r="O2" s="256" t="s">
        <v>7427</v>
      </c>
      <c r="P2" s="256" t="s">
        <v>5941</v>
      </c>
      <c r="Q2" s="256" t="s">
        <v>5722</v>
      </c>
    </row>
    <row r="3" spans="1:17" x14ac:dyDescent="0.15">
      <c r="A3" s="25"/>
      <c r="B3" s="191" t="s">
        <v>7154</v>
      </c>
      <c r="C3" s="98" t="s">
        <v>5353</v>
      </c>
      <c r="D3" s="41">
        <v>702026</v>
      </c>
      <c r="E3" s="256" t="s">
        <v>7428</v>
      </c>
      <c r="F3" s="256" t="s">
        <v>7430</v>
      </c>
      <c r="G3" s="216"/>
      <c r="H3" s="256" t="s">
        <v>7431</v>
      </c>
      <c r="I3" s="46">
        <v>69038</v>
      </c>
      <c r="J3" s="219">
        <v>1947</v>
      </c>
      <c r="K3" s="270" t="s">
        <v>7215</v>
      </c>
      <c r="L3" s="219">
        <f t="shared" ref="L3:L15" si="0">2023-J3</f>
        <v>76</v>
      </c>
      <c r="M3" s="256" t="s">
        <v>7524</v>
      </c>
      <c r="N3" s="250" t="s">
        <v>7424</v>
      </c>
      <c r="O3" s="25" t="s">
        <v>7426</v>
      </c>
    </row>
    <row r="4" spans="1:17" x14ac:dyDescent="0.15">
      <c r="B4" s="54" t="s">
        <v>4518</v>
      </c>
      <c r="C4" s="98" t="s">
        <v>5976</v>
      </c>
      <c r="D4" s="41">
        <v>692997</v>
      </c>
      <c r="F4" s="256" t="s">
        <v>7432</v>
      </c>
      <c r="H4" s="256" t="s">
        <v>7431</v>
      </c>
      <c r="I4" s="46">
        <v>69038</v>
      </c>
      <c r="J4" s="219">
        <v>1964</v>
      </c>
      <c r="K4" s="270" t="s">
        <v>7215</v>
      </c>
      <c r="L4" s="219">
        <f t="shared" si="0"/>
        <v>59</v>
      </c>
      <c r="M4" s="256" t="s">
        <v>7524</v>
      </c>
      <c r="N4" s="250" t="s">
        <v>7424</v>
      </c>
    </row>
    <row r="5" spans="1:17" x14ac:dyDescent="0.15">
      <c r="B5" s="222" t="s">
        <v>7246</v>
      </c>
      <c r="C5" s="98"/>
      <c r="D5" s="41">
        <v>473125</v>
      </c>
      <c r="F5" s="256" t="s">
        <v>4182</v>
      </c>
      <c r="M5" s="256" t="s">
        <v>7524</v>
      </c>
      <c r="N5" s="250" t="s">
        <v>7424</v>
      </c>
    </row>
    <row r="6" spans="1:17" x14ac:dyDescent="0.15">
      <c r="B6" s="41" t="s">
        <v>4133</v>
      </c>
      <c r="C6" s="191" t="s">
        <v>7155</v>
      </c>
      <c r="D6" s="46">
        <v>426529</v>
      </c>
      <c r="E6" s="42" t="s">
        <v>4132</v>
      </c>
      <c r="F6" s="256" t="s">
        <v>0</v>
      </c>
      <c r="J6" s="219">
        <v>1985</v>
      </c>
      <c r="K6" s="270" t="s">
        <v>7215</v>
      </c>
      <c r="L6" s="219">
        <f t="shared" si="0"/>
        <v>38</v>
      </c>
      <c r="M6" s="256" t="s">
        <v>7524</v>
      </c>
      <c r="N6" s="250" t="s">
        <v>7424</v>
      </c>
    </row>
    <row r="7" spans="1:17" x14ac:dyDescent="0.15">
      <c r="A7" s="25"/>
      <c r="B7" s="41" t="s">
        <v>4163</v>
      </c>
      <c r="C7" s="98" t="s">
        <v>5362</v>
      </c>
      <c r="D7" s="216">
        <v>317756</v>
      </c>
      <c r="E7" s="216"/>
      <c r="F7" s="256" t="s">
        <v>783</v>
      </c>
      <c r="G7" s="216"/>
      <c r="H7" s="256" t="s">
        <v>7431</v>
      </c>
      <c r="I7" s="46">
        <v>69038</v>
      </c>
      <c r="J7" s="219">
        <v>1960</v>
      </c>
      <c r="K7" s="270" t="s">
        <v>7215</v>
      </c>
      <c r="L7" s="219">
        <f t="shared" si="0"/>
        <v>63</v>
      </c>
      <c r="M7" s="256" t="s">
        <v>7524</v>
      </c>
      <c r="N7" s="250" t="s">
        <v>7425</v>
      </c>
    </row>
    <row r="8" spans="1:17" x14ac:dyDescent="0.15">
      <c r="B8" s="41" t="s">
        <v>3988</v>
      </c>
      <c r="C8" s="41" t="s">
        <v>4179</v>
      </c>
      <c r="D8" s="41">
        <v>262714</v>
      </c>
      <c r="F8" s="256" t="s">
        <v>3869</v>
      </c>
      <c r="J8" s="219">
        <v>1968</v>
      </c>
      <c r="K8" s="270" t="s">
        <v>7215</v>
      </c>
      <c r="L8" s="219">
        <f t="shared" si="0"/>
        <v>55</v>
      </c>
      <c r="M8" s="256" t="s">
        <v>7524</v>
      </c>
      <c r="N8" s="250" t="s">
        <v>7424</v>
      </c>
    </row>
    <row r="9" spans="1:17" x14ac:dyDescent="0.15">
      <c r="B9" s="54" t="s">
        <v>4535</v>
      </c>
      <c r="C9" s="191" t="s">
        <v>7157</v>
      </c>
      <c r="D9" s="41">
        <v>255632</v>
      </c>
      <c r="F9" s="256" t="s">
        <v>3869</v>
      </c>
      <c r="J9" s="219">
        <v>1987</v>
      </c>
      <c r="K9" s="270" t="s">
        <v>7215</v>
      </c>
      <c r="L9" s="219">
        <f t="shared" si="0"/>
        <v>36</v>
      </c>
      <c r="M9" s="256" t="s">
        <v>7524</v>
      </c>
      <c r="N9" s="250" t="s">
        <v>7424</v>
      </c>
    </row>
    <row r="10" spans="1:17" x14ac:dyDescent="0.15">
      <c r="B10" s="41" t="s">
        <v>3316</v>
      </c>
      <c r="C10" s="54" t="s">
        <v>4517</v>
      </c>
      <c r="D10" s="41">
        <v>235603</v>
      </c>
      <c r="F10" s="256" t="s">
        <v>313</v>
      </c>
      <c r="J10" s="219">
        <v>1976</v>
      </c>
      <c r="K10" s="270" t="s">
        <v>7215</v>
      </c>
      <c r="L10" s="219">
        <f t="shared" si="0"/>
        <v>47</v>
      </c>
      <c r="M10" s="256" t="s">
        <v>7524</v>
      </c>
      <c r="N10" s="250" t="s">
        <v>7425</v>
      </c>
    </row>
    <row r="11" spans="1:17" x14ac:dyDescent="0.15">
      <c r="B11" s="41" t="s">
        <v>4166</v>
      </c>
      <c r="C11" s="191" t="s">
        <v>6241</v>
      </c>
      <c r="D11" s="41">
        <v>234531</v>
      </c>
      <c r="F11" s="256" t="s">
        <v>1</v>
      </c>
      <c r="J11" s="219">
        <v>1987</v>
      </c>
      <c r="K11" s="270" t="s">
        <v>7215</v>
      </c>
      <c r="L11" s="219">
        <f t="shared" si="0"/>
        <v>36</v>
      </c>
      <c r="M11" s="256" t="s">
        <v>7524</v>
      </c>
      <c r="N11" s="250" t="s">
        <v>7424</v>
      </c>
    </row>
    <row r="12" spans="1:17" x14ac:dyDescent="0.15">
      <c r="B12" s="54" t="s">
        <v>4536</v>
      </c>
      <c r="C12" s="41"/>
      <c r="D12" s="41">
        <v>222313</v>
      </c>
      <c r="F12" s="256" t="s">
        <v>3869</v>
      </c>
      <c r="J12" s="219">
        <v>1983</v>
      </c>
      <c r="K12" s="270" t="s">
        <v>7215</v>
      </c>
      <c r="L12" s="219">
        <f>2023-J12</f>
        <v>40</v>
      </c>
      <c r="M12" s="256" t="s">
        <v>7524</v>
      </c>
      <c r="N12" s="250" t="s">
        <v>7424</v>
      </c>
    </row>
    <row r="13" spans="1:17" x14ac:dyDescent="0.15">
      <c r="B13" s="252" t="s">
        <v>7420</v>
      </c>
      <c r="C13" s="41"/>
      <c r="D13" s="41">
        <v>217498</v>
      </c>
      <c r="F13" s="256" t="s">
        <v>4182</v>
      </c>
      <c r="K13" s="270" t="s">
        <v>7215</v>
      </c>
      <c r="M13" s="250" t="s">
        <v>7421</v>
      </c>
      <c r="N13" s="250" t="s">
        <v>7425</v>
      </c>
    </row>
    <row r="14" spans="1:17" x14ac:dyDescent="0.15">
      <c r="B14" s="222" t="s">
        <v>7223</v>
      </c>
      <c r="C14" s="41"/>
      <c r="D14" s="41">
        <v>211018</v>
      </c>
      <c r="F14" s="256" t="s">
        <v>7432</v>
      </c>
      <c r="K14" s="270" t="s">
        <v>7215</v>
      </c>
      <c r="M14" s="256" t="s">
        <v>7524</v>
      </c>
      <c r="N14" s="250" t="s">
        <v>7424</v>
      </c>
    </row>
    <row r="15" spans="1:17" x14ac:dyDescent="0.15">
      <c r="B15" s="54" t="s">
        <v>4516</v>
      </c>
      <c r="C15" s="191" t="s">
        <v>3869</v>
      </c>
      <c r="D15" s="41">
        <v>196079</v>
      </c>
      <c r="F15" s="256" t="s">
        <v>3869</v>
      </c>
      <c r="J15" s="219">
        <v>1982</v>
      </c>
      <c r="K15" s="270" t="s">
        <v>7215</v>
      </c>
      <c r="L15" s="219">
        <f t="shared" si="0"/>
        <v>41</v>
      </c>
      <c r="M15" s="256" t="s">
        <v>7524</v>
      </c>
      <c r="N15" s="250" t="s">
        <v>7425</v>
      </c>
    </row>
    <row r="16" spans="1:17" s="216" customFormat="1" x14ac:dyDescent="0.15">
      <c r="B16" s="191" t="s">
        <v>4193</v>
      </c>
      <c r="C16" s="191" t="s">
        <v>4192</v>
      </c>
      <c r="D16" s="191">
        <v>190212</v>
      </c>
      <c r="E16" s="203" t="s">
        <v>7158</v>
      </c>
      <c r="F16" s="256" t="s">
        <v>7430</v>
      </c>
      <c r="J16" s="220"/>
      <c r="K16" s="270" t="s">
        <v>7215</v>
      </c>
      <c r="L16" s="220"/>
      <c r="M16" s="256" t="s">
        <v>7524</v>
      </c>
      <c r="N16" s="250" t="s">
        <v>7425</v>
      </c>
    </row>
    <row r="17" spans="2:14" s="216" customFormat="1" x14ac:dyDescent="0.15">
      <c r="B17" s="222" t="s">
        <v>7240</v>
      </c>
      <c r="C17" s="191"/>
      <c r="D17" s="191">
        <v>167886</v>
      </c>
      <c r="E17" s="203"/>
      <c r="F17" s="203"/>
      <c r="J17" s="220"/>
      <c r="K17" s="270" t="s">
        <v>7215</v>
      </c>
      <c r="L17" s="220"/>
      <c r="M17" s="256" t="s">
        <v>7524</v>
      </c>
      <c r="N17" s="250" t="s">
        <v>7424</v>
      </c>
    </row>
    <row r="18" spans="2:14" x14ac:dyDescent="0.15">
      <c r="B18" s="54" t="s">
        <v>4544</v>
      </c>
      <c r="C18" s="191" t="s">
        <v>4140</v>
      </c>
      <c r="D18" s="41">
        <v>157591</v>
      </c>
      <c r="J18" s="219">
        <v>1976</v>
      </c>
      <c r="L18" s="219">
        <f t="shared" ref="L18:L25" si="1">2023-J18</f>
        <v>47</v>
      </c>
      <c r="M18" s="256" t="s">
        <v>7524</v>
      </c>
      <c r="N18" s="250" t="s">
        <v>7424</v>
      </c>
    </row>
    <row r="19" spans="2:14" x14ac:dyDescent="0.15">
      <c r="B19" s="54" t="s">
        <v>4515</v>
      </c>
      <c r="C19" s="41"/>
      <c r="D19" s="41">
        <v>155108</v>
      </c>
      <c r="J19" s="219">
        <v>1983</v>
      </c>
      <c r="L19" s="219">
        <f t="shared" si="1"/>
        <v>40</v>
      </c>
      <c r="M19" s="256" t="s">
        <v>7524</v>
      </c>
      <c r="N19" s="250" t="s">
        <v>7424</v>
      </c>
    </row>
    <row r="20" spans="2:14" x14ac:dyDescent="0.15">
      <c r="B20" s="222" t="s">
        <v>7231</v>
      </c>
      <c r="C20" s="41"/>
      <c r="D20" s="41">
        <v>147441</v>
      </c>
      <c r="M20" s="256" t="s">
        <v>7524</v>
      </c>
      <c r="N20" s="250" t="s">
        <v>7424</v>
      </c>
    </row>
    <row r="21" spans="2:14" x14ac:dyDescent="0.15">
      <c r="B21" s="54" t="s">
        <v>4541</v>
      </c>
      <c r="C21" s="41"/>
      <c r="D21" s="41">
        <v>132955</v>
      </c>
      <c r="J21" s="219">
        <v>1936</v>
      </c>
      <c r="L21" s="219">
        <f t="shared" si="1"/>
        <v>87</v>
      </c>
      <c r="M21" s="256" t="s">
        <v>7524</v>
      </c>
      <c r="N21" s="250" t="s">
        <v>7424</v>
      </c>
    </row>
    <row r="22" spans="2:14" x14ac:dyDescent="0.15">
      <c r="B22" s="222" t="s">
        <v>7224</v>
      </c>
      <c r="C22" s="41"/>
      <c r="D22" s="41">
        <v>129917</v>
      </c>
      <c r="M22" s="256" t="s">
        <v>7524</v>
      </c>
      <c r="N22" s="250" t="s">
        <v>7425</v>
      </c>
    </row>
    <row r="23" spans="2:14" x14ac:dyDescent="0.15">
      <c r="B23" s="54" t="s">
        <v>4511</v>
      </c>
      <c r="C23" s="54" t="s">
        <v>4512</v>
      </c>
      <c r="D23" s="41">
        <v>119862</v>
      </c>
      <c r="J23" s="219">
        <v>1977</v>
      </c>
      <c r="L23" s="219">
        <f t="shared" si="1"/>
        <v>46</v>
      </c>
      <c r="M23" s="256" t="s">
        <v>7524</v>
      </c>
      <c r="N23" s="250" t="s">
        <v>7424</v>
      </c>
    </row>
    <row r="24" spans="2:14" x14ac:dyDescent="0.15">
      <c r="B24" s="41" t="s">
        <v>3667</v>
      </c>
      <c r="C24" s="41" t="s">
        <v>4136</v>
      </c>
      <c r="D24" s="41">
        <v>117540</v>
      </c>
      <c r="F24" s="256" t="s">
        <v>936</v>
      </c>
      <c r="J24" s="219">
        <v>1976</v>
      </c>
      <c r="L24" s="219">
        <f t="shared" si="1"/>
        <v>47</v>
      </c>
      <c r="M24" s="256" t="s">
        <v>7524</v>
      </c>
      <c r="N24" s="250" t="s">
        <v>7424</v>
      </c>
    </row>
    <row r="25" spans="2:14" x14ac:dyDescent="0.15">
      <c r="B25" s="54" t="s">
        <v>4524</v>
      </c>
      <c r="C25" s="191" t="s">
        <v>7143</v>
      </c>
      <c r="D25" s="41">
        <v>107284</v>
      </c>
      <c r="H25" s="216" t="s">
        <v>7146</v>
      </c>
      <c r="I25" s="46">
        <v>55931</v>
      </c>
      <c r="J25" s="219">
        <v>1962</v>
      </c>
      <c r="L25" s="219">
        <f t="shared" si="1"/>
        <v>61</v>
      </c>
      <c r="M25" s="256" t="s">
        <v>7524</v>
      </c>
      <c r="N25" s="250" t="s">
        <v>7424</v>
      </c>
    </row>
    <row r="26" spans="2:14" x14ac:dyDescent="0.15">
      <c r="B26" s="41" t="s">
        <v>4126</v>
      </c>
      <c r="C26" s="41" t="s">
        <v>4125</v>
      </c>
      <c r="D26" s="41">
        <v>103571</v>
      </c>
      <c r="M26" s="256" t="s">
        <v>7524</v>
      </c>
      <c r="N26" s="250" t="s">
        <v>7425</v>
      </c>
    </row>
    <row r="27" spans="2:14" x14ac:dyDescent="0.15">
      <c r="B27" s="41" t="s">
        <v>4145</v>
      </c>
      <c r="C27" s="41" t="s">
        <v>4144</v>
      </c>
      <c r="D27" s="41">
        <v>98374</v>
      </c>
      <c r="M27" s="250" t="s">
        <v>7421</v>
      </c>
      <c r="N27" s="250" t="s">
        <v>7425</v>
      </c>
    </row>
    <row r="28" spans="2:14" x14ac:dyDescent="0.15">
      <c r="B28" s="222" t="s">
        <v>7229</v>
      </c>
      <c r="C28" s="41"/>
      <c r="D28" s="41">
        <v>95181</v>
      </c>
      <c r="N28" s="250" t="s">
        <v>7425</v>
      </c>
    </row>
    <row r="29" spans="2:14" x14ac:dyDescent="0.15">
      <c r="B29" s="222" t="s">
        <v>7228</v>
      </c>
      <c r="C29" s="41"/>
      <c r="D29" s="41">
        <v>86363</v>
      </c>
      <c r="M29" s="256" t="s">
        <v>7524</v>
      </c>
      <c r="N29" s="250" t="s">
        <v>7424</v>
      </c>
    </row>
    <row r="30" spans="2:14" x14ac:dyDescent="0.15">
      <c r="B30" s="191" t="s">
        <v>5416</v>
      </c>
      <c r="C30" s="216" t="s">
        <v>3869</v>
      </c>
      <c r="D30" s="41">
        <f>674+1377+76608+1550+319+389+424+218+386</f>
        <v>81945</v>
      </c>
      <c r="M30" s="256" t="s">
        <v>7524</v>
      </c>
      <c r="N30" s="250" t="s">
        <v>7424</v>
      </c>
    </row>
    <row r="31" spans="2:14" x14ac:dyDescent="0.15">
      <c r="B31" s="222" t="s">
        <v>7245</v>
      </c>
      <c r="C31" s="216"/>
      <c r="D31" s="41">
        <v>81847</v>
      </c>
      <c r="M31" s="256" t="s">
        <v>7524</v>
      </c>
      <c r="N31" s="250" t="s">
        <v>7424</v>
      </c>
    </row>
    <row r="32" spans="2:14" x14ac:dyDescent="0.15">
      <c r="B32" s="222" t="s">
        <v>7236</v>
      </c>
      <c r="C32" s="216"/>
      <c r="D32" s="41">
        <v>75058</v>
      </c>
      <c r="N32" s="250" t="s">
        <v>7425</v>
      </c>
    </row>
    <row r="33" spans="2:14" x14ac:dyDescent="0.15">
      <c r="B33" s="54" t="s">
        <v>4525</v>
      </c>
      <c r="C33" s="191" t="s">
        <v>7144</v>
      </c>
      <c r="D33" s="41">
        <v>73827</v>
      </c>
      <c r="H33" s="216" t="s">
        <v>7146</v>
      </c>
      <c r="I33" s="46">
        <v>55931</v>
      </c>
      <c r="J33" s="219">
        <v>1956</v>
      </c>
      <c r="L33" s="219">
        <f>2023-J33</f>
        <v>67</v>
      </c>
      <c r="M33" s="256" t="s">
        <v>7524</v>
      </c>
      <c r="N33" s="250" t="s">
        <v>7424</v>
      </c>
    </row>
    <row r="34" spans="2:14" x14ac:dyDescent="0.15">
      <c r="B34" s="222" t="s">
        <v>7227</v>
      </c>
      <c r="C34" s="191"/>
      <c r="D34" s="41">
        <v>73782</v>
      </c>
      <c r="H34" s="216"/>
      <c r="M34" s="256" t="s">
        <v>7524</v>
      </c>
      <c r="N34" s="250" t="s">
        <v>7424</v>
      </c>
    </row>
    <row r="35" spans="2:14" x14ac:dyDescent="0.15">
      <c r="B35" s="54" t="s">
        <v>4647</v>
      </c>
      <c r="C35" s="54" t="s">
        <v>4648</v>
      </c>
      <c r="D35" s="46">
        <v>72983</v>
      </c>
      <c r="G35" s="25" t="s">
        <v>4649</v>
      </c>
      <c r="H35" s="25" t="s">
        <v>4681</v>
      </c>
      <c r="M35" s="256" t="s">
        <v>7524</v>
      </c>
      <c r="N35" s="250" t="s">
        <v>7424</v>
      </c>
    </row>
    <row r="36" spans="2:14" x14ac:dyDescent="0.15">
      <c r="B36" s="222" t="s">
        <v>7238</v>
      </c>
      <c r="C36" s="54"/>
      <c r="D36" s="46">
        <v>72503</v>
      </c>
      <c r="G36" s="25"/>
      <c r="H36" s="25"/>
      <c r="M36" s="256" t="s">
        <v>7524</v>
      </c>
      <c r="N36" s="250" t="s">
        <v>7424</v>
      </c>
    </row>
    <row r="37" spans="2:14" x14ac:dyDescent="0.15">
      <c r="B37" s="222" t="s">
        <v>7230</v>
      </c>
      <c r="C37" s="54"/>
      <c r="D37" s="46">
        <v>71761</v>
      </c>
      <c r="G37" s="25"/>
      <c r="H37" s="25"/>
      <c r="M37" s="256" t="s">
        <v>7524</v>
      </c>
      <c r="N37" s="250" t="s">
        <v>7424</v>
      </c>
    </row>
    <row r="38" spans="2:14" x14ac:dyDescent="0.15">
      <c r="B38" s="222" t="s">
        <v>7247</v>
      </c>
      <c r="C38" s="54"/>
      <c r="D38" s="46">
        <v>71469</v>
      </c>
      <c r="G38" s="25"/>
      <c r="H38" s="25"/>
      <c r="M38" s="256" t="s">
        <v>7524</v>
      </c>
      <c r="N38" s="250" t="s">
        <v>7424</v>
      </c>
    </row>
    <row r="39" spans="2:14" x14ac:dyDescent="0.15">
      <c r="B39" s="222" t="s">
        <v>7237</v>
      </c>
      <c r="C39" s="54"/>
      <c r="D39" s="46">
        <v>66608</v>
      </c>
      <c r="G39" s="25"/>
      <c r="H39" s="25"/>
      <c r="M39" s="256" t="s">
        <v>7524</v>
      </c>
      <c r="N39" s="250" t="s">
        <v>7424</v>
      </c>
    </row>
    <row r="40" spans="2:14" x14ac:dyDescent="0.15">
      <c r="B40" s="222" t="s">
        <v>7225</v>
      </c>
      <c r="C40" s="54"/>
      <c r="D40" s="46">
        <v>62262</v>
      </c>
      <c r="G40" s="25"/>
      <c r="H40" s="25"/>
      <c r="M40" s="256" t="s">
        <v>7524</v>
      </c>
      <c r="N40" s="250" t="s">
        <v>7424</v>
      </c>
    </row>
    <row r="41" spans="2:14" x14ac:dyDescent="0.15">
      <c r="B41" s="222" t="s">
        <v>7226</v>
      </c>
      <c r="C41" s="54"/>
      <c r="D41" s="46">
        <v>61790</v>
      </c>
      <c r="G41" s="25"/>
      <c r="H41" s="25"/>
      <c r="M41" s="256" t="s">
        <v>7524</v>
      </c>
      <c r="N41" s="250" t="s">
        <v>7424</v>
      </c>
    </row>
    <row r="42" spans="2:14" x14ac:dyDescent="0.15">
      <c r="B42" s="222" t="s">
        <v>4508</v>
      </c>
      <c r="C42" s="222" t="s">
        <v>0</v>
      </c>
      <c r="D42" s="41">
        <v>60529</v>
      </c>
      <c r="M42" s="256" t="s">
        <v>7524</v>
      </c>
      <c r="N42" s="250" t="s">
        <v>7424</v>
      </c>
    </row>
    <row r="43" spans="2:14" x14ac:dyDescent="0.15">
      <c r="B43" s="54" t="s">
        <v>4513</v>
      </c>
      <c r="C43" s="54" t="s">
        <v>4514</v>
      </c>
      <c r="D43" s="41">
        <v>58730</v>
      </c>
      <c r="M43" s="256" t="s">
        <v>7524</v>
      </c>
      <c r="N43" s="46">
        <f>COUNTIF(N3:N42,"Asian")</f>
        <v>10</v>
      </c>
    </row>
    <row r="44" spans="2:14" x14ac:dyDescent="0.15">
      <c r="B44" s="222" t="s">
        <v>7242</v>
      </c>
      <c r="C44" s="54"/>
      <c r="D44" s="41">
        <v>51501</v>
      </c>
    </row>
    <row r="45" spans="2:14" x14ac:dyDescent="0.15">
      <c r="B45" s="98" t="s">
        <v>5356</v>
      </c>
      <c r="C45" s="98" t="s">
        <v>5355</v>
      </c>
      <c r="D45" s="41">
        <f>9980+34759+5187+868</f>
        <v>50794</v>
      </c>
      <c r="M45" s="256" t="s">
        <v>7524</v>
      </c>
    </row>
    <row r="46" spans="2:14" x14ac:dyDescent="0.15">
      <c r="B46" s="222" t="s">
        <v>7234</v>
      </c>
      <c r="C46" s="98"/>
      <c r="D46" s="41">
        <v>48747</v>
      </c>
    </row>
    <row r="47" spans="2:14" x14ac:dyDescent="0.15">
      <c r="B47" s="222" t="s">
        <v>7232</v>
      </c>
      <c r="C47" s="98"/>
      <c r="D47" s="41">
        <v>47203</v>
      </c>
      <c r="M47" s="256" t="s">
        <v>7524</v>
      </c>
    </row>
    <row r="48" spans="2:14" x14ac:dyDescent="0.15">
      <c r="B48" s="222" t="s">
        <v>7243</v>
      </c>
      <c r="C48" s="98"/>
      <c r="D48" s="41">
        <v>47115</v>
      </c>
    </row>
    <row r="49" spans="2:13" x14ac:dyDescent="0.15">
      <c r="B49" s="222" t="s">
        <v>7241</v>
      </c>
      <c r="C49" s="98"/>
      <c r="D49" s="41">
        <v>45997</v>
      </c>
      <c r="M49" s="256" t="s">
        <v>7524</v>
      </c>
    </row>
    <row r="50" spans="2:13" x14ac:dyDescent="0.15">
      <c r="B50" s="54" t="s">
        <v>4538</v>
      </c>
      <c r="C50" s="41"/>
      <c r="D50" s="41">
        <v>42720</v>
      </c>
      <c r="M50" s="256" t="s">
        <v>7524</v>
      </c>
    </row>
    <row r="51" spans="2:13" x14ac:dyDescent="0.15">
      <c r="B51" s="222" t="s">
        <v>7239</v>
      </c>
      <c r="C51" s="41"/>
      <c r="D51" s="41">
        <v>39933</v>
      </c>
    </row>
    <row r="52" spans="2:13" x14ac:dyDescent="0.15">
      <c r="B52" s="265" t="s">
        <v>5015</v>
      </c>
      <c r="C52" s="41"/>
      <c r="D52" s="41">
        <v>34494</v>
      </c>
      <c r="F52" s="256" t="s">
        <v>3869</v>
      </c>
      <c r="H52" s="256" t="s">
        <v>5244</v>
      </c>
      <c r="I52" s="46">
        <v>7059</v>
      </c>
    </row>
    <row r="53" spans="2:13" x14ac:dyDescent="0.15">
      <c r="B53" s="98" t="s">
        <v>5354</v>
      </c>
      <c r="C53" s="98" t="s">
        <v>5355</v>
      </c>
      <c r="D53" s="41">
        <v>31800</v>
      </c>
      <c r="M53" s="256" t="s">
        <v>7524</v>
      </c>
    </row>
    <row r="54" spans="2:13" x14ac:dyDescent="0.15">
      <c r="B54" s="222" t="s">
        <v>7235</v>
      </c>
      <c r="C54" s="98"/>
      <c r="D54" s="41">
        <v>31622</v>
      </c>
      <c r="M54" s="256" t="s">
        <v>7524</v>
      </c>
    </row>
    <row r="55" spans="2:13" x14ac:dyDescent="0.15">
      <c r="B55" s="222" t="s">
        <v>7217</v>
      </c>
      <c r="C55" s="191"/>
      <c r="D55" s="41">
        <v>26925</v>
      </c>
    </row>
    <row r="56" spans="2:13" x14ac:dyDescent="0.15">
      <c r="B56" s="222" t="s">
        <v>7219</v>
      </c>
      <c r="C56" s="191"/>
      <c r="D56" s="41">
        <v>26850</v>
      </c>
    </row>
    <row r="57" spans="2:13" x14ac:dyDescent="0.15">
      <c r="B57" s="54" t="s">
        <v>4543</v>
      </c>
      <c r="C57" s="98" t="s">
        <v>5977</v>
      </c>
      <c r="D57" s="41">
        <v>26207</v>
      </c>
    </row>
    <row r="58" spans="2:13" x14ac:dyDescent="0.15">
      <c r="B58" s="222" t="s">
        <v>4762</v>
      </c>
      <c r="C58" s="98"/>
      <c r="D58" s="41">
        <v>20087</v>
      </c>
    </row>
    <row r="59" spans="2:13" x14ac:dyDescent="0.15">
      <c r="B59" s="54" t="s">
        <v>4521</v>
      </c>
      <c r="C59" s="191" t="s">
        <v>4140</v>
      </c>
      <c r="D59" s="41">
        <v>16620</v>
      </c>
      <c r="J59" s="219">
        <v>1976</v>
      </c>
      <c r="L59" s="219">
        <v>47</v>
      </c>
    </row>
    <row r="60" spans="2:13" x14ac:dyDescent="0.15">
      <c r="B60" s="222" t="s">
        <v>7248</v>
      </c>
      <c r="C60" s="191"/>
      <c r="D60" s="41">
        <v>16054</v>
      </c>
    </row>
    <row r="61" spans="2:13" x14ac:dyDescent="0.15">
      <c r="B61" s="41" t="s">
        <v>4305</v>
      </c>
      <c r="C61" s="41" t="s">
        <v>4306</v>
      </c>
      <c r="D61" s="41">
        <v>14426</v>
      </c>
      <c r="J61" s="219">
        <v>1984</v>
      </c>
      <c r="L61" s="219">
        <v>39</v>
      </c>
    </row>
    <row r="62" spans="2:13" x14ac:dyDescent="0.15">
      <c r="B62" s="222" t="s">
        <v>7205</v>
      </c>
      <c r="C62" s="98"/>
      <c r="D62" s="41">
        <f>4400+1269+1103+6196</f>
        <v>12968</v>
      </c>
    </row>
    <row r="63" spans="2:13" x14ac:dyDescent="0.15">
      <c r="B63" s="222" t="s">
        <v>7220</v>
      </c>
      <c r="C63" s="222" t="s">
        <v>7221</v>
      </c>
      <c r="D63" s="222">
        <v>11601</v>
      </c>
    </row>
    <row r="64" spans="2:13" x14ac:dyDescent="0.15">
      <c r="B64" s="222" t="s">
        <v>4533</v>
      </c>
      <c r="C64" s="98"/>
      <c r="D64" s="41">
        <f>5861+1341+425</f>
        <v>7627</v>
      </c>
    </row>
    <row r="65" spans="1:12" x14ac:dyDescent="0.15">
      <c r="B65" s="55" t="s">
        <v>4520</v>
      </c>
      <c r="C65" s="238" t="s">
        <v>7397</v>
      </c>
      <c r="D65" s="46">
        <v>9864</v>
      </c>
      <c r="J65" s="219">
        <v>1959</v>
      </c>
      <c r="L65" s="219">
        <v>64</v>
      </c>
    </row>
    <row r="66" spans="1:12" x14ac:dyDescent="0.15">
      <c r="B66" s="223" t="s">
        <v>7244</v>
      </c>
      <c r="D66" s="46">
        <v>9509</v>
      </c>
    </row>
    <row r="67" spans="1:12" x14ac:dyDescent="0.15">
      <c r="B67" s="41" t="s">
        <v>3662</v>
      </c>
      <c r="C67" s="41" t="s">
        <v>4161</v>
      </c>
      <c r="D67" s="41">
        <v>9350</v>
      </c>
    </row>
    <row r="68" spans="1:12" x14ac:dyDescent="0.15">
      <c r="B68" s="222" t="s">
        <v>7249</v>
      </c>
      <c r="C68" s="41"/>
      <c r="D68" s="41">
        <v>8963</v>
      </c>
    </row>
    <row r="69" spans="1:12" x14ac:dyDescent="0.15">
      <c r="B69" s="44" t="s">
        <v>4539</v>
      </c>
      <c r="C69" s="44" t="s">
        <v>5706</v>
      </c>
      <c r="D69" s="44">
        <f>333+1326+1429+1757+501+653+935+512</f>
        <v>7446</v>
      </c>
    </row>
    <row r="70" spans="1:12" x14ac:dyDescent="0.15">
      <c r="B70" s="222" t="s">
        <v>7222</v>
      </c>
      <c r="C70" s="98"/>
      <c r="D70" s="98">
        <v>5786</v>
      </c>
    </row>
    <row r="71" spans="1:12" x14ac:dyDescent="0.15">
      <c r="B71" s="222" t="s">
        <v>7218</v>
      </c>
      <c r="C71" s="98"/>
      <c r="D71" s="41">
        <v>5373</v>
      </c>
    </row>
    <row r="72" spans="1:12" x14ac:dyDescent="0.15">
      <c r="B72" s="222" t="s">
        <v>7233</v>
      </c>
      <c r="C72" s="98"/>
      <c r="D72" s="41">
        <v>5085</v>
      </c>
    </row>
    <row r="73" spans="1:12" x14ac:dyDescent="0.15">
      <c r="B73" s="54" t="s">
        <v>4542</v>
      </c>
      <c r="C73" s="191" t="s">
        <v>7110</v>
      </c>
      <c r="D73" s="41">
        <v>3028</v>
      </c>
    </row>
    <row r="74" spans="1:12" x14ac:dyDescent="0.15">
      <c r="B74" s="54" t="s">
        <v>4523</v>
      </c>
      <c r="C74" s="41"/>
      <c r="D74" s="41">
        <v>1823</v>
      </c>
    </row>
    <row r="75" spans="1:12" x14ac:dyDescent="0.15">
      <c r="B75" s="41" t="s">
        <v>4189</v>
      </c>
      <c r="C75" s="41" t="s">
        <v>4188</v>
      </c>
      <c r="D75" s="41">
        <v>1177</v>
      </c>
    </row>
    <row r="76" spans="1:12" x14ac:dyDescent="0.15">
      <c r="B76" s="41" t="s">
        <v>4151</v>
      </c>
      <c r="C76" s="41" t="s">
        <v>4148</v>
      </c>
      <c r="D76" s="41">
        <v>306</v>
      </c>
    </row>
    <row r="77" spans="1:12" x14ac:dyDescent="0.15">
      <c r="B77" s="41" t="s">
        <v>4185</v>
      </c>
      <c r="C77" s="41" t="s">
        <v>4184</v>
      </c>
      <c r="D77" s="41">
        <f>8+6+1+3</f>
        <v>18</v>
      </c>
      <c r="J77" s="219">
        <v>1977</v>
      </c>
      <c r="K77" s="225" t="s">
        <v>7215</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7414</v>
      </c>
      <c r="C80" s="41"/>
      <c r="D80" s="41"/>
    </row>
    <row r="81" spans="2:12" x14ac:dyDescent="0.15">
      <c r="B81" s="191" t="s">
        <v>4473</v>
      </c>
      <c r="C81" s="41"/>
      <c r="D81" s="41"/>
    </row>
    <row r="82" spans="2:12" x14ac:dyDescent="0.15">
      <c r="B82" s="222" t="s">
        <v>7214</v>
      </c>
      <c r="C82" s="222" t="s">
        <v>7216</v>
      </c>
      <c r="D82" s="41"/>
      <c r="J82" s="219">
        <v>1946</v>
      </c>
      <c r="K82" s="225" t="s">
        <v>7215</v>
      </c>
      <c r="L82" s="219">
        <f>2023-J82</f>
        <v>77</v>
      </c>
    </row>
    <row r="83" spans="2:12" x14ac:dyDescent="0.15">
      <c r="B83" s="222" t="s">
        <v>7415</v>
      </c>
      <c r="C83" s="222" t="s">
        <v>7416</v>
      </c>
      <c r="D83" s="41"/>
      <c r="K83" s="225"/>
    </row>
    <row r="84" spans="2:12" x14ac:dyDescent="0.15">
      <c r="B84" s="41" t="s">
        <v>4183</v>
      </c>
      <c r="C84" s="41" t="s">
        <v>4182</v>
      </c>
      <c r="D84" s="41"/>
    </row>
    <row r="85" spans="2:12" x14ac:dyDescent="0.15">
      <c r="B85" s="41" t="s">
        <v>4177</v>
      </c>
      <c r="C85" s="41" t="s">
        <v>4176</v>
      </c>
      <c r="D85" s="41"/>
    </row>
    <row r="86" spans="2:12" x14ac:dyDescent="0.15">
      <c r="B86" s="222" t="s">
        <v>7203</v>
      </c>
      <c r="C86" s="222" t="s">
        <v>7206</v>
      </c>
      <c r="D86" s="41"/>
    </row>
    <row r="87" spans="2:12" x14ac:dyDescent="0.15">
      <c r="B87" s="41" t="s">
        <v>4174</v>
      </c>
      <c r="C87" s="41" t="s">
        <v>4173</v>
      </c>
      <c r="D87" s="41"/>
    </row>
    <row r="88" spans="2:12" x14ac:dyDescent="0.15">
      <c r="B88" s="41" t="s">
        <v>4169</v>
      </c>
      <c r="C88" s="41" t="s">
        <v>4168</v>
      </c>
      <c r="D88" s="41"/>
    </row>
    <row r="89" spans="2:12" x14ac:dyDescent="0.15">
      <c r="B89" s="54" t="s">
        <v>4537</v>
      </c>
      <c r="C89" s="41"/>
      <c r="D89" s="41"/>
    </row>
    <row r="90" spans="2:12" x14ac:dyDescent="0.15">
      <c r="B90" s="54" t="s">
        <v>7417</v>
      </c>
      <c r="C90" s="41" t="s">
        <v>7416</v>
      </c>
      <c r="D90" s="41"/>
    </row>
    <row r="91" spans="2:12" x14ac:dyDescent="0.15">
      <c r="B91" s="54" t="s">
        <v>4519</v>
      </c>
      <c r="C91" s="41"/>
      <c r="D91" s="42"/>
      <c r="J91" s="219">
        <v>1948</v>
      </c>
      <c r="L91" s="219">
        <f t="shared" ref="L91:L92" si="2">2023-J91</f>
        <v>75</v>
      </c>
    </row>
    <row r="92" spans="2:12" x14ac:dyDescent="0.15">
      <c r="B92" s="54" t="s">
        <v>4530</v>
      </c>
      <c r="C92" s="54" t="s">
        <v>4540</v>
      </c>
      <c r="D92" s="41"/>
      <c r="J92" s="219">
        <v>1971</v>
      </c>
      <c r="L92" s="219">
        <f t="shared" si="2"/>
        <v>52</v>
      </c>
    </row>
    <row r="93" spans="2:12" x14ac:dyDescent="0.15">
      <c r="B93" s="41" t="s">
        <v>4149</v>
      </c>
      <c r="C93" s="41" t="s">
        <v>4148</v>
      </c>
      <c r="D93" s="41"/>
    </row>
    <row r="94" spans="2:12" x14ac:dyDescent="0.15">
      <c r="B94" s="54" t="s">
        <v>4526</v>
      </c>
      <c r="C94" s="41"/>
      <c r="D94" s="41"/>
    </row>
    <row r="95" spans="2:12" x14ac:dyDescent="0.15">
      <c r="B95" s="54" t="s">
        <v>7412</v>
      </c>
      <c r="C95" s="41" t="s">
        <v>7413</v>
      </c>
      <c r="D95" s="41"/>
    </row>
    <row r="96" spans="2:12" x14ac:dyDescent="0.15">
      <c r="B96" s="191" t="s">
        <v>4142</v>
      </c>
      <c r="C96" s="41" t="s">
        <v>4141</v>
      </c>
      <c r="D96" s="41"/>
    </row>
    <row r="97" spans="1:12" x14ac:dyDescent="0.15">
      <c r="B97" s="191" t="s">
        <v>7151</v>
      </c>
      <c r="C97" s="41"/>
      <c r="D97" s="41"/>
      <c r="J97" s="219">
        <v>1966</v>
      </c>
      <c r="K97" s="219">
        <v>1972</v>
      </c>
      <c r="L97" s="219">
        <f>2023-J97</f>
        <v>57</v>
      </c>
    </row>
    <row r="98" spans="1:12" x14ac:dyDescent="0.15">
      <c r="B98" s="223" t="s">
        <v>7269</v>
      </c>
    </row>
    <row r="102" spans="1:12" x14ac:dyDescent="0.15">
      <c r="B102" s="151" t="s">
        <v>7204</v>
      </c>
    </row>
    <row r="103" spans="1:12" x14ac:dyDescent="0.15">
      <c r="A103" s="25"/>
      <c r="B103" s="216" t="s">
        <v>7147</v>
      </c>
      <c r="C103" s="216" t="s">
        <v>7398</v>
      </c>
      <c r="D103" s="216">
        <f>8115+72</f>
        <v>8187</v>
      </c>
      <c r="E103" s="216"/>
      <c r="F103" s="216"/>
      <c r="G103" s="216"/>
      <c r="J103" s="219">
        <v>1702</v>
      </c>
      <c r="K103" s="219">
        <v>1761</v>
      </c>
      <c r="L103" s="219">
        <f t="shared" ref="L103:L116" si="3">2023-J103</f>
        <v>321</v>
      </c>
    </row>
    <row r="104" spans="1:12" x14ac:dyDescent="0.15">
      <c r="A104" s="25"/>
      <c r="B104" s="216" t="s">
        <v>7408</v>
      </c>
      <c r="C104" s="216"/>
      <c r="D104" s="216"/>
      <c r="E104" s="216"/>
      <c r="F104" s="216"/>
      <c r="G104" s="216"/>
      <c r="J104" s="219">
        <v>1815</v>
      </c>
      <c r="K104" s="219">
        <v>1864</v>
      </c>
      <c r="L104" s="219">
        <v>208</v>
      </c>
    </row>
    <row r="105" spans="1:12" x14ac:dyDescent="0.15">
      <c r="B105" s="191" t="s">
        <v>7184</v>
      </c>
      <c r="C105" s="191" t="s">
        <v>7185</v>
      </c>
      <c r="D105" s="41"/>
      <c r="J105" s="219">
        <v>1596</v>
      </c>
      <c r="K105" s="219">
        <v>1650</v>
      </c>
      <c r="L105" s="219">
        <f t="shared" si="3"/>
        <v>427</v>
      </c>
    </row>
    <row r="106" spans="1:12" x14ac:dyDescent="0.15">
      <c r="B106" s="191" t="s">
        <v>7409</v>
      </c>
      <c r="C106" s="191" t="s">
        <v>7410</v>
      </c>
      <c r="D106" s="41"/>
      <c r="J106" s="219">
        <v>1848</v>
      </c>
      <c r="K106" s="219">
        <v>1925</v>
      </c>
      <c r="L106" s="219">
        <v>175</v>
      </c>
    </row>
    <row r="107" spans="1:12" x14ac:dyDescent="0.15">
      <c r="B107" s="191" t="s">
        <v>7399</v>
      </c>
      <c r="C107" s="191" t="s">
        <v>7400</v>
      </c>
      <c r="D107" s="41"/>
    </row>
    <row r="108" spans="1:12" x14ac:dyDescent="0.15">
      <c r="B108" s="191" t="s">
        <v>7313</v>
      </c>
      <c r="C108" s="191"/>
      <c r="D108" s="41"/>
      <c r="J108" s="219">
        <v>1906</v>
      </c>
      <c r="K108" s="219">
        <v>1978</v>
      </c>
      <c r="L108" s="219">
        <v>117</v>
      </c>
    </row>
    <row r="109" spans="1:12" x14ac:dyDescent="0.15">
      <c r="B109" s="191" t="s">
        <v>7401</v>
      </c>
      <c r="C109" s="191" t="s">
        <v>7402</v>
      </c>
      <c r="D109" s="41"/>
    </row>
    <row r="110" spans="1:12" x14ac:dyDescent="0.15">
      <c r="B110" s="191" t="s">
        <v>7062</v>
      </c>
      <c r="C110" s="191" t="s">
        <v>7063</v>
      </c>
      <c r="D110" s="41">
        <v>39379</v>
      </c>
    </row>
    <row r="111" spans="1:12" x14ac:dyDescent="0.15">
      <c r="B111" s="191" t="s">
        <v>7176</v>
      </c>
      <c r="C111" s="191" t="s">
        <v>7183</v>
      </c>
      <c r="D111" s="41"/>
      <c r="J111" s="219">
        <v>1588</v>
      </c>
      <c r="K111" s="219">
        <v>1679</v>
      </c>
      <c r="L111" s="219">
        <f t="shared" si="3"/>
        <v>435</v>
      </c>
    </row>
    <row r="112" spans="1:12" x14ac:dyDescent="0.15">
      <c r="B112" s="191" t="s">
        <v>7181</v>
      </c>
      <c r="C112" s="191" t="s">
        <v>7182</v>
      </c>
      <c r="D112" s="42"/>
      <c r="J112" s="219">
        <v>1646</v>
      </c>
      <c r="K112" s="219">
        <v>1716</v>
      </c>
      <c r="L112" s="219">
        <f t="shared" si="3"/>
        <v>377</v>
      </c>
    </row>
    <row r="113" spans="2:12" x14ac:dyDescent="0.15">
      <c r="B113" s="41" t="s">
        <v>4159</v>
      </c>
      <c r="C113" s="41" t="s">
        <v>4158</v>
      </c>
      <c r="D113" s="41"/>
      <c r="J113" s="219">
        <v>1856</v>
      </c>
      <c r="K113" s="219">
        <v>1922</v>
      </c>
      <c r="L113" s="219">
        <f t="shared" si="3"/>
        <v>167</v>
      </c>
    </row>
    <row r="114" spans="2:12" x14ac:dyDescent="0.15">
      <c r="B114" s="41" t="s">
        <v>4155</v>
      </c>
      <c r="C114" s="191" t="s">
        <v>7091</v>
      </c>
      <c r="D114" s="41"/>
      <c r="J114" s="219">
        <v>1927</v>
      </c>
      <c r="K114" s="219">
        <v>2011</v>
      </c>
      <c r="L114" s="219">
        <f t="shared" si="3"/>
        <v>96</v>
      </c>
    </row>
    <row r="115" spans="2:12" x14ac:dyDescent="0.15">
      <c r="B115" s="41" t="s">
        <v>7405</v>
      </c>
      <c r="C115" s="191" t="s">
        <v>7406</v>
      </c>
      <c r="D115" s="41"/>
    </row>
    <row r="116" spans="2:12" x14ac:dyDescent="0.15">
      <c r="B116" s="54" t="s">
        <v>4522</v>
      </c>
      <c r="C116" s="191" t="s">
        <v>7093</v>
      </c>
      <c r="D116" s="41">
        <v>10460</v>
      </c>
      <c r="J116" s="219">
        <v>1927</v>
      </c>
      <c r="K116" s="219">
        <v>2016</v>
      </c>
      <c r="L116" s="219">
        <f t="shared" si="3"/>
        <v>96</v>
      </c>
    </row>
    <row r="117" spans="2:12" x14ac:dyDescent="0.15">
      <c r="B117" s="191" t="s">
        <v>7172</v>
      </c>
      <c r="C117" s="191" t="s">
        <v>7173</v>
      </c>
      <c r="D117" s="41">
        <v>30483</v>
      </c>
      <c r="J117" s="219">
        <v>1927</v>
      </c>
      <c r="K117" s="219">
        <v>1992</v>
      </c>
      <c r="L117" s="219">
        <f>2023-J117</f>
        <v>96</v>
      </c>
    </row>
    <row r="118" spans="2:12" x14ac:dyDescent="0.15">
      <c r="B118" s="191" t="s">
        <v>7150</v>
      </c>
      <c r="C118" s="191" t="s">
        <v>7153</v>
      </c>
      <c r="D118" s="41">
        <f>2683+9186+1491+8052+14071</f>
        <v>35483</v>
      </c>
      <c r="J118" s="219">
        <v>1933</v>
      </c>
      <c r="K118" s="219">
        <v>2019</v>
      </c>
      <c r="L118" s="219">
        <f>2023-J118</f>
        <v>90</v>
      </c>
    </row>
    <row r="119" spans="2:12" x14ac:dyDescent="0.15">
      <c r="B119" s="191" t="s">
        <v>7064</v>
      </c>
      <c r="C119" s="191" t="s">
        <v>7065</v>
      </c>
      <c r="D119" s="41"/>
    </row>
    <row r="120" spans="2:12" x14ac:dyDescent="0.15">
      <c r="B120" s="98" t="s">
        <v>5360</v>
      </c>
      <c r="C120" s="98" t="s">
        <v>5361</v>
      </c>
      <c r="D120" s="41">
        <v>19640</v>
      </c>
      <c r="J120" s="219">
        <v>1928</v>
      </c>
      <c r="K120" s="219">
        <v>2016</v>
      </c>
      <c r="L120" s="219">
        <v>95</v>
      </c>
    </row>
    <row r="121" spans="2:12" x14ac:dyDescent="0.15">
      <c r="B121" s="191" t="s">
        <v>7179</v>
      </c>
      <c r="C121" s="191" t="s">
        <v>7180</v>
      </c>
      <c r="D121" s="41"/>
      <c r="J121" s="219">
        <v>1623</v>
      </c>
      <c r="K121" s="219">
        <v>1662</v>
      </c>
      <c r="L121" s="219">
        <f>2023-J121</f>
        <v>400</v>
      </c>
    </row>
    <row r="122" spans="2:12" x14ac:dyDescent="0.15">
      <c r="B122" s="191" t="s">
        <v>7407</v>
      </c>
      <c r="C122" s="191" t="s">
        <v>7406</v>
      </c>
      <c r="D122" s="41"/>
    </row>
    <row r="123" spans="2:12" x14ac:dyDescent="0.15">
      <c r="B123" s="191" t="s">
        <v>7094</v>
      </c>
      <c r="C123" s="191" t="s">
        <v>7095</v>
      </c>
      <c r="D123" s="41"/>
    </row>
    <row r="124" spans="2:12" x14ac:dyDescent="0.15">
      <c r="B124" s="191" t="s">
        <v>7152</v>
      </c>
      <c r="C124" s="191" t="s">
        <v>7153</v>
      </c>
      <c r="D124" s="41"/>
      <c r="J124" s="219">
        <v>1917</v>
      </c>
      <c r="K124" s="219">
        <v>2002</v>
      </c>
      <c r="L124" s="219">
        <f>2023-J124</f>
        <v>106</v>
      </c>
    </row>
    <row r="125" spans="2:12" x14ac:dyDescent="0.15">
      <c r="B125" s="98" t="s">
        <v>5351</v>
      </c>
      <c r="C125" s="98" t="s">
        <v>5352</v>
      </c>
      <c r="D125" s="41"/>
    </row>
    <row r="126" spans="2:12" x14ac:dyDescent="0.15">
      <c r="B126" s="98" t="s">
        <v>7403</v>
      </c>
      <c r="C126" s="98" t="s">
        <v>7404</v>
      </c>
      <c r="D126" s="41"/>
    </row>
    <row r="127" spans="2:12" x14ac:dyDescent="0.15">
      <c r="B127" s="41" t="s">
        <v>4138</v>
      </c>
      <c r="C127" s="191" t="s">
        <v>7092</v>
      </c>
      <c r="D127" s="41"/>
      <c r="J127" s="219">
        <v>1916</v>
      </c>
      <c r="K127" s="219">
        <v>2011</v>
      </c>
      <c r="L127" s="219">
        <f>2023-J127</f>
        <v>107</v>
      </c>
    </row>
    <row r="128" spans="2:12" x14ac:dyDescent="0.15">
      <c r="B128" s="191" t="s">
        <v>7174</v>
      </c>
      <c r="C128" s="191" t="s">
        <v>7175</v>
      </c>
      <c r="D128" s="41"/>
    </row>
    <row r="129" spans="2:12" x14ac:dyDescent="0.15">
      <c r="B129" s="191" t="s">
        <v>7171</v>
      </c>
      <c r="C129" s="222" t="s">
        <v>7200</v>
      </c>
      <c r="D129" s="41">
        <v>453078</v>
      </c>
      <c r="E129" s="223" t="s">
        <v>1</v>
      </c>
      <c r="F129" s="223"/>
      <c r="J129" s="219">
        <v>1916</v>
      </c>
      <c r="K129" s="219">
        <v>2001</v>
      </c>
      <c r="L129" s="219">
        <f>2023-J129</f>
        <v>107</v>
      </c>
    </row>
    <row r="130" spans="2:12" x14ac:dyDescent="0.15">
      <c r="B130" s="222" t="s">
        <v>7270</v>
      </c>
      <c r="C130" s="222" t="s">
        <v>7271</v>
      </c>
      <c r="D130" s="41"/>
    </row>
    <row r="131" spans="2:12" x14ac:dyDescent="0.15">
      <c r="B131" s="222" t="s">
        <v>7411</v>
      </c>
      <c r="C131" s="222"/>
      <c r="D131" s="41"/>
      <c r="J131" s="219">
        <v>1902</v>
      </c>
      <c r="K131" s="219">
        <v>1983</v>
      </c>
      <c r="L131" s="219">
        <v>121</v>
      </c>
    </row>
    <row r="132" spans="2:12" x14ac:dyDescent="0.15">
      <c r="B132" s="41" t="s">
        <v>4129</v>
      </c>
      <c r="C132" s="41" t="s">
        <v>4128</v>
      </c>
      <c r="D132" s="41">
        <v>61508</v>
      </c>
      <c r="J132" s="219">
        <v>1912</v>
      </c>
      <c r="K132" s="219">
        <v>1954</v>
      </c>
      <c r="L132" s="219">
        <f>2023-J132</f>
        <v>111</v>
      </c>
    </row>
    <row r="133" spans="2:12" x14ac:dyDescent="0.15">
      <c r="B133" s="191" t="s">
        <v>7177</v>
      </c>
      <c r="C133" s="191" t="s">
        <v>7178</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2023-10-19T05:24:47Z</dcterms:modified>
</cp:coreProperties>
</file>