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6B6ED846-862C-5C47-8BFE-23E2B4C8C0CE}" xr6:coauthVersionLast="47" xr6:coauthVersionMax="47" xr10:uidLastSave="{00000000-0000-0000-0000-000000000000}"/>
  <bookViews>
    <workbookView xWindow="0" yWindow="760" windowWidth="34560" windowHeight="2092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9" i="2" l="1"/>
  <c r="Y19" i="2"/>
  <c r="X19" i="2"/>
  <c r="W19" i="2"/>
  <c r="Z23" i="2"/>
  <c r="Z24" i="2" s="1"/>
  <c r="Z26" i="2" s="1"/>
  <c r="Z28" i="2" s="1"/>
  <c r="Z29" i="2" s="1"/>
  <c r="Y23" i="2"/>
  <c r="X23" i="2"/>
  <c r="X24" i="2" s="1"/>
  <c r="X26" i="2" s="1"/>
  <c r="X28" i="2" s="1"/>
  <c r="X29" i="2" s="1"/>
  <c r="W23" i="2"/>
  <c r="W24" i="2" s="1"/>
  <c r="W26" i="2" s="1"/>
  <c r="W28" i="2" s="1"/>
  <c r="W29" i="2" s="1"/>
  <c r="Z30" i="2"/>
  <c r="Y30" i="2"/>
  <c r="X30" i="2"/>
  <c r="W30" i="2"/>
  <c r="Z32" i="2"/>
  <c r="Y32" i="2"/>
  <c r="X32" i="2"/>
  <c r="W32" i="2"/>
  <c r="Z16" i="2"/>
  <c r="Y16" i="2"/>
  <c r="X16" i="2"/>
  <c r="W16" i="2"/>
  <c r="V87" i="2"/>
  <c r="V89" i="2" s="1"/>
  <c r="V80" i="2"/>
  <c r="V83" i="2" s="1"/>
  <c r="V76" i="2"/>
  <c r="V77" i="2" s="1"/>
  <c r="V93" i="2" s="1"/>
  <c r="V60" i="2"/>
  <c r="V61" i="2"/>
  <c r="V66" i="2" s="1"/>
  <c r="V62" i="2"/>
  <c r="V44" i="2"/>
  <c r="V54" i="2" s="1"/>
  <c r="V96" i="2"/>
  <c r="U87" i="2"/>
  <c r="U89" i="2" s="1"/>
  <c r="U80" i="2"/>
  <c r="U83" i="2" s="1"/>
  <c r="U76" i="2"/>
  <c r="U77" i="2" s="1"/>
  <c r="U93" i="2" s="1"/>
  <c r="U60" i="2"/>
  <c r="U61" i="2"/>
  <c r="U52" i="2"/>
  <c r="U44" i="2"/>
  <c r="U54" i="2" s="1"/>
  <c r="U96" i="2"/>
  <c r="T90" i="2"/>
  <c r="T88" i="2"/>
  <c r="T86" i="2"/>
  <c r="T85" i="2"/>
  <c r="T82" i="2"/>
  <c r="T81" i="2"/>
  <c r="T75" i="2"/>
  <c r="T74" i="2"/>
  <c r="T73" i="2"/>
  <c r="T72" i="2"/>
  <c r="T71" i="2"/>
  <c r="T70" i="2"/>
  <c r="S87" i="2"/>
  <c r="T87" i="2" s="1"/>
  <c r="S80" i="2"/>
  <c r="S83" i="2" s="1"/>
  <c r="S76" i="2"/>
  <c r="S77" i="2" s="1"/>
  <c r="S93" i="2" s="1"/>
  <c r="S61" i="2"/>
  <c r="S60" i="2"/>
  <c r="S44" i="2"/>
  <c r="S43" i="2" s="1"/>
  <c r="S52" i="2"/>
  <c r="S54" i="2" s="1"/>
  <c r="T79" i="2"/>
  <c r="T23" i="2"/>
  <c r="T61" i="2"/>
  <c r="T60" i="2"/>
  <c r="T44" i="2"/>
  <c r="T43" i="2" s="1"/>
  <c r="T52" i="2"/>
  <c r="T96" i="2"/>
  <c r="L4" i="1"/>
  <c r="L7" i="1" s="1"/>
  <c r="S96" i="2"/>
  <c r="P87" i="2"/>
  <c r="P89" i="2" s="1"/>
  <c r="P80" i="2"/>
  <c r="P83" i="2" s="1"/>
  <c r="Y24" i="2" l="1"/>
  <c r="Y26" i="2" s="1"/>
  <c r="Y28" i="2" s="1"/>
  <c r="Y29" i="2" s="1"/>
  <c r="V91" i="2"/>
  <c r="V43" i="2"/>
  <c r="S66" i="2"/>
  <c r="U43" i="2"/>
  <c r="U66" i="2"/>
  <c r="U91" i="2"/>
  <c r="T66" i="2"/>
  <c r="S89" i="2"/>
  <c r="T76" i="2"/>
  <c r="T77" i="2" s="1"/>
  <c r="T80" i="2"/>
  <c r="T83" i="2" s="1"/>
  <c r="T89" i="2"/>
  <c r="S91" i="2"/>
  <c r="T54" i="2"/>
  <c r="P76" i="2"/>
  <c r="P77" i="2" s="1"/>
  <c r="V37" i="2"/>
  <c r="U37" i="2"/>
  <c r="V35" i="2"/>
  <c r="U35" i="2"/>
  <c r="V34" i="2"/>
  <c r="U34" i="2"/>
  <c r="S15" i="2"/>
  <c r="S35" i="2"/>
  <c r="V23" i="2"/>
  <c r="T37" i="2"/>
  <c r="S37" i="2"/>
  <c r="T35" i="2"/>
  <c r="T34" i="2"/>
  <c r="S34" i="2"/>
  <c r="K41" i="2"/>
  <c r="AN17" i="2"/>
  <c r="AN14" i="2"/>
  <c r="AN13" i="2"/>
  <c r="AN12" i="2"/>
  <c r="AN11" i="2"/>
  <c r="AN15" i="2" s="1"/>
  <c r="AN10" i="2"/>
  <c r="AN9" i="2"/>
  <c r="AN8" i="2"/>
  <c r="AN104" i="2"/>
  <c r="AN101" i="2"/>
  <c r="AK23" i="2"/>
  <c r="AJ23" i="2"/>
  <c r="AI23" i="2"/>
  <c r="AH23" i="2"/>
  <c r="AH19" i="2"/>
  <c r="AH38" i="2" s="1"/>
  <c r="AG23" i="2"/>
  <c r="AG19" i="2"/>
  <c r="AG38" i="2" s="1"/>
  <c r="AF23" i="2"/>
  <c r="AF19" i="2"/>
  <c r="AF38" i="2" s="1"/>
  <c r="AH32" i="2"/>
  <c r="AG32" i="2"/>
  <c r="AF32" i="2"/>
  <c r="AE32" i="2"/>
  <c r="R87" i="2"/>
  <c r="R89" i="2" s="1"/>
  <c r="R80" i="2"/>
  <c r="R83" i="2" s="1"/>
  <c r="R76" i="2"/>
  <c r="R77" i="2" s="1"/>
  <c r="R93" i="2" s="1"/>
  <c r="R37" i="2"/>
  <c r="R35" i="2"/>
  <c r="R34" i="2"/>
  <c r="R23" i="2"/>
  <c r="T93" i="2" l="1"/>
  <c r="T91" i="2"/>
  <c r="U23" i="2"/>
  <c r="P93" i="2"/>
  <c r="P91" i="2"/>
  <c r="AN16" i="2"/>
  <c r="S23" i="2"/>
  <c r="AH24" i="2"/>
  <c r="AH26" i="2" s="1"/>
  <c r="AH28" i="2" s="1"/>
  <c r="AF24" i="2"/>
  <c r="AF26" i="2" s="1"/>
  <c r="AG24" i="2"/>
  <c r="AG26" i="2" s="1"/>
  <c r="R91" i="2"/>
  <c r="AH39" i="2" l="1"/>
  <c r="AF28" i="2"/>
  <c r="AF39" i="2"/>
  <c r="AG39" i="2"/>
  <c r="AG28" i="2"/>
  <c r="R61" i="2" l="1"/>
  <c r="R60" i="2"/>
  <c r="R52" i="2"/>
  <c r="R44" i="2"/>
  <c r="K97" i="2"/>
  <c r="R96" i="2"/>
  <c r="Q34" i="2"/>
  <c r="P34" i="2"/>
  <c r="O34" i="2"/>
  <c r="Q96" i="2"/>
  <c r="P96" i="2"/>
  <c r="O96" i="2"/>
  <c r="O87" i="2"/>
  <c r="O89" i="2" s="1"/>
  <c r="O80" i="2"/>
  <c r="O83" i="2" s="1"/>
  <c r="O76" i="2"/>
  <c r="K76" i="2"/>
  <c r="K77" i="2" s="1"/>
  <c r="K93" i="2" s="1"/>
  <c r="O77" i="2"/>
  <c r="O93" i="2" s="1"/>
  <c r="N77" i="2"/>
  <c r="N93" i="2" s="1"/>
  <c r="O61" i="2"/>
  <c r="O60" i="2"/>
  <c r="O66" i="2" s="1"/>
  <c r="O52" i="2"/>
  <c r="O44" i="2"/>
  <c r="O43" i="2" s="1"/>
  <c r="N61" i="2"/>
  <c r="N60" i="2"/>
  <c r="N52" i="2"/>
  <c r="N44" i="2"/>
  <c r="N43" i="2" s="1"/>
  <c r="R15" i="2"/>
  <c r="Q76" i="2"/>
  <c r="Q77" i="2" s="1"/>
  <c r="Q93" i="2" s="1"/>
  <c r="M93" i="2"/>
  <c r="Q61" i="2"/>
  <c r="Q60" i="2"/>
  <c r="Q66" i="2" s="1"/>
  <c r="Q52" i="2"/>
  <c r="Q44" i="2"/>
  <c r="Q43" i="2" s="1"/>
  <c r="G61" i="2"/>
  <c r="G60" i="2"/>
  <c r="G44" i="2"/>
  <c r="G43" i="2" s="1"/>
  <c r="G52" i="2"/>
  <c r="C87" i="2"/>
  <c r="C89" i="2" s="1"/>
  <c r="C80" i="2"/>
  <c r="C83" i="2" s="1"/>
  <c r="C76" i="2"/>
  <c r="C77" i="2" s="1"/>
  <c r="G87" i="2"/>
  <c r="G89" i="2" s="1"/>
  <c r="G80" i="2"/>
  <c r="G83" i="2" s="1"/>
  <c r="G76" i="2"/>
  <c r="G77" i="2" s="1"/>
  <c r="C23" i="2"/>
  <c r="K37" i="2"/>
  <c r="K35" i="2"/>
  <c r="K34" i="2"/>
  <c r="AK37" i="2"/>
  <c r="AJ37" i="2"/>
  <c r="AK34" i="2"/>
  <c r="AJ34" i="2"/>
  <c r="AK15" i="2"/>
  <c r="AK16" i="2" s="1"/>
  <c r="AJ15" i="2"/>
  <c r="AJ16" i="2" s="1"/>
  <c r="AI15" i="2"/>
  <c r="AI16" i="2" s="1"/>
  <c r="AL14" i="2"/>
  <c r="AL34" i="2" s="1"/>
  <c r="AL13" i="2"/>
  <c r="AL35" i="2" s="1"/>
  <c r="AL12" i="2"/>
  <c r="AL11" i="2"/>
  <c r="AL10" i="2"/>
  <c r="AL37" i="2" s="1"/>
  <c r="AL9" i="2"/>
  <c r="AL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M8" i="2"/>
  <c r="AM14" i="2"/>
  <c r="AM11" i="2"/>
  <c r="AM10" i="2"/>
  <c r="AM9" i="2"/>
  <c r="AM12" i="2"/>
  <c r="AK35" i="2"/>
  <c r="AJ35" i="2"/>
  <c r="AM13" i="2"/>
  <c r="AN25" i="2"/>
  <c r="AN30" i="2"/>
  <c r="AO30" i="2" s="1"/>
  <c r="AP30" i="2" s="1"/>
  <c r="AQ30" i="2" s="1"/>
  <c r="AR30" i="2" s="1"/>
  <c r="AS30" i="2" s="1"/>
  <c r="AT30" i="2" s="1"/>
  <c r="AU30" i="2" s="1"/>
  <c r="AV30" i="2" s="1"/>
  <c r="Q35" i="2"/>
  <c r="P61" i="2"/>
  <c r="P60" i="2"/>
  <c r="P52" i="2"/>
  <c r="P44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7" i="2"/>
  <c r="P23" i="2"/>
  <c r="L37" i="2"/>
  <c r="H15" i="2"/>
  <c r="H16" i="2" s="1"/>
  <c r="L15" i="2"/>
  <c r="L16" i="2" s="1"/>
  <c r="M37" i="2"/>
  <c r="I23" i="2"/>
  <c r="H23" i="2"/>
  <c r="G23" i="2"/>
  <c r="I15" i="2"/>
  <c r="I16" i="2" s="1"/>
  <c r="M15" i="2"/>
  <c r="M16" i="2" s="1"/>
  <c r="AM23" i="2"/>
  <c r="AL23" i="2"/>
  <c r="AN2" i="2"/>
  <c r="AO2" i="2" s="1"/>
  <c r="AP2" i="2" s="1"/>
  <c r="AQ2" i="2" s="1"/>
  <c r="AR2" i="2" s="1"/>
  <c r="AS2" i="2" s="1"/>
  <c r="AT2" i="2" s="1"/>
  <c r="AU2" i="2" s="1"/>
  <c r="AV2" i="2" s="1"/>
  <c r="K40" i="2"/>
  <c r="J93" i="2"/>
  <c r="N37" i="2"/>
  <c r="J23" i="2"/>
  <c r="K19" i="2"/>
  <c r="J15" i="2"/>
  <c r="J16" i="2" s="1"/>
  <c r="J41" i="2" s="1"/>
  <c r="O37" i="2"/>
  <c r="O23" i="2"/>
  <c r="N23" i="2"/>
  <c r="M23" i="2"/>
  <c r="L23" i="2"/>
  <c r="K23" i="2"/>
  <c r="O97" i="2" l="1"/>
  <c r="O41" i="2"/>
  <c r="G40" i="2"/>
  <c r="G41" i="2"/>
  <c r="M97" i="2"/>
  <c r="M41" i="2"/>
  <c r="I40" i="2"/>
  <c r="I41" i="2"/>
  <c r="H19" i="2"/>
  <c r="H38" i="2" s="1"/>
  <c r="H41" i="2"/>
  <c r="P97" i="2"/>
  <c r="P41" i="2"/>
  <c r="L97" i="2"/>
  <c r="L41" i="2"/>
  <c r="R54" i="2"/>
  <c r="R43" i="2"/>
  <c r="AJ32" i="2"/>
  <c r="AJ19" i="2"/>
  <c r="AI32" i="2"/>
  <c r="AI19" i="2"/>
  <c r="AK19" i="2"/>
  <c r="AK32" i="2"/>
  <c r="T15" i="2"/>
  <c r="O54" i="2"/>
  <c r="N66" i="2"/>
  <c r="Q54" i="2"/>
  <c r="G97" i="2"/>
  <c r="U15" i="2"/>
  <c r="O91" i="2"/>
  <c r="R16" i="2"/>
  <c r="R36" i="2"/>
  <c r="G66" i="2"/>
  <c r="N54" i="2"/>
  <c r="R66" i="2"/>
  <c r="V15" i="2"/>
  <c r="V36" i="2" s="1"/>
  <c r="G54" i="2"/>
  <c r="G91" i="2"/>
  <c r="C91" i="2"/>
  <c r="AL15" i="2"/>
  <c r="AL16" i="2" s="1"/>
  <c r="AL32" i="2" s="1"/>
  <c r="AM37" i="2"/>
  <c r="AO11" i="2"/>
  <c r="AP11" i="2" s="1"/>
  <c r="G19" i="2"/>
  <c r="G38" i="2" s="1"/>
  <c r="K32" i="2"/>
  <c r="AO12" i="2"/>
  <c r="AP12" i="2" s="1"/>
  <c r="AQ12" i="2" s="1"/>
  <c r="AR12" i="2" s="1"/>
  <c r="AS12" i="2" s="1"/>
  <c r="AT12" i="2" s="1"/>
  <c r="AU12" i="2" s="1"/>
  <c r="AV12" i="2" s="1"/>
  <c r="AM35" i="2"/>
  <c r="AM34" i="2"/>
  <c r="K36" i="2"/>
  <c r="AJ36" i="2"/>
  <c r="AK36" i="2"/>
  <c r="AM15" i="2"/>
  <c r="AM16" i="2" s="1"/>
  <c r="C24" i="2"/>
  <c r="C26" i="2" s="1"/>
  <c r="C28" i="2" s="1"/>
  <c r="AN34" i="2"/>
  <c r="P54" i="2"/>
  <c r="AN22" i="2"/>
  <c r="AO22" i="2" s="1"/>
  <c r="AP22" i="2" s="1"/>
  <c r="AQ22" i="2" s="1"/>
  <c r="AR22" i="2" s="1"/>
  <c r="AS22" i="2" s="1"/>
  <c r="AT22" i="2" s="1"/>
  <c r="AU22" i="2" s="1"/>
  <c r="AV22" i="2" s="1"/>
  <c r="Q23" i="2"/>
  <c r="AN21" i="2"/>
  <c r="AO21" i="2" s="1"/>
  <c r="AP21" i="2" s="1"/>
  <c r="AQ21" i="2" s="1"/>
  <c r="AR21" i="2" s="1"/>
  <c r="AS21" i="2" s="1"/>
  <c r="AT21" i="2" s="1"/>
  <c r="AU21" i="2" s="1"/>
  <c r="AV21" i="2" s="1"/>
  <c r="AO9" i="2"/>
  <c r="AP9" i="2" s="1"/>
  <c r="P43" i="2"/>
  <c r="AN20" i="2"/>
  <c r="Q15" i="2"/>
  <c r="Q36" i="2" s="1"/>
  <c r="Q37" i="2"/>
  <c r="P66" i="2"/>
  <c r="M32" i="2"/>
  <c r="O36" i="2"/>
  <c r="O32" i="2"/>
  <c r="O40" i="2"/>
  <c r="P40" i="2"/>
  <c r="P19" i="2"/>
  <c r="P24" i="2" s="1"/>
  <c r="P26" i="2" s="1"/>
  <c r="P32" i="2"/>
  <c r="L32" i="2"/>
  <c r="M36" i="2"/>
  <c r="N36" i="2"/>
  <c r="N16" i="2"/>
  <c r="N41" i="2" s="1"/>
  <c r="J19" i="2"/>
  <c r="J38" i="2" s="1"/>
  <c r="J40" i="2"/>
  <c r="P36" i="2"/>
  <c r="L36" i="2"/>
  <c r="H40" i="2"/>
  <c r="I19" i="2"/>
  <c r="I38" i="2" s="1"/>
  <c r="L40" i="2"/>
  <c r="L19" i="2"/>
  <c r="L38" i="2" s="1"/>
  <c r="M19" i="2"/>
  <c r="M38" i="2" s="1"/>
  <c r="M40" i="2"/>
  <c r="O19" i="2"/>
  <c r="H24" i="2" l="1"/>
  <c r="H26" i="2" s="1"/>
  <c r="H28" i="2" s="1"/>
  <c r="R40" i="2"/>
  <c r="R41" i="2"/>
  <c r="AM32" i="2"/>
  <c r="V16" i="2"/>
  <c r="V97" i="2" s="1"/>
  <c r="U16" i="2"/>
  <c r="U36" i="2"/>
  <c r="T16" i="2"/>
  <c r="T36" i="2"/>
  <c r="S16" i="2"/>
  <c r="S36" i="2"/>
  <c r="AQ9" i="2"/>
  <c r="AK38" i="2"/>
  <c r="AK24" i="2"/>
  <c r="AK26" i="2" s="1"/>
  <c r="AI38" i="2"/>
  <c r="AI24" i="2"/>
  <c r="AI26" i="2" s="1"/>
  <c r="AJ38" i="2"/>
  <c r="AJ24" i="2"/>
  <c r="AJ26" i="2" s="1"/>
  <c r="N40" i="2"/>
  <c r="N97" i="2"/>
  <c r="R32" i="2"/>
  <c r="R19" i="2"/>
  <c r="R38" i="2" s="1"/>
  <c r="R97" i="2"/>
  <c r="C29" i="2"/>
  <c r="C68" i="2"/>
  <c r="AL40" i="2"/>
  <c r="AL19" i="2"/>
  <c r="AL38" i="2" s="1"/>
  <c r="AM36" i="2"/>
  <c r="AL36" i="2"/>
  <c r="Q16" i="2"/>
  <c r="Q41" i="2" s="1"/>
  <c r="G24" i="2"/>
  <c r="G26" i="2" s="1"/>
  <c r="AM19" i="2"/>
  <c r="AM38" i="2" s="1"/>
  <c r="AM40" i="2"/>
  <c r="G28" i="2"/>
  <c r="G39" i="2"/>
  <c r="AN35" i="2"/>
  <c r="AN36" i="2"/>
  <c r="AO10" i="2"/>
  <c r="AO37" i="2" s="1"/>
  <c r="AN37" i="2"/>
  <c r="AO13" i="2"/>
  <c r="AO35" i="2" s="1"/>
  <c r="AN23" i="2"/>
  <c r="AO20" i="2"/>
  <c r="AQ11" i="2"/>
  <c r="P28" i="2"/>
  <c r="P39" i="2"/>
  <c r="AO14" i="2"/>
  <c r="AP14" i="2" s="1"/>
  <c r="N19" i="2"/>
  <c r="N38" i="2" s="1"/>
  <c r="N32" i="2"/>
  <c r="M24" i="2"/>
  <c r="M26" i="2" s="1"/>
  <c r="I24" i="2"/>
  <c r="I26" i="2" s="1"/>
  <c r="P38" i="2"/>
  <c r="J24" i="2"/>
  <c r="J26" i="2" s="1"/>
  <c r="L24" i="2"/>
  <c r="L26" i="2" s="1"/>
  <c r="K38" i="2"/>
  <c r="K24" i="2"/>
  <c r="K26" i="2" s="1"/>
  <c r="O38" i="2"/>
  <c r="O24" i="2"/>
  <c r="O26" i="2" s="1"/>
  <c r="AP13" i="2" l="1"/>
  <c r="U97" i="2"/>
  <c r="U19" i="2"/>
  <c r="U32" i="2"/>
  <c r="H39" i="2"/>
  <c r="S32" i="2"/>
  <c r="S97" i="2"/>
  <c r="S19" i="2"/>
  <c r="T19" i="2"/>
  <c r="T24" i="2" s="1"/>
  <c r="T97" i="2"/>
  <c r="S40" i="2"/>
  <c r="S41" i="2"/>
  <c r="S24" i="2"/>
  <c r="S26" i="2" s="1"/>
  <c r="V32" i="2"/>
  <c r="V41" i="2"/>
  <c r="V40" i="2"/>
  <c r="V19" i="2"/>
  <c r="U41" i="2"/>
  <c r="U40" i="2"/>
  <c r="T32" i="2"/>
  <c r="T40" i="2"/>
  <c r="T41" i="2"/>
  <c r="S38" i="2"/>
  <c r="AR9" i="2"/>
  <c r="AK28" i="2"/>
  <c r="AK39" i="2"/>
  <c r="AJ28" i="2"/>
  <c r="AJ39" i="2"/>
  <c r="AI28" i="2"/>
  <c r="AI39" i="2"/>
  <c r="Q32" i="2"/>
  <c r="Q97" i="2"/>
  <c r="Q19" i="2"/>
  <c r="H29" i="2"/>
  <c r="H68" i="2"/>
  <c r="P29" i="2"/>
  <c r="P68" i="2"/>
  <c r="Q40" i="2"/>
  <c r="AN32" i="2"/>
  <c r="AM24" i="2"/>
  <c r="AM26" i="2" s="1"/>
  <c r="AM28" i="2" s="1"/>
  <c r="AM29" i="2" s="1"/>
  <c r="AP10" i="2"/>
  <c r="AL24" i="2"/>
  <c r="AL26" i="2" s="1"/>
  <c r="AL39" i="2" s="1"/>
  <c r="G29" i="2"/>
  <c r="G68" i="2"/>
  <c r="AP15" i="2"/>
  <c r="AR11" i="2"/>
  <c r="AQ13" i="2"/>
  <c r="AP35" i="2"/>
  <c r="AO23" i="2"/>
  <c r="AP20" i="2"/>
  <c r="AQ14" i="2"/>
  <c r="AP34" i="2"/>
  <c r="M28" i="2"/>
  <c r="M39" i="2"/>
  <c r="O28" i="2"/>
  <c r="O39" i="2"/>
  <c r="K28" i="2"/>
  <c r="K39" i="2"/>
  <c r="L28" i="2"/>
  <c r="L39" i="2"/>
  <c r="J28" i="2"/>
  <c r="J39" i="2"/>
  <c r="I28" i="2"/>
  <c r="I39" i="2"/>
  <c r="AO34" i="2"/>
  <c r="AO15" i="2"/>
  <c r="N24" i="2"/>
  <c r="N26" i="2" s="1"/>
  <c r="Q38" i="2"/>
  <c r="Q24" i="2"/>
  <c r="Q26" i="2" s="1"/>
  <c r="R24" i="2"/>
  <c r="R26" i="2" s="1"/>
  <c r="R39" i="2" s="1"/>
  <c r="V38" i="2" l="1"/>
  <c r="V24" i="2"/>
  <c r="V26" i="2" s="1"/>
  <c r="U38" i="2"/>
  <c r="U24" i="2"/>
  <c r="U26" i="2" s="1"/>
  <c r="T38" i="2"/>
  <c r="T26" i="2"/>
  <c r="S39" i="2"/>
  <c r="AQ10" i="2"/>
  <c r="AP16" i="2"/>
  <c r="AP19" i="2" s="1"/>
  <c r="AP38" i="2" s="1"/>
  <c r="AN40" i="2"/>
  <c r="AS9" i="2"/>
  <c r="AN19" i="2"/>
  <c r="AN38" i="2" s="1"/>
  <c r="AM39" i="2"/>
  <c r="J29" i="2"/>
  <c r="J68" i="2"/>
  <c r="L29" i="2"/>
  <c r="L68" i="2"/>
  <c r="M29" i="2"/>
  <c r="M68" i="2"/>
  <c r="I29" i="2"/>
  <c r="I68" i="2"/>
  <c r="K29" i="2"/>
  <c r="K68" i="2"/>
  <c r="O29" i="2"/>
  <c r="O68" i="2"/>
  <c r="AP37" i="2"/>
  <c r="AP36" i="2"/>
  <c r="AL28" i="2"/>
  <c r="AL29" i="2" s="1"/>
  <c r="AQ15" i="2"/>
  <c r="AQ36" i="2" s="1"/>
  <c r="AR14" i="2"/>
  <c r="AQ34" i="2"/>
  <c r="AQ20" i="2"/>
  <c r="AP23" i="2"/>
  <c r="AR13" i="2"/>
  <c r="AQ35" i="2"/>
  <c r="AR10" i="2"/>
  <c r="AQ37" i="2"/>
  <c r="AS11" i="2"/>
  <c r="AO16" i="2"/>
  <c r="AO19" i="2" s="1"/>
  <c r="AO36" i="2"/>
  <c r="N28" i="2"/>
  <c r="N39" i="2"/>
  <c r="Q28" i="2"/>
  <c r="Q68" i="2" s="1"/>
  <c r="V39" i="2" l="1"/>
  <c r="U39" i="2"/>
  <c r="U28" i="2"/>
  <c r="T39" i="2"/>
  <c r="T28" i="2"/>
  <c r="S28" i="2"/>
  <c r="AN24" i="2"/>
  <c r="AN26" i="2" s="1"/>
  <c r="AQ16" i="2"/>
  <c r="AQ19" i="2" s="1"/>
  <c r="AP40" i="2"/>
  <c r="AT9" i="2"/>
  <c r="AP32" i="2"/>
  <c r="N29" i="2"/>
  <c r="N68" i="2"/>
  <c r="AQ40" i="2"/>
  <c r="AR15" i="2"/>
  <c r="AP24" i="2"/>
  <c r="AP17" i="2"/>
  <c r="AT11" i="2"/>
  <c r="AR34" i="2"/>
  <c r="AS14" i="2"/>
  <c r="AS10" i="2"/>
  <c r="AR37" i="2"/>
  <c r="AR35" i="2"/>
  <c r="AS13" i="2"/>
  <c r="Q29" i="2"/>
  <c r="AR20" i="2"/>
  <c r="AQ23" i="2"/>
  <c r="AN27" i="2"/>
  <c r="Q39" i="2"/>
  <c r="AO32" i="2"/>
  <c r="AO17" i="2"/>
  <c r="AO40" i="2"/>
  <c r="R28" i="2"/>
  <c r="V28" i="2" l="1"/>
  <c r="U29" i="2"/>
  <c r="U68" i="2"/>
  <c r="S29" i="2"/>
  <c r="S68" i="2"/>
  <c r="T29" i="2"/>
  <c r="T68" i="2"/>
  <c r="AN39" i="2"/>
  <c r="AR16" i="2"/>
  <c r="AR19" i="2" s="1"/>
  <c r="AR38" i="2" s="1"/>
  <c r="AU9" i="2"/>
  <c r="R29" i="2"/>
  <c r="R68" i="2"/>
  <c r="AR36" i="2"/>
  <c r="AQ38" i="2"/>
  <c r="AQ32" i="2"/>
  <c r="AN43" i="2"/>
  <c r="AO25" i="2" s="1"/>
  <c r="AS20" i="2"/>
  <c r="AR23" i="2"/>
  <c r="AN28" i="2"/>
  <c r="AN29" i="2" s="1"/>
  <c r="AS35" i="2"/>
  <c r="AT13" i="2"/>
  <c r="AT14" i="2"/>
  <c r="AS34" i="2"/>
  <c r="AS15" i="2"/>
  <c r="AS16" i="2" s="1"/>
  <c r="AS19" i="2" s="1"/>
  <c r="AT10" i="2"/>
  <c r="AS37" i="2"/>
  <c r="AU11" i="2"/>
  <c r="AO24" i="2"/>
  <c r="AO38" i="2"/>
  <c r="V29" i="2" l="1"/>
  <c r="V68" i="2"/>
  <c r="AT15" i="2"/>
  <c r="AR32" i="2"/>
  <c r="AR40" i="2"/>
  <c r="AT16" i="2"/>
  <c r="AT19" i="2" s="1"/>
  <c r="AV9" i="2"/>
  <c r="AQ24" i="2"/>
  <c r="AQ17" i="2"/>
  <c r="AO26" i="2"/>
  <c r="AO27" i="2" s="1"/>
  <c r="AO39" i="2" s="1"/>
  <c r="AR17" i="2"/>
  <c r="AU10" i="2"/>
  <c r="AT37" i="2"/>
  <c r="AT36" i="2"/>
  <c r="AV11" i="2"/>
  <c r="AS36" i="2"/>
  <c r="AU13" i="2"/>
  <c r="AT35" i="2"/>
  <c r="AT20" i="2"/>
  <c r="AS23" i="2"/>
  <c r="AT34" i="2"/>
  <c r="AU14" i="2"/>
  <c r="AR24" i="2"/>
  <c r="AU34" i="2" l="1"/>
  <c r="AV14" i="2"/>
  <c r="AV34" i="2" s="1"/>
  <c r="AS38" i="2"/>
  <c r="AS32" i="2"/>
  <c r="AS40" i="2"/>
  <c r="AS24" i="2"/>
  <c r="AU20" i="2"/>
  <c r="AT23" i="2"/>
  <c r="AV13" i="2"/>
  <c r="AV35" i="2" s="1"/>
  <c r="AU35" i="2"/>
  <c r="AU15" i="2"/>
  <c r="AU16" i="2" s="1"/>
  <c r="AU19" i="2" s="1"/>
  <c r="AT38" i="2"/>
  <c r="AT32" i="2"/>
  <c r="AT40" i="2"/>
  <c r="AV10" i="2"/>
  <c r="AV37" i="2" s="1"/>
  <c r="AU37" i="2"/>
  <c r="AO28" i="2"/>
  <c r="AS17" i="2" l="1"/>
  <c r="AT17" i="2"/>
  <c r="AV15" i="2"/>
  <c r="AV16" i="2" s="1"/>
  <c r="AV19" i="2" s="1"/>
  <c r="AU36" i="2"/>
  <c r="AV20" i="2"/>
  <c r="AV23" i="2" s="1"/>
  <c r="AU23" i="2"/>
  <c r="AV36" i="2"/>
  <c r="AT24" i="2"/>
  <c r="AO29" i="2"/>
  <c r="AO43" i="2"/>
  <c r="AV38" i="2" l="1"/>
  <c r="AV40" i="2"/>
  <c r="AV32" i="2"/>
  <c r="AU38" i="2"/>
  <c r="AU40" i="2"/>
  <c r="AU32" i="2"/>
  <c r="AP25" i="2"/>
  <c r="AP26" i="2" s="1"/>
  <c r="AV24" i="2" l="1"/>
  <c r="AU24" i="2"/>
  <c r="AU17" i="2"/>
  <c r="AV17" i="2"/>
  <c r="AP27" i="2"/>
  <c r="AP39" i="2" s="1"/>
  <c r="AP28" i="2" l="1"/>
  <c r="AP29" i="2" s="1"/>
  <c r="AP43" i="2" l="1"/>
  <c r="AQ25" i="2" s="1"/>
  <c r="AQ26" i="2" s="1"/>
  <c r="AQ27" i="2" l="1"/>
  <c r="AQ39" i="2" s="1"/>
  <c r="AQ28" i="2" l="1"/>
  <c r="AQ29" i="2" s="1"/>
  <c r="AQ43" i="2" l="1"/>
  <c r="AR25" i="2" s="1"/>
  <c r="AR26" i="2" s="1"/>
  <c r="AR27" i="2" l="1"/>
  <c r="AR39" i="2" s="1"/>
  <c r="AR28" i="2" l="1"/>
  <c r="AR43" i="2" s="1"/>
  <c r="AR29" i="2" l="1"/>
  <c r="AS25" i="2"/>
  <c r="AS26" i="2" s="1"/>
  <c r="AS27" i="2" l="1"/>
  <c r="AS39" i="2" s="1"/>
  <c r="AS28" i="2" l="1"/>
  <c r="AS29" i="2" s="1"/>
  <c r="AS43" i="2" l="1"/>
  <c r="AT25" i="2" s="1"/>
  <c r="AT26" i="2" s="1"/>
  <c r="AT27" i="2" l="1"/>
  <c r="AT39" i="2" s="1"/>
  <c r="AT28" i="2" l="1"/>
  <c r="AT29" i="2" s="1"/>
  <c r="AT43" i="2" l="1"/>
  <c r="AU25" i="2" s="1"/>
  <c r="AU26" i="2" s="1"/>
  <c r="AU27" i="2" l="1"/>
  <c r="AU39" i="2" s="1"/>
  <c r="AU28" i="2" l="1"/>
  <c r="AU29" i="2" s="1"/>
  <c r="AU43" i="2" l="1"/>
  <c r="AV25" i="2" s="1"/>
  <c r="AV26" i="2" s="1"/>
  <c r="AV27" i="2" l="1"/>
  <c r="AV39" i="2" s="1"/>
  <c r="AV28" i="2" l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AY35" i="2" s="1"/>
  <c r="AY36" i="2" s="1"/>
  <c r="AV43" i="2" l="1"/>
  <c r="AV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tc={E4EBD6E6-A9EB-4DE8-827A-6C71C7B0185D}</author>
    <author>tc={BB174E77-B992-4434-B813-37050944779B}</author>
    <author>tc={98C85431-240B-43D6-9320-F54389B2CF7C}</author>
    <author>tc={7C8D1D3B-4771-4143-BB65-4092E4163BCF}</author>
    <author>tc={7B7B344C-1B40-43A1-8992-C1140C2C51FA}</author>
  </authors>
  <commentList>
    <comment ref="R11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1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R14" authorId="2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6" authorId="3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4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5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<sst xmlns="http://schemas.openxmlformats.org/spreadsheetml/2006/main" count="233" uniqueCount="208">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</sst>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33411</xdr:colOff>
      <xdr:row>0</xdr:row>
      <xdr:rowOff>0</xdr:rowOff>
    </xdr:from>
    <xdr:to>
      <xdr:col>22</xdr:col>
      <xdr:colOff>33411</xdr:colOff>
      <xdr:row>113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5575036" y="0"/>
          <a:ext cx="0" cy="1907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87039</xdr:colOff>
      <xdr:row>0</xdr:row>
      <xdr:rowOff>0</xdr:rowOff>
    </xdr:from>
    <xdr:to>
      <xdr:col>40</xdr:col>
      <xdr:colOff>87039</xdr:colOff>
      <xdr:row>113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zoomScale="175" zoomScaleNormal="175" workbookViewId="0">
      <selection activeCell="L7" sqref="L7"/>
    </sheetView>
  </sheetViews>
  <sheetFormatPr baseColWidth="10" defaultColWidth="8.83203125" defaultRowHeight="13" x14ac:dyDescent="0.15"/>
  <cols>
    <col min="7" max="7" width="12.5" customWidth="1"/>
    <col min="8" max="8" width="12.5" bestFit="1" customWidth="1"/>
    <col min="9" max="9" width="7.6640625" customWidth="1"/>
    <col min="11" max="12" width="13.5" customWidth="1"/>
  </cols>
  <sheetData>
    <row r="1" spans="8:13" x14ac:dyDescent="0.15">
      <c r="K1" s="7"/>
    </row>
    <row r="2" spans="8:13" x14ac:dyDescent="0.15">
      <c r="K2" t="s">
        <v>0</v>
      </c>
      <c r="L2" s="1">
        <v>123.4</v>
      </c>
    </row>
    <row r="3" spans="8:13" x14ac:dyDescent="0.15">
      <c r="H3" s="4"/>
      <c r="I3" s="3"/>
      <c r="K3" t="s">
        <v>1</v>
      </c>
      <c r="L3" s="3">
        <v>12696</v>
      </c>
      <c r="M3" s="2" t="s">
        <v>98</v>
      </c>
    </row>
    <row r="4" spans="8:13" x14ac:dyDescent="0.15">
      <c r="H4" s="4"/>
      <c r="K4" t="s">
        <v>2</v>
      </c>
      <c r="L4" s="3">
        <f>L2*L3</f>
        <v>1566686.4000000001</v>
      </c>
    </row>
    <row r="5" spans="8:13" x14ac:dyDescent="0.15">
      <c r="H5" s="6"/>
      <c r="K5" t="s">
        <v>3</v>
      </c>
      <c r="L5" s="3">
        <v>150842</v>
      </c>
      <c r="M5" s="2" t="s">
        <v>98</v>
      </c>
    </row>
    <row r="6" spans="8:13" x14ac:dyDescent="0.15">
      <c r="K6" t="s">
        <v>4</v>
      </c>
      <c r="L6" s="3">
        <v>13781</v>
      </c>
      <c r="M6" s="2" t="s">
        <v>98</v>
      </c>
    </row>
    <row r="7" spans="8:13" x14ac:dyDescent="0.15">
      <c r="K7" t="s">
        <v>5</v>
      </c>
      <c r="L7" s="3">
        <f>L4-L5+L6</f>
        <v>1429625.4000000001</v>
      </c>
    </row>
    <row r="8" spans="8:13" x14ac:dyDescent="0.15">
      <c r="K8" s="7"/>
    </row>
    <row r="9" spans="8:13" x14ac:dyDescent="0.15">
      <c r="K9" s="7" t="s">
        <v>25</v>
      </c>
      <c r="L9" s="13">
        <v>1998</v>
      </c>
    </row>
    <row r="10" spans="8:13" x14ac:dyDescent="0.15">
      <c r="L10" s="3"/>
    </row>
    <row r="11" spans="8:13" x14ac:dyDescent="0.15">
      <c r="K11" s="8"/>
    </row>
    <row r="12" spans="8:13" x14ac:dyDescent="0.15">
      <c r="K12" t="s">
        <v>101</v>
      </c>
      <c r="L12" s="19" t="s">
        <v>102</v>
      </c>
    </row>
    <row r="13" spans="8:13" x14ac:dyDescent="0.15">
      <c r="K13" t="s">
        <v>103</v>
      </c>
      <c r="L13" s="19" t="s">
        <v>104</v>
      </c>
    </row>
    <row r="14" spans="8:13" x14ac:dyDescent="0.15">
      <c r="K14" s="3" t="s">
        <v>108</v>
      </c>
      <c r="L14" s="20" t="s">
        <v>109</v>
      </c>
      <c r="M14" s="3"/>
    </row>
    <row r="15" spans="8:13" x14ac:dyDescent="0.15">
      <c r="K15" t="s">
        <v>110</v>
      </c>
      <c r="L15" s="19" t="s">
        <v>111</v>
      </c>
    </row>
    <row r="16" spans="8:13" x14ac:dyDescent="0.15">
      <c r="K16" t="s">
        <v>39</v>
      </c>
      <c r="L16" s="19" t="s">
        <v>112</v>
      </c>
    </row>
    <row r="17" spans="11:13" x14ac:dyDescent="0.15">
      <c r="K17" t="s">
        <v>113</v>
      </c>
      <c r="L17" s="19" t="s">
        <v>114</v>
      </c>
    </row>
    <row r="18" spans="11:13" x14ac:dyDescent="0.15">
      <c r="K18" t="s">
        <v>115</v>
      </c>
      <c r="L18" s="19" t="s">
        <v>116</v>
      </c>
    </row>
    <row r="19" spans="11:13" x14ac:dyDescent="0.15">
      <c r="K19" t="s">
        <v>117</v>
      </c>
      <c r="L19" s="19" t="s">
        <v>118</v>
      </c>
    </row>
    <row r="20" spans="11:13" x14ac:dyDescent="0.15">
      <c r="K20" t="s">
        <v>119</v>
      </c>
      <c r="L20" s="19" t="s">
        <v>120</v>
      </c>
    </row>
    <row r="21" spans="11:13" x14ac:dyDescent="0.15">
      <c r="K21" t="s">
        <v>121</v>
      </c>
      <c r="L21" s="19" t="s">
        <v>122</v>
      </c>
    </row>
    <row r="22" spans="11:13" x14ac:dyDescent="0.15">
      <c r="K22" t="s">
        <v>123</v>
      </c>
      <c r="L22" s="19"/>
    </row>
    <row r="25" spans="11:13" x14ac:dyDescent="0.15">
      <c r="K25" t="s">
        <v>178</v>
      </c>
      <c r="L25" t="s">
        <v>176</v>
      </c>
      <c r="M25" t="s">
        <v>177</v>
      </c>
    </row>
    <row r="26" spans="11:13" x14ac:dyDescent="0.15">
      <c r="K26" t="s">
        <v>174</v>
      </c>
      <c r="L26" t="s">
        <v>173</v>
      </c>
      <c r="M26" t="s">
        <v>175</v>
      </c>
    </row>
    <row r="27" spans="11:13" x14ac:dyDescent="0.15">
      <c r="K27" t="s">
        <v>170</v>
      </c>
      <c r="L27" t="s">
        <v>171</v>
      </c>
      <c r="M27" t="s">
        <v>172</v>
      </c>
    </row>
    <row r="28" spans="11:13" x14ac:dyDescent="0.15">
      <c r="K28" t="s">
        <v>168</v>
      </c>
      <c r="L28" t="s">
        <v>169</v>
      </c>
      <c r="M28" t="s">
        <v>156</v>
      </c>
    </row>
    <row r="29" spans="11:13" x14ac:dyDescent="0.15">
      <c r="K29" t="s">
        <v>165</v>
      </c>
      <c r="L29" t="s">
        <v>166</v>
      </c>
      <c r="M29" t="s">
        <v>167</v>
      </c>
    </row>
    <row r="30" spans="11:13" x14ac:dyDescent="0.15">
      <c r="K30" t="s">
        <v>118</v>
      </c>
      <c r="L30" t="s">
        <v>164</v>
      </c>
      <c r="M30" t="s">
        <v>148</v>
      </c>
    </row>
    <row r="31" spans="11:13" x14ac:dyDescent="0.15">
      <c r="K31" t="s">
        <v>162</v>
      </c>
      <c r="L31" t="s">
        <v>163</v>
      </c>
      <c r="M31" t="s">
        <v>140</v>
      </c>
    </row>
    <row r="32" spans="11:13" x14ac:dyDescent="0.15">
      <c r="K32" t="s">
        <v>160</v>
      </c>
      <c r="L32" t="s">
        <v>161</v>
      </c>
      <c r="M32" t="s">
        <v>148</v>
      </c>
    </row>
    <row r="33" spans="11:14" x14ac:dyDescent="0.15">
      <c r="K33" t="s">
        <v>157</v>
      </c>
      <c r="L33" t="s">
        <v>158</v>
      </c>
      <c r="M33" t="s">
        <v>159</v>
      </c>
    </row>
    <row r="34" spans="11:14" x14ac:dyDescent="0.15">
      <c r="K34" t="s">
        <v>155</v>
      </c>
      <c r="L34" t="s">
        <v>154</v>
      </c>
      <c r="M34" t="s">
        <v>156</v>
      </c>
    </row>
    <row r="35" spans="11:14" x14ac:dyDescent="0.15">
      <c r="K35" t="s">
        <v>151</v>
      </c>
      <c r="L35" t="s">
        <v>152</v>
      </c>
      <c r="M35" t="s">
        <v>153</v>
      </c>
    </row>
    <row r="36" spans="11:14" x14ac:dyDescent="0.15">
      <c r="K36" t="s">
        <v>149</v>
      </c>
      <c r="L36" t="s">
        <v>150</v>
      </c>
      <c r="M36" t="s">
        <v>140</v>
      </c>
    </row>
    <row r="37" spans="11:14" x14ac:dyDescent="0.15">
      <c r="K37" t="s">
        <v>146</v>
      </c>
      <c r="L37" t="s">
        <v>147</v>
      </c>
      <c r="M37" t="s">
        <v>148</v>
      </c>
    </row>
    <row r="38" spans="11:14" x14ac:dyDescent="0.15">
      <c r="K38" t="s">
        <v>128</v>
      </c>
      <c r="L38" t="s">
        <v>129</v>
      </c>
      <c r="M38" t="s">
        <v>148</v>
      </c>
    </row>
    <row r="39" spans="11:14" x14ac:dyDescent="0.15">
      <c r="K39" t="s">
        <v>143</v>
      </c>
      <c r="L39" t="s">
        <v>144</v>
      </c>
      <c r="M39" t="s">
        <v>145</v>
      </c>
    </row>
    <row r="40" spans="11:14" x14ac:dyDescent="0.15">
      <c r="K40" t="s">
        <v>141</v>
      </c>
      <c r="L40" t="s">
        <v>142</v>
      </c>
      <c r="M40" t="s">
        <v>140</v>
      </c>
    </row>
    <row r="41" spans="11:14" x14ac:dyDescent="0.15">
      <c r="K41" t="s">
        <v>137</v>
      </c>
      <c r="L41" t="s">
        <v>138</v>
      </c>
      <c r="M41" t="s">
        <v>140</v>
      </c>
      <c r="N41" t="s">
        <v>139</v>
      </c>
    </row>
    <row r="42" spans="11:14" x14ac:dyDescent="0.15">
      <c r="K42" t="s">
        <v>133</v>
      </c>
      <c r="L42" t="s">
        <v>134</v>
      </c>
      <c r="M42" t="s">
        <v>136</v>
      </c>
      <c r="N42" t="s">
        <v>135</v>
      </c>
    </row>
    <row r="43" spans="11:14" x14ac:dyDescent="0.15">
      <c r="K43" t="s">
        <v>130</v>
      </c>
      <c r="L43" t="s">
        <v>127</v>
      </c>
      <c r="M43" t="s">
        <v>132</v>
      </c>
    </row>
    <row r="44" spans="11:14" x14ac:dyDescent="0.15">
      <c r="K44" t="s">
        <v>126</v>
      </c>
      <c r="L44" t="s">
        <v>125</v>
      </c>
    </row>
    <row r="45" spans="11:14" x14ac:dyDescent="0.15">
      <c r="K45" t="s">
        <v>124</v>
      </c>
      <c r="L45" t="s">
        <v>131</v>
      </c>
    </row>
    <row r="46" spans="11:14" x14ac:dyDescent="0.15">
      <c r="K46" t="s">
        <v>179</v>
      </c>
    </row>
    <row r="47" spans="11:14" x14ac:dyDescent="0.15">
      <c r="K47" t="s">
        <v>180</v>
      </c>
    </row>
    <row r="48" spans="11:14" x14ac:dyDescent="0.15">
      <c r="K48" t="s">
        <v>181</v>
      </c>
      <c r="L48" t="s">
        <v>182</v>
      </c>
    </row>
    <row r="49" spans="11:11" x14ac:dyDescent="0.15">
      <c r="K49" t="s">
        <v>183</v>
      </c>
    </row>
    <row r="50" spans="11:11" x14ac:dyDescent="0.15">
      <c r="K50" t="s">
        <v>184</v>
      </c>
    </row>
    <row r="51" spans="11:11" x14ac:dyDescent="0.15">
      <c r="K51" t="s">
        <v>185</v>
      </c>
    </row>
    <row r="52" spans="11:11" x14ac:dyDescent="0.15">
      <c r="K52" t="s">
        <v>186</v>
      </c>
    </row>
    <row r="53" spans="11:11" x14ac:dyDescent="0.15">
      <c r="K53" t="s">
        <v>187</v>
      </c>
    </row>
    <row r="54" spans="11:11" x14ac:dyDescent="0.15">
      <c r="K54" t="s">
        <v>188</v>
      </c>
    </row>
    <row r="55" spans="11:11" x14ac:dyDescent="0.15">
      <c r="K55" t="s">
        <v>189</v>
      </c>
    </row>
    <row r="56" spans="11:11" x14ac:dyDescent="0.15">
      <c r="K56" t="s">
        <v>190</v>
      </c>
    </row>
    <row r="57" spans="11:11" x14ac:dyDescent="0.15">
      <c r="K57" t="s">
        <v>191</v>
      </c>
    </row>
    <row r="58" spans="11:11" x14ac:dyDescent="0.15">
      <c r="K58" t="s">
        <v>192</v>
      </c>
    </row>
    <row r="59" spans="11:11" x14ac:dyDescent="0.15">
      <c r="K59" t="s">
        <v>193</v>
      </c>
    </row>
    <row r="60" spans="11:11" x14ac:dyDescent="0.15">
      <c r="K60" t="s">
        <v>194</v>
      </c>
    </row>
    <row r="61" spans="11:11" x14ac:dyDescent="0.15">
      <c r="K61" t="s">
        <v>195</v>
      </c>
    </row>
    <row r="62" spans="11:11" x14ac:dyDescent="0.15">
      <c r="K62" t="s">
        <v>196</v>
      </c>
    </row>
    <row r="63" spans="11:11" x14ac:dyDescent="0.15">
      <c r="K63" t="s">
        <v>197</v>
      </c>
    </row>
    <row r="64" spans="11:11" x14ac:dyDescent="0.15">
      <c r="K64" t="s">
        <v>198</v>
      </c>
    </row>
    <row r="65" spans="11:11" x14ac:dyDescent="0.15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A104"/>
  <sheetViews>
    <sheetView tabSelected="1" zoomScale="160" zoomScaleNormal="160" workbookViewId="0">
      <pane xSplit="2" ySplit="2" topLeftCell="L3" activePane="bottomRight" state="frozen"/>
      <selection pane="topRight" activeCell="C1" sqref="C1"/>
      <selection pane="bottomLeft" activeCell="A4" sqref="A4"/>
      <selection pane="bottomRight" activeCell="Z8" sqref="Z8"/>
    </sheetView>
  </sheetViews>
  <sheetFormatPr baseColWidth="10" defaultColWidth="8.83203125" defaultRowHeight="13" x14ac:dyDescent="0.15"/>
  <cols>
    <col min="1" max="1" width="5" bestFit="1" customWidth="1"/>
    <col min="2" max="2" width="16.1640625" customWidth="1"/>
    <col min="3" max="17" width="9.1640625" style="2"/>
    <col min="18" max="18" width="8.6640625" style="2" customWidth="1"/>
    <col min="19" max="26" width="9.1640625" style="2"/>
    <col min="40" max="40" width="9.1640625" customWidth="1"/>
    <col min="47" max="48" width="9.33203125" customWidth="1"/>
    <col min="51" max="51" width="9.5" customWidth="1"/>
  </cols>
  <sheetData>
    <row r="1" spans="1:48" x14ac:dyDescent="0.15">
      <c r="A1" s="12" t="s">
        <v>7</v>
      </c>
    </row>
    <row r="2" spans="1:48" x14ac:dyDescent="0.15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204</v>
      </c>
      <c r="X2" s="2" t="s">
        <v>205</v>
      </c>
      <c r="Y2" s="2" t="s">
        <v>206</v>
      </c>
      <c r="Z2" s="2" t="s">
        <v>207</v>
      </c>
      <c r="AB2">
        <v>2010</v>
      </c>
      <c r="AC2">
        <v>2011</v>
      </c>
      <c r="AD2">
        <v>2012</v>
      </c>
      <c r="AE2">
        <v>2013</v>
      </c>
      <c r="AF2">
        <v>2014</v>
      </c>
      <c r="AG2">
        <v>2015</v>
      </c>
      <c r="AH2">
        <v>2016</v>
      </c>
      <c r="AI2">
        <v>2017</v>
      </c>
      <c r="AJ2">
        <v>2018</v>
      </c>
      <c r="AK2">
        <v>2019</v>
      </c>
      <c r="AL2">
        <v>2020</v>
      </c>
      <c r="AM2">
        <v>2021</v>
      </c>
      <c r="AN2">
        <f>AM2+1</f>
        <v>2022</v>
      </c>
      <c r="AO2">
        <f t="shared" ref="AO2:AV2" si="0">AN2+1</f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si="0"/>
        <v>2028</v>
      </c>
      <c r="AU2">
        <f t="shared" si="0"/>
        <v>2029</v>
      </c>
      <c r="AV2">
        <f t="shared" si="0"/>
        <v>2030</v>
      </c>
    </row>
    <row r="3" spans="1:48" x14ac:dyDescent="0.15">
      <c r="B3" t="s">
        <v>200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/>
      <c r="X3" s="11"/>
      <c r="Y3" s="11"/>
      <c r="Z3" s="11"/>
    </row>
    <row r="4" spans="1:48" x14ac:dyDescent="0.15">
      <c r="B4" t="s">
        <v>201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/>
      <c r="X4" s="11"/>
      <c r="Y4" s="11"/>
      <c r="Z4" s="11"/>
    </row>
    <row r="5" spans="1:48" x14ac:dyDescent="0.15">
      <c r="B5" t="s">
        <v>202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/>
      <c r="X5" s="11"/>
      <c r="Y5" s="11"/>
      <c r="Z5" s="11"/>
    </row>
    <row r="6" spans="1:48" x14ac:dyDescent="0.15">
      <c r="B6" t="s">
        <v>203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/>
      <c r="X6" s="11"/>
      <c r="Y6" s="11"/>
      <c r="Z6" s="11"/>
    </row>
    <row r="8" spans="1:48" s="3" customFormat="1" x14ac:dyDescent="0.15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/>
      <c r="X8" s="11"/>
      <c r="Y8" s="11"/>
      <c r="Z8" s="11"/>
      <c r="AI8" s="3">
        <v>-169</v>
      </c>
      <c r="AJ8" s="3">
        <v>-138</v>
      </c>
      <c r="AK8" s="3">
        <v>455</v>
      </c>
      <c r="AL8" s="3">
        <f t="shared" ref="AL8:AL14" si="1">SUM(G8:J8)</f>
        <v>176</v>
      </c>
      <c r="AM8" s="3">
        <f t="shared" ref="AM8:AM11" si="2">SUM(K8:N8)</f>
        <v>149</v>
      </c>
      <c r="AN8" s="3">
        <f t="shared" ref="AN8:AN14" si="3">SUM(O8:R8)</f>
        <v>1960</v>
      </c>
    </row>
    <row r="9" spans="1:48" s="3" customFormat="1" x14ac:dyDescent="0.15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/>
      <c r="X9" s="11"/>
      <c r="Y9" s="11"/>
      <c r="Z9" s="11"/>
      <c r="AI9" s="3">
        <v>477</v>
      </c>
      <c r="AJ9" s="3">
        <v>595</v>
      </c>
      <c r="AK9" s="3">
        <v>659</v>
      </c>
      <c r="AL9" s="3">
        <f t="shared" si="1"/>
        <v>657</v>
      </c>
      <c r="AM9" s="3">
        <f t="shared" si="2"/>
        <v>753</v>
      </c>
      <c r="AN9" s="3">
        <f t="shared" si="3"/>
        <v>1068</v>
      </c>
      <c r="AO9" s="3">
        <f>+AN9*1.01</f>
        <v>1078.68</v>
      </c>
      <c r="AP9" s="3">
        <f t="shared" ref="AP9:AV9" si="4">+AO9*1.01</f>
        <v>1089.4668000000001</v>
      </c>
      <c r="AQ9" s="3">
        <f t="shared" si="4"/>
        <v>1100.3614680000001</v>
      </c>
      <c r="AR9" s="3">
        <f t="shared" si="4"/>
        <v>1111.3650826800001</v>
      </c>
      <c r="AS9" s="3">
        <f t="shared" si="4"/>
        <v>1122.4787335068002</v>
      </c>
      <c r="AT9" s="3">
        <f t="shared" si="4"/>
        <v>1133.7035208418681</v>
      </c>
      <c r="AU9" s="3">
        <f t="shared" si="4"/>
        <v>1145.0405560502868</v>
      </c>
      <c r="AV9" s="3">
        <f t="shared" si="4"/>
        <v>1156.4909616107898</v>
      </c>
    </row>
    <row r="10" spans="1:48" s="3" customFormat="1" x14ac:dyDescent="0.15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/>
      <c r="X10" s="11"/>
      <c r="Y10" s="11"/>
      <c r="Z10" s="11"/>
      <c r="AI10" s="3">
        <v>4056</v>
      </c>
      <c r="AJ10" s="3">
        <v>5838</v>
      </c>
      <c r="AK10" s="3">
        <v>8918</v>
      </c>
      <c r="AL10" s="3">
        <f t="shared" si="1"/>
        <v>13059</v>
      </c>
      <c r="AM10" s="3">
        <f t="shared" si="2"/>
        <v>19206</v>
      </c>
      <c r="AN10" s="3">
        <f t="shared" si="3"/>
        <v>26280</v>
      </c>
      <c r="AO10" s="3">
        <f>+AN10*1.4</f>
        <v>36792</v>
      </c>
      <c r="AP10" s="3">
        <f t="shared" ref="AP10" si="5">+AO10*1.4</f>
        <v>51508.799999999996</v>
      </c>
      <c r="AQ10" s="3">
        <f>+AP10*1.3</f>
        <v>66961.440000000002</v>
      </c>
      <c r="AR10" s="3">
        <f>+AQ10*1.3</f>
        <v>87049.872000000003</v>
      </c>
      <c r="AS10" s="3">
        <f>+AR10*1.3</f>
        <v>113164.83360000001</v>
      </c>
      <c r="AT10" s="3">
        <f>+AS10*1.2</f>
        <v>135797.80032000001</v>
      </c>
      <c r="AU10" s="3">
        <f>+AT10*1.2</f>
        <v>162957.360384</v>
      </c>
      <c r="AV10" s="3">
        <f>+AU10*1.2</f>
        <v>195548.83246079998</v>
      </c>
    </row>
    <row r="11" spans="1:48" s="3" customFormat="1" x14ac:dyDescent="0.15">
      <c r="B11" s="3" t="s">
        <v>28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/>
      <c r="X11" s="11"/>
      <c r="Y11" s="11"/>
      <c r="Z11" s="11"/>
      <c r="AI11" s="3">
        <v>10914</v>
      </c>
      <c r="AJ11" s="3">
        <v>14063</v>
      </c>
      <c r="AK11" s="3">
        <v>17014</v>
      </c>
      <c r="AL11" s="3">
        <f t="shared" si="1"/>
        <v>21711</v>
      </c>
      <c r="AM11" s="3">
        <f t="shared" si="2"/>
        <v>28032</v>
      </c>
      <c r="AN11" s="3">
        <f t="shared" si="3"/>
        <v>29055</v>
      </c>
      <c r="AO11" s="3">
        <f>+AN11*1.03</f>
        <v>29926.65</v>
      </c>
      <c r="AP11" s="3">
        <f t="shared" ref="AP11:AV11" si="6">+AO11*1.03</f>
        <v>30824.449500000002</v>
      </c>
      <c r="AQ11" s="3">
        <f t="shared" si="6"/>
        <v>31749.182985000003</v>
      </c>
      <c r="AR11" s="3">
        <f t="shared" si="6"/>
        <v>32701.658474550004</v>
      </c>
      <c r="AS11" s="3">
        <f t="shared" si="6"/>
        <v>33682.708228786505</v>
      </c>
      <c r="AT11" s="3">
        <f t="shared" si="6"/>
        <v>34693.189475650099</v>
      </c>
      <c r="AU11" s="3">
        <f t="shared" si="6"/>
        <v>35733.985159919604</v>
      </c>
      <c r="AV11" s="3">
        <f t="shared" si="6"/>
        <v>36806.004714717194</v>
      </c>
    </row>
    <row r="12" spans="1:48" s="3" customFormat="1" x14ac:dyDescent="0.15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/>
      <c r="X12" s="11"/>
      <c r="Y12" s="11"/>
      <c r="Z12" s="11"/>
      <c r="AI12" s="3">
        <v>17616</v>
      </c>
      <c r="AJ12" s="3">
        <v>20010</v>
      </c>
      <c r="AK12" s="3">
        <v>21547</v>
      </c>
      <c r="AL12" s="3">
        <f t="shared" si="1"/>
        <v>23090</v>
      </c>
      <c r="AM12" s="3">
        <f>SUM(K12:N12)</f>
        <v>31701</v>
      </c>
      <c r="AN12" s="3">
        <f t="shared" si="3"/>
        <v>32780</v>
      </c>
      <c r="AO12" s="3">
        <f>+AN12*1.03</f>
        <v>33763.4</v>
      </c>
      <c r="AP12" s="3">
        <f t="shared" ref="AP12:AV12" si="7">+AO12*1.03</f>
        <v>34776.302000000003</v>
      </c>
      <c r="AQ12" s="3">
        <f t="shared" si="7"/>
        <v>35819.591060000006</v>
      </c>
      <c r="AR12" s="3">
        <f t="shared" si="7"/>
        <v>36894.178791800005</v>
      </c>
      <c r="AS12" s="3">
        <f t="shared" si="7"/>
        <v>38001.004155554008</v>
      </c>
      <c r="AT12" s="3">
        <f t="shared" si="7"/>
        <v>39141.034280220629</v>
      </c>
      <c r="AU12" s="3">
        <f t="shared" si="7"/>
        <v>40315.265308627248</v>
      </c>
      <c r="AV12" s="3">
        <f t="shared" si="7"/>
        <v>41524.723267886067</v>
      </c>
    </row>
    <row r="13" spans="1:48" s="3" customFormat="1" x14ac:dyDescent="0.15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/>
      <c r="X13" s="11"/>
      <c r="Y13" s="11"/>
      <c r="Z13" s="11"/>
      <c r="AI13" s="3">
        <v>8150</v>
      </c>
      <c r="AJ13" s="3">
        <v>11155</v>
      </c>
      <c r="AK13" s="3">
        <v>15149</v>
      </c>
      <c r="AL13" s="3">
        <f t="shared" si="1"/>
        <v>19772</v>
      </c>
      <c r="AM13" s="3">
        <f>SUM(K13:N13)</f>
        <v>28845</v>
      </c>
      <c r="AN13" s="3">
        <f t="shared" si="3"/>
        <v>29243</v>
      </c>
      <c r="AO13" s="3">
        <f>+AN13*1.05</f>
        <v>30705.15</v>
      </c>
      <c r="AP13" s="3">
        <f t="shared" ref="AP13:AV13" si="8">+AO13*1.05</f>
        <v>32240.407500000001</v>
      </c>
      <c r="AQ13" s="3">
        <f t="shared" si="8"/>
        <v>33852.427875000001</v>
      </c>
      <c r="AR13" s="3">
        <f t="shared" si="8"/>
        <v>35545.049268750001</v>
      </c>
      <c r="AS13" s="3">
        <f t="shared" si="8"/>
        <v>37322.301732187501</v>
      </c>
      <c r="AT13" s="3">
        <f t="shared" si="8"/>
        <v>39188.416818796875</v>
      </c>
      <c r="AU13" s="3">
        <f t="shared" si="8"/>
        <v>41147.837659736724</v>
      </c>
      <c r="AV13" s="3">
        <f t="shared" si="8"/>
        <v>43205.229542723566</v>
      </c>
    </row>
    <row r="14" spans="1:48" s="3" customFormat="1" x14ac:dyDescent="0.15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/>
      <c r="X14" s="11"/>
      <c r="Y14" s="11"/>
      <c r="Z14" s="11"/>
      <c r="AI14" s="3">
        <v>69811</v>
      </c>
      <c r="AJ14" s="3">
        <v>85296</v>
      </c>
      <c r="AK14" s="3">
        <v>98115</v>
      </c>
      <c r="AL14" s="3">
        <f t="shared" si="1"/>
        <v>104062</v>
      </c>
      <c r="AM14" s="3">
        <f>SUM(K14:N14)</f>
        <v>148951</v>
      </c>
      <c r="AN14" s="3">
        <f t="shared" si="3"/>
        <v>162450</v>
      </c>
      <c r="AO14" s="3">
        <f>+AN14*1.1</f>
        <v>178695</v>
      </c>
      <c r="AP14" s="3">
        <f t="shared" ref="AP14:AV14" si="9">+AO14*1.1</f>
        <v>196564.50000000003</v>
      </c>
      <c r="AQ14" s="3">
        <f t="shared" si="9"/>
        <v>216220.95000000004</v>
      </c>
      <c r="AR14" s="3">
        <f t="shared" si="9"/>
        <v>237843.04500000007</v>
      </c>
      <c r="AS14" s="3">
        <f t="shared" si="9"/>
        <v>261627.3495000001</v>
      </c>
      <c r="AT14" s="3">
        <f t="shared" si="9"/>
        <v>287790.08445000014</v>
      </c>
      <c r="AU14" s="3">
        <f t="shared" si="9"/>
        <v>316569.09289500018</v>
      </c>
      <c r="AV14" s="3">
        <f t="shared" si="9"/>
        <v>348226.00218450022</v>
      </c>
    </row>
    <row r="15" spans="1:48" s="3" customFormat="1" x14ac:dyDescent="0.15">
      <c r="B15" s="3" t="s">
        <v>38</v>
      </c>
      <c r="C15" s="11">
        <f t="shared" ref="C15:G15" si="10">SUM(C11:C14)</f>
        <v>34207</v>
      </c>
      <c r="D15" s="11">
        <f t="shared" si="10"/>
        <v>0</v>
      </c>
      <c r="E15" s="11">
        <f t="shared" si="10"/>
        <v>0</v>
      </c>
      <c r="F15" s="11">
        <f t="shared" si="10"/>
        <v>0</v>
      </c>
      <c r="G15" s="11">
        <f t="shared" si="10"/>
        <v>38198</v>
      </c>
      <c r="H15" s="11">
        <f t="shared" ref="H15" si="11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12">SUM(L11:L14)</f>
        <v>57067</v>
      </c>
      <c r="M15" s="11">
        <f t="shared" ref="M15:Q15" si="13">SUM(M11:M14)</f>
        <v>59884</v>
      </c>
      <c r="N15" s="11">
        <f t="shared" si="13"/>
        <v>69400</v>
      </c>
      <c r="O15" s="11">
        <f t="shared" si="13"/>
        <v>61472</v>
      </c>
      <c r="P15" s="11">
        <f t="shared" si="13"/>
        <v>62841</v>
      </c>
      <c r="Q15" s="11">
        <f t="shared" si="13"/>
        <v>61377</v>
      </c>
      <c r="R15" s="11">
        <f>SUM(R11:R14)</f>
        <v>67838</v>
      </c>
      <c r="S15" s="11">
        <f>SUM(S11:S14)</f>
        <v>61961</v>
      </c>
      <c r="T15" s="11">
        <f>SUM(T11:T14)</f>
        <v>66285</v>
      </c>
      <c r="U15" s="11">
        <f>SUM(U11:U14)</f>
        <v>67986</v>
      </c>
      <c r="V15" s="11">
        <f>SUM(V11:V14)</f>
        <v>76311</v>
      </c>
      <c r="W15" s="11"/>
      <c r="X15" s="11"/>
      <c r="Y15" s="11"/>
      <c r="Z15" s="11"/>
      <c r="AI15" s="11">
        <f t="shared" ref="AI15:AL15" si="14">SUM(AI11:AI14)</f>
        <v>106491</v>
      </c>
      <c r="AJ15" s="11">
        <f t="shared" si="14"/>
        <v>130524</v>
      </c>
      <c r="AK15" s="11">
        <f t="shared" si="14"/>
        <v>151825</v>
      </c>
      <c r="AL15" s="11">
        <f t="shared" si="14"/>
        <v>168635</v>
      </c>
      <c r="AM15" s="11">
        <f>SUM(AM11:AM14)</f>
        <v>237529</v>
      </c>
      <c r="AN15" s="11">
        <f>SUM(AN11:AN14)</f>
        <v>253528</v>
      </c>
      <c r="AO15" s="11">
        <f>SUM(AO11:AO14)</f>
        <v>273090.2</v>
      </c>
      <c r="AP15" s="11">
        <f t="shared" ref="AP15:AV15" si="15">SUM(AP11:AP14)</f>
        <v>294405.65900000004</v>
      </c>
      <c r="AQ15" s="11">
        <f t="shared" si="15"/>
        <v>317642.15192000009</v>
      </c>
      <c r="AR15" s="11">
        <f t="shared" si="15"/>
        <v>342983.9315351001</v>
      </c>
      <c r="AS15" s="11">
        <f t="shared" si="15"/>
        <v>370633.36361652811</v>
      </c>
      <c r="AT15" s="11">
        <f t="shared" si="15"/>
        <v>400812.72502466774</v>
      </c>
      <c r="AU15" s="11">
        <f t="shared" si="15"/>
        <v>433766.18102328375</v>
      </c>
      <c r="AV15" s="11">
        <f t="shared" si="15"/>
        <v>469761.95970982703</v>
      </c>
    </row>
    <row r="16" spans="1:48" s="9" customFormat="1" x14ac:dyDescent="0.15">
      <c r="B16" s="9" t="s">
        <v>8</v>
      </c>
      <c r="C16" s="10">
        <f t="shared" ref="C16:G16" si="16">C15+C10+C9+C8</f>
        <v>36339</v>
      </c>
      <c r="D16" s="10">
        <f t="shared" si="16"/>
        <v>0</v>
      </c>
      <c r="E16" s="10">
        <f t="shared" si="16"/>
        <v>0</v>
      </c>
      <c r="F16" s="10">
        <f t="shared" si="16"/>
        <v>0</v>
      </c>
      <c r="G16" s="10">
        <f t="shared" si="16"/>
        <v>41159</v>
      </c>
      <c r="H16" s="10">
        <f t="shared" ref="H16" si="17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18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Z16" si="19">Q15+Q10+Q9+Q8</f>
        <v>69092</v>
      </c>
      <c r="R16" s="10">
        <f>R15+R10+R9+R8</f>
        <v>76048</v>
      </c>
      <c r="S16" s="10">
        <f t="shared" si="19"/>
        <v>69787</v>
      </c>
      <c r="T16" s="10">
        <f t="shared" si="19"/>
        <v>74604</v>
      </c>
      <c r="U16" s="10">
        <f t="shared" si="19"/>
        <v>76693</v>
      </c>
      <c r="V16" s="10">
        <f t="shared" si="19"/>
        <v>86310</v>
      </c>
      <c r="W16" s="10">
        <f t="shared" si="19"/>
        <v>0</v>
      </c>
      <c r="X16" s="10">
        <f t="shared" si="19"/>
        <v>0</v>
      </c>
      <c r="Y16" s="10">
        <f t="shared" si="19"/>
        <v>0</v>
      </c>
      <c r="Z16" s="10">
        <f t="shared" si="19"/>
        <v>0</v>
      </c>
      <c r="AA16" s="10"/>
      <c r="AB16" s="10"/>
      <c r="AC16" s="10"/>
      <c r="AD16" s="10">
        <v>46039</v>
      </c>
      <c r="AE16" s="10">
        <v>55519</v>
      </c>
      <c r="AF16" s="10">
        <v>66001</v>
      </c>
      <c r="AG16" s="10">
        <v>74989</v>
      </c>
      <c r="AH16" s="10">
        <v>90272</v>
      </c>
      <c r="AI16" s="10">
        <f t="shared" ref="AI16:AL16" si="20">AI15+AI10+AI9+AI8</f>
        <v>110855</v>
      </c>
      <c r="AJ16" s="10">
        <f t="shared" si="20"/>
        <v>136819</v>
      </c>
      <c r="AK16" s="10">
        <f t="shared" si="20"/>
        <v>161857</v>
      </c>
      <c r="AL16" s="10">
        <f t="shared" si="20"/>
        <v>182527</v>
      </c>
      <c r="AM16" s="10">
        <f>AM15+AM10+AM9+AM8</f>
        <v>257637</v>
      </c>
      <c r="AN16" s="10">
        <f>AN15+AN10+AN9+AN8</f>
        <v>282836</v>
      </c>
      <c r="AO16" s="10">
        <f t="shared" ref="AO16" si="21">AO15+AO10+AO9+AO8</f>
        <v>310960.88</v>
      </c>
      <c r="AP16" s="10">
        <f t="shared" ref="AP16" si="22">AP15+AP10+AP9+AP8</f>
        <v>347003.92580000003</v>
      </c>
      <c r="AQ16" s="10">
        <f t="shared" ref="AQ16" si="23">AQ15+AQ10+AQ9+AQ8</f>
        <v>385703.95338800008</v>
      </c>
      <c r="AR16" s="10">
        <f t="shared" ref="AR16" si="24">AR15+AR10+AR9+AR8</f>
        <v>431145.16861778009</v>
      </c>
      <c r="AS16" s="10">
        <f t="shared" ref="AS16" si="25">AS15+AS10+AS9+AS8</f>
        <v>484920.67595003493</v>
      </c>
      <c r="AT16" s="10">
        <f t="shared" ref="AT16" si="26">AT15+AT10+AT9+AT8</f>
        <v>537744.22886550962</v>
      </c>
      <c r="AU16" s="10">
        <f t="shared" ref="AU16" si="27">AU15+AU10+AU9+AU8</f>
        <v>597868.581963334</v>
      </c>
      <c r="AV16" s="10">
        <f t="shared" ref="AV16" si="28">AV15+AV10+AV9+AV8</f>
        <v>666467.28313223785</v>
      </c>
    </row>
    <row r="17" spans="2:105" s="3" customFormat="1" x14ac:dyDescent="0.15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/>
      <c r="X17" s="11"/>
      <c r="Y17" s="11"/>
      <c r="Z17" s="11"/>
      <c r="AF17" s="3">
        <v>25691</v>
      </c>
      <c r="AG17" s="3">
        <v>28164</v>
      </c>
      <c r="AH17" s="3">
        <v>35138</v>
      </c>
      <c r="AI17" s="3">
        <v>45583</v>
      </c>
      <c r="AJ17" s="3">
        <v>59549</v>
      </c>
      <c r="AK17" s="3">
        <v>71896</v>
      </c>
      <c r="AL17" s="3">
        <v>84732</v>
      </c>
      <c r="AM17" s="3">
        <v>110939</v>
      </c>
      <c r="AN17" s="3">
        <f>SUM(O17:R17)</f>
        <v>126203</v>
      </c>
      <c r="AO17" s="3">
        <f>+AO16-AO19</f>
        <v>136822.78719999999</v>
      </c>
      <c r="AP17" s="3">
        <f t="shared" ref="AP17:AV17" si="29">+AP16-AP19</f>
        <v>152681.72735199999</v>
      </c>
      <c r="AQ17" s="3">
        <f t="shared" si="29"/>
        <v>169709.73949072001</v>
      </c>
      <c r="AR17" s="3">
        <f t="shared" si="29"/>
        <v>189703.87419182321</v>
      </c>
      <c r="AS17" s="3">
        <f t="shared" si="29"/>
        <v>213365.09741801536</v>
      </c>
      <c r="AT17" s="3">
        <f t="shared" si="29"/>
        <v>236607.46070082422</v>
      </c>
      <c r="AU17" s="3">
        <f t="shared" si="29"/>
        <v>263062.17606386694</v>
      </c>
      <c r="AV17" s="3">
        <f t="shared" si="29"/>
        <v>293245.6045781846</v>
      </c>
    </row>
    <row r="18" spans="2:105" s="3" customFormat="1" x14ac:dyDescent="0.15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/>
      <c r="T18" s="11">
        <v>12537</v>
      </c>
      <c r="U18" s="11">
        <v>12642</v>
      </c>
      <c r="V18" s="11">
        <v>13986</v>
      </c>
      <c r="W18" s="11"/>
      <c r="X18" s="11"/>
      <c r="Y18" s="11"/>
      <c r="Z18" s="11"/>
    </row>
    <row r="19" spans="2:105" s="3" customFormat="1" x14ac:dyDescent="0.15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30">H16-H17</f>
        <v>19744</v>
      </c>
      <c r="I19" s="11">
        <f t="shared" ref="I19" si="31">I16-I17</f>
        <v>25056</v>
      </c>
      <c r="J19" s="11">
        <f t="shared" ref="J19:N19" si="32">J16-J17</f>
        <v>30818</v>
      </c>
      <c r="K19" s="11">
        <f t="shared" si="32"/>
        <v>31211</v>
      </c>
      <c r="L19" s="11">
        <f t="shared" si="32"/>
        <v>35653</v>
      </c>
      <c r="M19" s="11">
        <f t="shared" si="32"/>
        <v>37497</v>
      </c>
      <c r="N19" s="11">
        <f t="shared" si="32"/>
        <v>42337</v>
      </c>
      <c r="O19" s="11">
        <f>O16-O17</f>
        <v>38412</v>
      </c>
      <c r="P19" s="11">
        <f t="shared" ref="P19:Q19" si="33">P16-P17</f>
        <v>39581</v>
      </c>
      <c r="Q19" s="11">
        <f t="shared" si="33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Z19" si="34">V16-V17</f>
        <v>48735</v>
      </c>
      <c r="W19" s="11">
        <f t="shared" si="34"/>
        <v>0</v>
      </c>
      <c r="X19" s="11">
        <f t="shared" si="34"/>
        <v>0</v>
      </c>
      <c r="Y19" s="11">
        <f t="shared" si="34"/>
        <v>0</v>
      </c>
      <c r="Z19" s="11">
        <f t="shared" si="34"/>
        <v>0</v>
      </c>
      <c r="AF19" s="3">
        <f t="shared" ref="AF19:AK19" si="35">+AF16-AF17</f>
        <v>40310</v>
      </c>
      <c r="AG19" s="3">
        <f t="shared" si="35"/>
        <v>46825</v>
      </c>
      <c r="AH19" s="3">
        <f t="shared" si="35"/>
        <v>55134</v>
      </c>
      <c r="AI19" s="3">
        <f t="shared" si="35"/>
        <v>65272</v>
      </c>
      <c r="AJ19" s="3">
        <f t="shared" si="35"/>
        <v>77270</v>
      </c>
      <c r="AK19" s="3">
        <f t="shared" si="35"/>
        <v>89961</v>
      </c>
      <c r="AL19" s="3">
        <f>AL16-AL17</f>
        <v>97795</v>
      </c>
      <c r="AM19" s="3">
        <f t="shared" ref="AM19" si="36">AM16-AM17</f>
        <v>146698</v>
      </c>
      <c r="AN19" s="3">
        <f>+AN16-AN17</f>
        <v>156633</v>
      </c>
      <c r="AO19" s="3">
        <f>+AO16*0.56</f>
        <v>174138.09280000001</v>
      </c>
      <c r="AP19" s="3">
        <f t="shared" ref="AP19:AV19" si="37">+AP16*0.56</f>
        <v>194322.19844800004</v>
      </c>
      <c r="AQ19" s="3">
        <f t="shared" si="37"/>
        <v>215994.21389728007</v>
      </c>
      <c r="AR19" s="3">
        <f t="shared" si="37"/>
        <v>241441.29442595688</v>
      </c>
      <c r="AS19" s="3">
        <f t="shared" si="37"/>
        <v>271555.57853201957</v>
      </c>
      <c r="AT19" s="3">
        <f t="shared" si="37"/>
        <v>301136.7681646854</v>
      </c>
      <c r="AU19" s="3">
        <f t="shared" si="37"/>
        <v>334806.40589946706</v>
      </c>
      <c r="AV19" s="3">
        <f t="shared" si="37"/>
        <v>373221.67855405324</v>
      </c>
    </row>
    <row r="20" spans="2:105" s="3" customFormat="1" x14ac:dyDescent="0.15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/>
      <c r="X20" s="11"/>
      <c r="Y20" s="11"/>
      <c r="Z20" s="11"/>
      <c r="AF20" s="3">
        <v>9832</v>
      </c>
      <c r="AG20" s="3">
        <v>12282</v>
      </c>
      <c r="AH20" s="3">
        <v>13948</v>
      </c>
      <c r="AI20" s="3">
        <v>16625</v>
      </c>
      <c r="AJ20" s="3">
        <v>21419</v>
      </c>
      <c r="AK20" s="3">
        <v>26018</v>
      </c>
      <c r="AL20" s="3">
        <v>27573</v>
      </c>
      <c r="AM20" s="3">
        <v>31562</v>
      </c>
      <c r="AN20" s="3">
        <f t="shared" ref="AN20:AN22" si="38">SUM(O20:R20)</f>
        <v>39500</v>
      </c>
      <c r="AO20" s="3">
        <f>+AN20*1.05</f>
        <v>41475</v>
      </c>
      <c r="AP20" s="3">
        <f t="shared" ref="AP20:AV20" si="39">+AO20*1.05</f>
        <v>43548.75</v>
      </c>
      <c r="AQ20" s="3">
        <f t="shared" si="39"/>
        <v>45726.1875</v>
      </c>
      <c r="AR20" s="3">
        <f t="shared" si="39"/>
        <v>48012.496875000004</v>
      </c>
      <c r="AS20" s="3">
        <f t="shared" si="39"/>
        <v>50413.121718750008</v>
      </c>
      <c r="AT20" s="3">
        <f t="shared" si="39"/>
        <v>52933.77780468751</v>
      </c>
      <c r="AU20" s="3">
        <f t="shared" si="39"/>
        <v>55580.466694921888</v>
      </c>
      <c r="AV20" s="3">
        <f t="shared" si="39"/>
        <v>58359.490029667984</v>
      </c>
    </row>
    <row r="21" spans="2:105" s="3" customFormat="1" x14ac:dyDescent="0.15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/>
      <c r="X21" s="11"/>
      <c r="Y21" s="11"/>
      <c r="Z21" s="11"/>
      <c r="AF21" s="3">
        <v>8131</v>
      </c>
      <c r="AG21" s="3">
        <v>9047</v>
      </c>
      <c r="AH21" s="3">
        <v>10485</v>
      </c>
      <c r="AI21" s="3">
        <v>12893</v>
      </c>
      <c r="AJ21" s="3">
        <v>16333</v>
      </c>
      <c r="AK21" s="3">
        <v>18464</v>
      </c>
      <c r="AL21" s="3">
        <v>17946</v>
      </c>
      <c r="AM21" s="3">
        <v>22912</v>
      </c>
      <c r="AN21" s="3">
        <f t="shared" si="38"/>
        <v>26567</v>
      </c>
      <c r="AO21" s="3">
        <f>+AN21*1.05</f>
        <v>27895.350000000002</v>
      </c>
      <c r="AP21" s="3">
        <f t="shared" ref="AP21:AV21" si="40">+AO21*1.05</f>
        <v>29290.117500000004</v>
      </c>
      <c r="AQ21" s="3">
        <f t="shared" si="40"/>
        <v>30754.623375000006</v>
      </c>
      <c r="AR21" s="3">
        <f t="shared" si="40"/>
        <v>32292.354543750007</v>
      </c>
      <c r="AS21" s="3">
        <f t="shared" si="40"/>
        <v>33906.972270937506</v>
      </c>
      <c r="AT21" s="3">
        <f t="shared" si="40"/>
        <v>35602.320884484383</v>
      </c>
      <c r="AU21" s="3">
        <f t="shared" si="40"/>
        <v>37382.436928708601</v>
      </c>
      <c r="AV21" s="3">
        <f t="shared" si="40"/>
        <v>39251.558775144033</v>
      </c>
    </row>
    <row r="22" spans="2:105" s="3" customFormat="1" x14ac:dyDescent="0.15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/>
      <c r="X22" s="11"/>
      <c r="Y22" s="11"/>
      <c r="Z22" s="11"/>
      <c r="AF22" s="3">
        <v>5851</v>
      </c>
      <c r="AG22" s="3">
        <v>6136</v>
      </c>
      <c r="AH22" s="3">
        <v>6985</v>
      </c>
      <c r="AI22" s="3">
        <v>6872</v>
      </c>
      <c r="AJ22" s="3">
        <v>8126</v>
      </c>
      <c r="AK22" s="3">
        <v>9551</v>
      </c>
      <c r="AL22" s="3">
        <v>11052</v>
      </c>
      <c r="AM22" s="3">
        <v>13510</v>
      </c>
      <c r="AN22" s="3">
        <f t="shared" si="38"/>
        <v>15724</v>
      </c>
      <c r="AO22" s="3">
        <f>+AN22*1.05</f>
        <v>16510.2</v>
      </c>
      <c r="AP22" s="3">
        <f t="shared" ref="AP22:AV22" si="41">+AO22*1.05</f>
        <v>17335.710000000003</v>
      </c>
      <c r="AQ22" s="3">
        <f t="shared" si="41"/>
        <v>18202.495500000005</v>
      </c>
      <c r="AR22" s="3">
        <f t="shared" si="41"/>
        <v>19112.620275000005</v>
      </c>
      <c r="AS22" s="3">
        <f t="shared" si="41"/>
        <v>20068.251288750005</v>
      </c>
      <c r="AT22" s="3">
        <f t="shared" si="41"/>
        <v>21071.663853187507</v>
      </c>
      <c r="AU22" s="3">
        <f t="shared" si="41"/>
        <v>22125.247045846882</v>
      </c>
      <c r="AV22" s="3">
        <f t="shared" si="41"/>
        <v>23231.509398139227</v>
      </c>
    </row>
    <row r="23" spans="2:105" s="3" customFormat="1" x14ac:dyDescent="0.15">
      <c r="B23" s="3" t="s">
        <v>26</v>
      </c>
      <c r="C23" s="11">
        <f t="shared" ref="C23" si="42">SUM(C20:C22)</f>
        <v>12022</v>
      </c>
      <c r="D23" s="11"/>
      <c r="E23" s="11"/>
      <c r="F23" s="11"/>
      <c r="G23" s="11">
        <f t="shared" ref="G23" si="43">SUM(G20:G22)</f>
        <v>14200</v>
      </c>
      <c r="H23" s="11">
        <f t="shared" ref="H23" si="44">SUM(H20:H22)</f>
        <v>13361</v>
      </c>
      <c r="I23" s="11">
        <f t="shared" ref="I23" si="45">SUM(I20:I22)</f>
        <v>13843</v>
      </c>
      <c r="J23" s="11">
        <f t="shared" ref="J23" si="46">SUM(J20:J22)</f>
        <v>15167</v>
      </c>
      <c r="K23" s="11">
        <f>SUM(K20:K22)</f>
        <v>14774</v>
      </c>
      <c r="L23" s="11">
        <f t="shared" ref="L23:O23" si="47">SUM(L20:L22)</f>
        <v>16292</v>
      </c>
      <c r="M23" s="11">
        <f t="shared" si="47"/>
        <v>16466</v>
      </c>
      <c r="N23" s="11">
        <f t="shared" si="47"/>
        <v>20452</v>
      </c>
      <c r="O23" s="11">
        <f t="shared" si="47"/>
        <v>18318</v>
      </c>
      <c r="P23" s="11">
        <f t="shared" ref="P23:Q23" si="48">SUM(P20:P22)</f>
        <v>20128</v>
      </c>
      <c r="Q23" s="11">
        <f t="shared" si="48"/>
        <v>20799</v>
      </c>
      <c r="R23" s="11">
        <f>SUM(R20:R22)</f>
        <v>22546</v>
      </c>
      <c r="S23" s="11">
        <f t="shared" ref="S23:W23" si="49">SUM(S20:S22)</f>
        <v>21760</v>
      </c>
      <c r="T23" s="11">
        <f>SUM(T20:T22)</f>
        <v>20850</v>
      </c>
      <c r="U23" s="11">
        <f t="shared" si="49"/>
        <v>22121</v>
      </c>
      <c r="V23" s="11">
        <f t="shared" si="49"/>
        <v>25038</v>
      </c>
      <c r="W23" s="11">
        <f t="shared" si="49"/>
        <v>0</v>
      </c>
      <c r="X23" s="11">
        <f t="shared" ref="X23:Z23" si="50">SUM(X20:X22)</f>
        <v>0</v>
      </c>
      <c r="Y23" s="11">
        <f t="shared" si="50"/>
        <v>0</v>
      </c>
      <c r="Z23" s="11">
        <f t="shared" si="50"/>
        <v>0</v>
      </c>
      <c r="AF23" s="3">
        <f>SUM(AF20:AF22)</f>
        <v>23814</v>
      </c>
      <c r="AG23" s="3">
        <f t="shared" ref="AG23:AK23" si="51">SUM(AG20:AG22)</f>
        <v>27465</v>
      </c>
      <c r="AH23" s="3">
        <f t="shared" si="51"/>
        <v>31418</v>
      </c>
      <c r="AI23" s="3">
        <f t="shared" si="51"/>
        <v>36390</v>
      </c>
      <c r="AJ23" s="3">
        <f t="shared" si="51"/>
        <v>45878</v>
      </c>
      <c r="AK23" s="3">
        <f t="shared" si="51"/>
        <v>54033</v>
      </c>
      <c r="AL23" s="3">
        <f>SUM(AL20:AL22)</f>
        <v>56571</v>
      </c>
      <c r="AM23" s="3">
        <f t="shared" ref="AM23:AO23" si="52">SUM(AM20:AM22)</f>
        <v>67984</v>
      </c>
      <c r="AN23" s="3">
        <f t="shared" si="52"/>
        <v>81791</v>
      </c>
      <c r="AO23" s="3">
        <f t="shared" si="52"/>
        <v>85880.55</v>
      </c>
      <c r="AP23" s="3">
        <f t="shared" ref="AP23:AV23" si="53">SUM(AP20:AP22)</f>
        <v>90174.577500000014</v>
      </c>
      <c r="AQ23" s="3">
        <f t="shared" si="53"/>
        <v>94683.306375000015</v>
      </c>
      <c r="AR23" s="3">
        <f t="shared" si="53"/>
        <v>99417.47169375002</v>
      </c>
      <c r="AS23" s="3">
        <f t="shared" si="53"/>
        <v>104388.34527843751</v>
      </c>
      <c r="AT23" s="3">
        <f t="shared" si="53"/>
        <v>109607.7625423594</v>
      </c>
      <c r="AU23" s="3">
        <f t="shared" si="53"/>
        <v>115088.15066947739</v>
      </c>
      <c r="AV23" s="3">
        <f t="shared" si="53"/>
        <v>120842.55820295124</v>
      </c>
    </row>
    <row r="24" spans="2:105" s="3" customFormat="1" x14ac:dyDescent="0.15">
      <c r="B24" s="3" t="s">
        <v>27</v>
      </c>
      <c r="C24" s="11">
        <f t="shared" ref="C24" si="54">C19-C23</f>
        <v>8305</v>
      </c>
      <c r="D24" s="11"/>
      <c r="E24" s="11"/>
      <c r="F24" s="11"/>
      <c r="G24" s="11">
        <f t="shared" ref="G24" si="55">G19-G23</f>
        <v>7977</v>
      </c>
      <c r="H24" s="11">
        <f t="shared" ref="H24" si="56">H19-H23</f>
        <v>6383</v>
      </c>
      <c r="I24" s="11">
        <f t="shared" ref="I24" si="57">I19-I23</f>
        <v>11213</v>
      </c>
      <c r="J24" s="11">
        <f t="shared" ref="J24" si="58">J19-J23</f>
        <v>15651</v>
      </c>
      <c r="K24" s="11">
        <f t="shared" ref="K24:N24" si="59">K19-K23</f>
        <v>16437</v>
      </c>
      <c r="L24" s="11">
        <f t="shared" si="59"/>
        <v>19361</v>
      </c>
      <c r="M24" s="11">
        <f t="shared" si="59"/>
        <v>21031</v>
      </c>
      <c r="N24" s="11">
        <f t="shared" si="59"/>
        <v>21885</v>
      </c>
      <c r="O24" s="11">
        <f>O19-O23</f>
        <v>20094</v>
      </c>
      <c r="P24" s="11">
        <f t="shared" ref="P24:R24" si="60">P19-P23</f>
        <v>19453</v>
      </c>
      <c r="Q24" s="11">
        <f t="shared" si="60"/>
        <v>17135</v>
      </c>
      <c r="R24" s="11">
        <f t="shared" si="60"/>
        <v>18160</v>
      </c>
      <c r="S24" s="11">
        <f t="shared" ref="S24:W24" si="61">S19-S23</f>
        <v>17415</v>
      </c>
      <c r="T24" s="11">
        <f>T19-T23</f>
        <v>21838</v>
      </c>
      <c r="U24" s="11">
        <f t="shared" si="61"/>
        <v>21343</v>
      </c>
      <c r="V24" s="11">
        <f t="shared" si="61"/>
        <v>23697</v>
      </c>
      <c r="W24" s="11">
        <f t="shared" si="61"/>
        <v>0</v>
      </c>
      <c r="X24" s="11">
        <f t="shared" ref="X24:Z24" si="62">X19-X23</f>
        <v>0</v>
      </c>
      <c r="Y24" s="11">
        <f t="shared" si="62"/>
        <v>0</v>
      </c>
      <c r="Z24" s="11">
        <f t="shared" si="62"/>
        <v>0</v>
      </c>
      <c r="AF24" s="3">
        <f>AF19-AF23</f>
        <v>16496</v>
      </c>
      <c r="AG24" s="3">
        <f t="shared" ref="AG24:AK24" si="63">AG19-AG23</f>
        <v>19360</v>
      </c>
      <c r="AH24" s="3">
        <f t="shared" si="63"/>
        <v>23716</v>
      </c>
      <c r="AI24" s="3">
        <f t="shared" si="63"/>
        <v>28882</v>
      </c>
      <c r="AJ24" s="3">
        <f t="shared" si="63"/>
        <v>31392</v>
      </c>
      <c r="AK24" s="3">
        <f t="shared" si="63"/>
        <v>35928</v>
      </c>
      <c r="AL24" s="3">
        <f>AL19-AL23</f>
        <v>41224</v>
      </c>
      <c r="AM24" s="3">
        <f t="shared" ref="AM24:AO24" si="64">AM19-AM23</f>
        <v>78714</v>
      </c>
      <c r="AN24" s="3">
        <f t="shared" si="64"/>
        <v>74842</v>
      </c>
      <c r="AO24" s="3">
        <f t="shared" si="64"/>
        <v>88257.54280000001</v>
      </c>
      <c r="AP24" s="3">
        <f t="shared" ref="AP24:AV24" si="65">AP19-AP23</f>
        <v>104147.62094800003</v>
      </c>
      <c r="AQ24" s="3">
        <f t="shared" si="65"/>
        <v>121310.90752228006</v>
      </c>
      <c r="AR24" s="3">
        <f t="shared" si="65"/>
        <v>142023.82273220684</v>
      </c>
      <c r="AS24" s="3">
        <f t="shared" si="65"/>
        <v>167167.23325358206</v>
      </c>
      <c r="AT24" s="3">
        <f t="shared" si="65"/>
        <v>191529.00562232599</v>
      </c>
      <c r="AU24" s="3">
        <f t="shared" si="65"/>
        <v>219718.25522998968</v>
      </c>
      <c r="AV24" s="3">
        <f t="shared" si="65"/>
        <v>252379.120351102</v>
      </c>
    </row>
    <row r="25" spans="2:105" s="3" customFormat="1" x14ac:dyDescent="0.15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v>715</v>
      </c>
      <c r="W25" s="11"/>
      <c r="X25" s="11"/>
      <c r="Y25" s="11"/>
      <c r="Z25" s="11"/>
      <c r="AF25" s="3">
        <v>763</v>
      </c>
      <c r="AG25" s="3">
        <v>291</v>
      </c>
      <c r="AH25" s="3">
        <v>434</v>
      </c>
      <c r="AI25" s="3">
        <v>1047</v>
      </c>
      <c r="AJ25" s="3">
        <v>8592</v>
      </c>
      <c r="AK25" s="3">
        <v>5394</v>
      </c>
      <c r="AL25" s="3">
        <v>6858</v>
      </c>
      <c r="AM25" s="3">
        <v>12020</v>
      </c>
      <c r="AN25" s="3">
        <f t="shared" ref="AN25:AN27" si="66">SUM(O25:R25)</f>
        <v>-3514</v>
      </c>
      <c r="AO25" s="3">
        <f>+AN43*$AY$34</f>
        <v>1295.53</v>
      </c>
      <c r="AP25" s="3">
        <f t="shared" ref="AP25:AV25" si="67">+AO43*$AY$34</f>
        <v>2029.86519696</v>
      </c>
      <c r="AQ25" s="3">
        <f t="shared" si="67"/>
        <v>2900.5205833486725</v>
      </c>
      <c r="AR25" s="3">
        <f t="shared" si="67"/>
        <v>3919.0542938148278</v>
      </c>
      <c r="AS25" s="3">
        <f t="shared" si="67"/>
        <v>5115.7858854282058</v>
      </c>
      <c r="AT25" s="3">
        <f t="shared" si="67"/>
        <v>6528.5066423680892</v>
      </c>
      <c r="AU25" s="3">
        <f t="shared" si="67"/>
        <v>8152.5782429385808</v>
      </c>
      <c r="AV25" s="3">
        <f t="shared" si="67"/>
        <v>10021.119077416592</v>
      </c>
    </row>
    <row r="26" spans="2:105" s="3" customFormat="1" x14ac:dyDescent="0.15">
      <c r="B26" s="3" t="s">
        <v>29</v>
      </c>
      <c r="C26" s="11">
        <f t="shared" ref="C26" si="68">C24+C25</f>
        <v>9843</v>
      </c>
      <c r="D26" s="11"/>
      <c r="E26" s="11"/>
      <c r="F26" s="11"/>
      <c r="G26" s="11">
        <f t="shared" ref="G26" si="69">G24+G25</f>
        <v>7757</v>
      </c>
      <c r="H26" s="11">
        <f t="shared" ref="H26" si="70">H24+H25</f>
        <v>8277</v>
      </c>
      <c r="I26" s="11">
        <f t="shared" ref="I26" si="71">I24+I25</f>
        <v>13359</v>
      </c>
      <c r="J26" s="11">
        <f t="shared" ref="J26" si="72">J24+J25</f>
        <v>18689</v>
      </c>
      <c r="K26" s="11">
        <f>K24+K25</f>
        <v>21283</v>
      </c>
      <c r="L26" s="11">
        <f t="shared" ref="L26:O26" si="73">L24+L25</f>
        <v>21625</v>
      </c>
      <c r="M26" s="11">
        <f t="shared" si="73"/>
        <v>23064</v>
      </c>
      <c r="N26" s="11">
        <f t="shared" si="73"/>
        <v>24402</v>
      </c>
      <c r="O26" s="11">
        <f t="shared" si="73"/>
        <v>18934</v>
      </c>
      <c r="P26" s="11">
        <f t="shared" ref="P26:Z26" si="74">P24+P25</f>
        <v>19014</v>
      </c>
      <c r="Q26" s="11">
        <f t="shared" si="74"/>
        <v>16233</v>
      </c>
      <c r="R26" s="11">
        <f t="shared" si="74"/>
        <v>17147</v>
      </c>
      <c r="S26" s="11">
        <f t="shared" si="74"/>
        <v>18205</v>
      </c>
      <c r="T26" s="11">
        <f t="shared" si="74"/>
        <v>21903</v>
      </c>
      <c r="U26" s="11">
        <f t="shared" si="74"/>
        <v>21197</v>
      </c>
      <c r="V26" s="11">
        <f t="shared" si="74"/>
        <v>24412</v>
      </c>
      <c r="W26" s="11">
        <f t="shared" si="74"/>
        <v>0</v>
      </c>
      <c r="X26" s="11">
        <f t="shared" si="74"/>
        <v>0</v>
      </c>
      <c r="Y26" s="11">
        <f t="shared" si="74"/>
        <v>0</v>
      </c>
      <c r="Z26" s="11">
        <f t="shared" si="74"/>
        <v>0</v>
      </c>
      <c r="AF26" s="3">
        <f t="shared" ref="AF26:AK26" si="75">+AF24+AF25</f>
        <v>17259</v>
      </c>
      <c r="AG26" s="3">
        <f t="shared" si="75"/>
        <v>19651</v>
      </c>
      <c r="AH26" s="3">
        <f t="shared" si="75"/>
        <v>24150</v>
      </c>
      <c r="AI26" s="3">
        <f t="shared" si="75"/>
        <v>29929</v>
      </c>
      <c r="AJ26" s="3">
        <f t="shared" si="75"/>
        <v>39984</v>
      </c>
      <c r="AK26" s="3">
        <f t="shared" si="75"/>
        <v>41322</v>
      </c>
      <c r="AL26" s="3">
        <f>AL24+AL25</f>
        <v>48082</v>
      </c>
      <c r="AM26" s="3">
        <f t="shared" ref="AM26:AO26" si="76">AM24+AM25</f>
        <v>90734</v>
      </c>
      <c r="AN26" s="3">
        <f t="shared" si="76"/>
        <v>71328</v>
      </c>
      <c r="AO26" s="3">
        <f t="shared" si="76"/>
        <v>89553.072800000009</v>
      </c>
      <c r="AP26" s="3">
        <f t="shared" ref="AP26:AV26" si="77">AP24+AP25</f>
        <v>106177.48614496003</v>
      </c>
      <c r="AQ26" s="3">
        <f t="shared" si="77"/>
        <v>124211.42810562873</v>
      </c>
      <c r="AR26" s="3">
        <f t="shared" si="77"/>
        <v>145942.87702602166</v>
      </c>
      <c r="AS26" s="3">
        <f t="shared" si="77"/>
        <v>172283.01913901026</v>
      </c>
      <c r="AT26" s="3">
        <f t="shared" si="77"/>
        <v>198057.51226469409</v>
      </c>
      <c r="AU26" s="3">
        <f t="shared" si="77"/>
        <v>227870.83347292827</v>
      </c>
      <c r="AV26" s="3">
        <f t="shared" si="77"/>
        <v>262400.23942851857</v>
      </c>
    </row>
    <row r="27" spans="2:105" s="3" customFormat="1" x14ac:dyDescent="0.15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/>
      <c r="X27" s="11"/>
      <c r="Y27" s="11"/>
      <c r="Z27" s="11"/>
      <c r="AF27" s="3">
        <v>3639</v>
      </c>
      <c r="AG27" s="3">
        <v>3303</v>
      </c>
      <c r="AH27" s="3">
        <v>4672</v>
      </c>
      <c r="AI27" s="3">
        <v>14531</v>
      </c>
      <c r="AJ27" s="3">
        <v>4177</v>
      </c>
      <c r="AK27" s="3">
        <v>5282</v>
      </c>
      <c r="AL27" s="3">
        <v>7813</v>
      </c>
      <c r="AM27" s="3">
        <v>14701</v>
      </c>
      <c r="AN27" s="3">
        <f t="shared" si="66"/>
        <v>11356</v>
      </c>
      <c r="AO27" s="3">
        <f>+AO26*0.18</f>
        <v>16119.553104000001</v>
      </c>
      <c r="AP27" s="3">
        <f t="shared" ref="AP27:AV27" si="78">+AP26*0.18</f>
        <v>19111.947506092805</v>
      </c>
      <c r="AQ27" s="3">
        <f t="shared" si="78"/>
        <v>22358.057059013172</v>
      </c>
      <c r="AR27" s="3">
        <f t="shared" si="78"/>
        <v>26269.717864683898</v>
      </c>
      <c r="AS27" s="3">
        <f t="shared" si="78"/>
        <v>31010.943445021843</v>
      </c>
      <c r="AT27" s="3">
        <f t="shared" si="78"/>
        <v>35650.352207644937</v>
      </c>
      <c r="AU27" s="3">
        <f t="shared" si="78"/>
        <v>41016.750025127083</v>
      </c>
      <c r="AV27" s="3">
        <f t="shared" si="78"/>
        <v>47232.043097133341</v>
      </c>
    </row>
    <row r="28" spans="2:105" s="3" customFormat="1" x14ac:dyDescent="0.15">
      <c r="B28" s="3" t="s">
        <v>31</v>
      </c>
      <c r="C28" s="11">
        <f t="shared" ref="C28" si="79">C26-C27</f>
        <v>8354</v>
      </c>
      <c r="D28" s="11"/>
      <c r="E28" s="11"/>
      <c r="F28" s="11"/>
      <c r="G28" s="11">
        <f t="shared" ref="G28" si="80">G26-G27</f>
        <v>6836</v>
      </c>
      <c r="H28" s="11">
        <f t="shared" ref="H28" si="81">H26-H27</f>
        <v>6959</v>
      </c>
      <c r="I28" s="11">
        <f t="shared" ref="I28" si="82">I26-I27</f>
        <v>11247</v>
      </c>
      <c r="J28" s="11">
        <f t="shared" ref="J28" si="83">J26-J27</f>
        <v>15227</v>
      </c>
      <c r="K28" s="11">
        <f>K26-K27</f>
        <v>17930</v>
      </c>
      <c r="L28" s="11">
        <f t="shared" ref="L28:O28" si="84">L26-L27</f>
        <v>18165</v>
      </c>
      <c r="M28" s="11">
        <f t="shared" si="84"/>
        <v>18936</v>
      </c>
      <c r="N28" s="11">
        <f t="shared" si="84"/>
        <v>20642</v>
      </c>
      <c r="O28" s="11">
        <f t="shared" si="84"/>
        <v>16436</v>
      </c>
      <c r="P28" s="11">
        <f t="shared" ref="P28:Z28" si="85">P26-P27</f>
        <v>16002</v>
      </c>
      <c r="Q28" s="11">
        <f t="shared" si="85"/>
        <v>13910</v>
      </c>
      <c r="R28" s="11">
        <f t="shared" si="85"/>
        <v>13624</v>
      </c>
      <c r="S28" s="11">
        <f t="shared" si="85"/>
        <v>15051</v>
      </c>
      <c r="T28" s="11">
        <f t="shared" si="85"/>
        <v>18368</v>
      </c>
      <c r="U28" s="11">
        <f t="shared" si="85"/>
        <v>19689</v>
      </c>
      <c r="V28" s="11">
        <f t="shared" si="85"/>
        <v>20687</v>
      </c>
      <c r="W28" s="11">
        <f t="shared" si="85"/>
        <v>0</v>
      </c>
      <c r="X28" s="11">
        <f t="shared" si="85"/>
        <v>0</v>
      </c>
      <c r="Y28" s="11">
        <f t="shared" si="85"/>
        <v>0</v>
      </c>
      <c r="Z28" s="11">
        <f t="shared" si="85"/>
        <v>0</v>
      </c>
      <c r="AF28" s="3">
        <f t="shared" ref="AF28:AK28" si="86">+AF26-AF27</f>
        <v>13620</v>
      </c>
      <c r="AG28" s="3">
        <f t="shared" si="86"/>
        <v>16348</v>
      </c>
      <c r="AH28" s="3">
        <f t="shared" si="86"/>
        <v>19478</v>
      </c>
      <c r="AI28" s="3">
        <f t="shared" si="86"/>
        <v>15398</v>
      </c>
      <c r="AJ28" s="3">
        <f t="shared" si="86"/>
        <v>35807</v>
      </c>
      <c r="AK28" s="3">
        <f t="shared" si="86"/>
        <v>36040</v>
      </c>
      <c r="AL28" s="3">
        <f>AL26-AL27</f>
        <v>40269</v>
      </c>
      <c r="AM28" s="3">
        <f t="shared" ref="AM28:AO28" si="87">AM26-AM27</f>
        <v>76033</v>
      </c>
      <c r="AN28" s="3">
        <f t="shared" si="87"/>
        <v>59972</v>
      </c>
      <c r="AO28" s="3">
        <f t="shared" si="87"/>
        <v>73433.519696000003</v>
      </c>
      <c r="AP28" s="3">
        <f t="shared" ref="AP28:AV28" si="88">AP26-AP27</f>
        <v>87065.53863886722</v>
      </c>
      <c r="AQ28" s="3">
        <f t="shared" si="88"/>
        <v>101853.37104661556</v>
      </c>
      <c r="AR28" s="3">
        <f t="shared" si="88"/>
        <v>119673.15916133775</v>
      </c>
      <c r="AS28" s="3">
        <f t="shared" si="88"/>
        <v>141272.07569398842</v>
      </c>
      <c r="AT28" s="3">
        <f t="shared" si="88"/>
        <v>162407.16005704916</v>
      </c>
      <c r="AU28" s="3">
        <f t="shared" si="88"/>
        <v>186854.08344780118</v>
      </c>
      <c r="AV28" s="3">
        <f t="shared" si="88"/>
        <v>215168.19633138523</v>
      </c>
      <c r="AW28" s="3">
        <f>+AV28*(1+$AY$32)</f>
        <v>213016.51436807137</v>
      </c>
      <c r="AX28" s="3">
        <f t="shared" ref="AX28:DA28" si="89">+AW28*(1+$AY$32)</f>
        <v>210886.34922439064</v>
      </c>
      <c r="AY28" s="3">
        <f t="shared" si="89"/>
        <v>208777.48573214674</v>
      </c>
      <c r="AZ28" s="3">
        <f t="shared" si="89"/>
        <v>206689.71087482528</v>
      </c>
      <c r="BA28" s="3">
        <f t="shared" si="89"/>
        <v>204622.81376607702</v>
      </c>
      <c r="BB28" s="3">
        <f t="shared" si="89"/>
        <v>202576.58562841624</v>
      </c>
      <c r="BC28" s="3">
        <f t="shared" si="89"/>
        <v>200550.81977213209</v>
      </c>
      <c r="BD28" s="3">
        <f t="shared" si="89"/>
        <v>198545.31157441076</v>
      </c>
      <c r="BE28" s="3">
        <f t="shared" si="89"/>
        <v>196559.85845866665</v>
      </c>
      <c r="BF28" s="3">
        <f t="shared" si="89"/>
        <v>194594.25987407999</v>
      </c>
      <c r="BG28" s="3">
        <f t="shared" si="89"/>
        <v>192648.31727533918</v>
      </c>
      <c r="BH28" s="3">
        <f t="shared" si="89"/>
        <v>190721.8341025858</v>
      </c>
      <c r="BI28" s="3">
        <f t="shared" si="89"/>
        <v>188814.61576155992</v>
      </c>
      <c r="BJ28" s="3">
        <f t="shared" si="89"/>
        <v>186926.46960394431</v>
      </c>
      <c r="BK28" s="3">
        <f t="shared" si="89"/>
        <v>185057.20490790487</v>
      </c>
      <c r="BL28" s="3">
        <f t="shared" si="89"/>
        <v>183206.63285882582</v>
      </c>
      <c r="BM28" s="3">
        <f t="shared" si="89"/>
        <v>181374.56653023756</v>
      </c>
      <c r="BN28" s="3">
        <f t="shared" si="89"/>
        <v>179560.82086493517</v>
      </c>
      <c r="BO28" s="3">
        <f t="shared" si="89"/>
        <v>177765.21265628582</v>
      </c>
      <c r="BP28" s="3">
        <f t="shared" si="89"/>
        <v>175987.56052972295</v>
      </c>
      <c r="BQ28" s="3">
        <f t="shared" si="89"/>
        <v>174227.68492442573</v>
      </c>
      <c r="BR28" s="3">
        <f t="shared" si="89"/>
        <v>172485.40807518148</v>
      </c>
      <c r="BS28" s="3">
        <f t="shared" si="89"/>
        <v>170760.55399442965</v>
      </c>
      <c r="BT28" s="3">
        <f t="shared" si="89"/>
        <v>169052.94845448536</v>
      </c>
      <c r="BU28" s="3">
        <f t="shared" si="89"/>
        <v>167362.41896994051</v>
      </c>
      <c r="BV28" s="3">
        <f t="shared" si="89"/>
        <v>165688.79478024109</v>
      </c>
      <c r="BW28" s="3">
        <f t="shared" si="89"/>
        <v>164031.90683243869</v>
      </c>
      <c r="BX28" s="3">
        <f t="shared" si="89"/>
        <v>162391.58776411429</v>
      </c>
      <c r="BY28" s="3">
        <f t="shared" si="89"/>
        <v>160767.67188647314</v>
      </c>
      <c r="BZ28" s="3">
        <f t="shared" si="89"/>
        <v>159159.9951676084</v>
      </c>
      <c r="CA28" s="3">
        <f t="shared" si="89"/>
        <v>157568.39521593231</v>
      </c>
      <c r="CB28" s="3">
        <f t="shared" si="89"/>
        <v>155992.71126377297</v>
      </c>
      <c r="CC28" s="3">
        <f t="shared" si="89"/>
        <v>154432.78415113525</v>
      </c>
      <c r="CD28" s="3">
        <f t="shared" si="89"/>
        <v>152888.4563096239</v>
      </c>
      <c r="CE28" s="3">
        <f t="shared" si="89"/>
        <v>151359.57174652765</v>
      </c>
      <c r="CF28" s="3">
        <f t="shared" si="89"/>
        <v>149845.97602906238</v>
      </c>
      <c r="CG28" s="3">
        <f t="shared" si="89"/>
        <v>148347.51626877175</v>
      </c>
      <c r="CH28" s="3">
        <f t="shared" si="89"/>
        <v>146864.04110608404</v>
      </c>
      <c r="CI28" s="3">
        <f t="shared" si="89"/>
        <v>145395.40069502321</v>
      </c>
      <c r="CJ28" s="3">
        <f t="shared" si="89"/>
        <v>143941.44668807299</v>
      </c>
      <c r="CK28" s="3">
        <f t="shared" si="89"/>
        <v>142502.03222119226</v>
      </c>
      <c r="CL28" s="3">
        <f t="shared" si="89"/>
        <v>141077.01189898033</v>
      </c>
      <c r="CM28" s="3">
        <f t="shared" si="89"/>
        <v>139666.24177999052</v>
      </c>
      <c r="CN28" s="3">
        <f t="shared" si="89"/>
        <v>138269.57936219062</v>
      </c>
      <c r="CO28" s="3">
        <f t="shared" si="89"/>
        <v>136886.88356856871</v>
      </c>
      <c r="CP28" s="3">
        <f t="shared" si="89"/>
        <v>135518.01473288302</v>
      </c>
      <c r="CQ28" s="3">
        <f t="shared" si="89"/>
        <v>134162.8345855542</v>
      </c>
      <c r="CR28" s="3">
        <f t="shared" si="89"/>
        <v>132821.20623969866</v>
      </c>
      <c r="CS28" s="3">
        <f t="shared" si="89"/>
        <v>131492.99417730168</v>
      </c>
      <c r="CT28" s="3">
        <f t="shared" si="89"/>
        <v>130178.06423552865</v>
      </c>
      <c r="CU28" s="3">
        <f t="shared" si="89"/>
        <v>128876.28359317337</v>
      </c>
      <c r="CV28" s="3">
        <f t="shared" si="89"/>
        <v>127587.52075724164</v>
      </c>
      <c r="CW28" s="3">
        <f t="shared" si="89"/>
        <v>126311.64554966922</v>
      </c>
      <c r="CX28" s="3">
        <f t="shared" si="89"/>
        <v>125048.52909417253</v>
      </c>
      <c r="CY28" s="3">
        <f t="shared" si="89"/>
        <v>123798.0438032308</v>
      </c>
      <c r="CZ28" s="3">
        <f t="shared" si="89"/>
        <v>122560.0633651985</v>
      </c>
      <c r="DA28" s="3">
        <f t="shared" si="89"/>
        <v>121334.4627315465</v>
      </c>
    </row>
    <row r="29" spans="2:105" s="7" customFormat="1" x14ac:dyDescent="0.15">
      <c r="B29" s="9" t="s">
        <v>32</v>
      </c>
      <c r="C29" s="14">
        <f t="shared" ref="C29" si="90">C28/C30</f>
        <v>11.919318455824756</v>
      </c>
      <c r="D29" s="14"/>
      <c r="E29" s="14"/>
      <c r="F29" s="14"/>
      <c r="G29" s="14">
        <f t="shared" ref="G29" si="91">G28/G30</f>
        <v>9.8748026411774639</v>
      </c>
      <c r="H29" s="14">
        <f t="shared" ref="H29" si="92">H28/H30</f>
        <v>10.129194904399265</v>
      </c>
      <c r="I29" s="14">
        <f t="shared" ref="I29" si="93">I28/I30</f>
        <v>16.398605528022852</v>
      </c>
      <c r="J29" s="14">
        <f t="shared" ref="J29" si="94">J28/J30</f>
        <v>22.295301836540162</v>
      </c>
      <c r="K29" s="14">
        <f t="shared" ref="K29:N29" si="95">K28/K30</f>
        <v>26.287585896482916</v>
      </c>
      <c r="L29" s="14">
        <f t="shared" si="95"/>
        <v>1.3364479105356091</v>
      </c>
      <c r="M29" s="14">
        <f t="shared" si="95"/>
        <v>27.990344690984287</v>
      </c>
      <c r="N29" s="14">
        <f t="shared" si="95"/>
        <v>30.69474329100823</v>
      </c>
      <c r="O29" s="14">
        <f>O28/O30</f>
        <v>24.621339792764896</v>
      </c>
      <c r="P29" s="14">
        <f t="shared" ref="P29:Z29" si="96">P28/P30</f>
        <v>1.2087015635622025</v>
      </c>
      <c r="Q29" s="14">
        <f t="shared" si="96"/>
        <v>1.0620752844162786</v>
      </c>
      <c r="R29" s="14">
        <f t="shared" si="96"/>
        <v>1.0522901058160192</v>
      </c>
      <c r="S29" s="14">
        <f t="shared" si="96"/>
        <v>1.1737502924432659</v>
      </c>
      <c r="T29" s="14">
        <f t="shared" si="96"/>
        <v>1.4544302795154012</v>
      </c>
      <c r="U29" s="14">
        <f t="shared" si="96"/>
        <v>1.5508034026465027</v>
      </c>
      <c r="V29" s="14">
        <f t="shared" si="96"/>
        <v>1.6415648309792097</v>
      </c>
      <c r="W29" s="14">
        <f t="shared" si="96"/>
        <v>0</v>
      </c>
      <c r="X29" s="14">
        <f t="shared" si="96"/>
        <v>0</v>
      </c>
      <c r="Y29" s="14">
        <f t="shared" si="96"/>
        <v>0</v>
      </c>
      <c r="Z29" s="14">
        <f t="shared" si="96"/>
        <v>0</v>
      </c>
      <c r="AL29" s="17">
        <f>AL28/AL30</f>
        <v>58.613331625494155</v>
      </c>
      <c r="AM29" s="17">
        <f>AM28/AM30</f>
        <v>112.19701508394893</v>
      </c>
      <c r="AN29" s="17">
        <f>AN28/AN30</f>
        <v>4.5799964361174039</v>
      </c>
      <c r="AO29" s="17">
        <f>AO28/AO30</f>
        <v>5.6080380594150139</v>
      </c>
      <c r="AP29" s="17">
        <f t="shared" ref="AP29:AV29" si="97">AP28/AP30</f>
        <v>6.6491005248224839</v>
      </c>
      <c r="AQ29" s="17">
        <f t="shared" si="97"/>
        <v>7.778431207897734</v>
      </c>
      <c r="AR29" s="17">
        <f t="shared" si="97"/>
        <v>9.1393090518548288</v>
      </c>
      <c r="AS29" s="17">
        <f t="shared" si="97"/>
        <v>10.788794824274246</v>
      </c>
      <c r="AT29" s="17">
        <f t="shared" si="97"/>
        <v>12.402858238198393</v>
      </c>
      <c r="AU29" s="17">
        <f t="shared" si="97"/>
        <v>14.269843197907582</v>
      </c>
      <c r="AV29" s="17">
        <f t="shared" si="97"/>
        <v>16.432161214626063</v>
      </c>
    </row>
    <row r="30" spans="2:105" s="3" customFormat="1" x14ac:dyDescent="0.15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f>V30</f>
        <v>12602</v>
      </c>
      <c r="X30" s="11">
        <f>W30</f>
        <v>12602</v>
      </c>
      <c r="Y30" s="11">
        <f>X30</f>
        <v>12602</v>
      </c>
      <c r="Z30" s="11">
        <f>Y30</f>
        <v>12602</v>
      </c>
      <c r="AG30" s="3">
        <v>687.34799999999996</v>
      </c>
      <c r="AH30" s="3">
        <v>691.29300000000001</v>
      </c>
      <c r="AL30" s="3">
        <v>687.02800000000002</v>
      </c>
      <c r="AM30" s="3">
        <v>677.67399999999998</v>
      </c>
      <c r="AN30" s="3">
        <f>AVERAGE(P30:R30)</f>
        <v>13094.333333333334</v>
      </c>
      <c r="AO30" s="3">
        <f>+AN30</f>
        <v>13094.333333333334</v>
      </c>
      <c r="AP30" s="3">
        <f t="shared" ref="AP30:AV30" si="98">+AO30</f>
        <v>13094.333333333334</v>
      </c>
      <c r="AQ30" s="3">
        <f t="shared" si="98"/>
        <v>13094.333333333334</v>
      </c>
      <c r="AR30" s="3">
        <f t="shared" si="98"/>
        <v>13094.333333333334</v>
      </c>
      <c r="AS30" s="3">
        <f t="shared" si="98"/>
        <v>13094.333333333334</v>
      </c>
      <c r="AT30" s="3">
        <f t="shared" si="98"/>
        <v>13094.333333333334</v>
      </c>
      <c r="AU30" s="3">
        <f t="shared" si="98"/>
        <v>13094.333333333334</v>
      </c>
      <c r="AV30" s="3">
        <f t="shared" si="98"/>
        <v>13094.333333333334</v>
      </c>
    </row>
    <row r="32" spans="2:105" s="18" customFormat="1" x14ac:dyDescent="0.15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99">K16/G16-1</f>
        <v>0.34391020189994892</v>
      </c>
      <c r="L32" s="16">
        <f t="shared" si="99"/>
        <v>0.61579235971486024</v>
      </c>
      <c r="M32" s="16">
        <f t="shared" ref="M32" si="100">M16/I16-1</f>
        <v>0.41030472353973102</v>
      </c>
      <c r="N32" s="16">
        <f t="shared" ref="N32" si="101">N16/J16-1</f>
        <v>0.32386024113325607</v>
      </c>
      <c r="O32" s="16">
        <f>O16/K16-1</f>
        <v>0.22954405756228069</v>
      </c>
      <c r="P32" s="16">
        <f t="shared" ref="P32:T32" si="102">P16/L16-1</f>
        <v>0.12613122171945701</v>
      </c>
      <c r="Q32" s="16">
        <f t="shared" si="102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02"/>
        <v>7.0589079428858392E-2</v>
      </c>
      <c r="U32" s="16">
        <f>U16/Q16-1</f>
        <v>0.11001273664100042</v>
      </c>
      <c r="V32" s="16">
        <f>V16/R16-1</f>
        <v>0.13494108983799702</v>
      </c>
      <c r="W32" s="16">
        <f>W16/S16-1</f>
        <v>-1</v>
      </c>
      <c r="X32" s="16">
        <f>X16/T16-1</f>
        <v>-1</v>
      </c>
      <c r="Y32" s="16">
        <f>Y16/U16-1</f>
        <v>-1</v>
      </c>
      <c r="Z32" s="16">
        <f>Z16/V16-1</f>
        <v>-1</v>
      </c>
      <c r="AA32" s="16"/>
      <c r="AE32" s="18">
        <f t="shared" ref="AE32:AN32" si="103">AE16/AD16-1</f>
        <v>0.2059123786355046</v>
      </c>
      <c r="AF32" s="18">
        <f t="shared" si="103"/>
        <v>0.18880023055170292</v>
      </c>
      <c r="AG32" s="18">
        <f t="shared" si="103"/>
        <v>0.13617975485219924</v>
      </c>
      <c r="AH32" s="18">
        <f t="shared" si="103"/>
        <v>0.20380322447292265</v>
      </c>
      <c r="AI32" s="18">
        <f t="shared" si="103"/>
        <v>0.22801090038993266</v>
      </c>
      <c r="AJ32" s="18">
        <f t="shared" si="103"/>
        <v>0.23421586757475987</v>
      </c>
      <c r="AK32" s="18">
        <f t="shared" si="103"/>
        <v>0.18300089899794614</v>
      </c>
      <c r="AL32" s="18">
        <f t="shared" si="103"/>
        <v>0.12770532012826141</v>
      </c>
      <c r="AM32" s="18">
        <f t="shared" si="103"/>
        <v>0.41150076427049154</v>
      </c>
      <c r="AN32" s="18">
        <f t="shared" si="103"/>
        <v>9.7808156437157789E-2</v>
      </c>
      <c r="AO32" s="18">
        <f t="shared" ref="AO32:AV32" si="104">AO16/AN16-1</f>
        <v>9.9438826740584574E-2</v>
      </c>
      <c r="AP32" s="18">
        <f t="shared" si="104"/>
        <v>0.11590861782999839</v>
      </c>
      <c r="AQ32" s="18">
        <f t="shared" si="104"/>
        <v>0.11152619526934493</v>
      </c>
      <c r="AR32" s="18">
        <f t="shared" si="104"/>
        <v>0.11781371393947904</v>
      </c>
      <c r="AS32" s="18">
        <f t="shared" si="104"/>
        <v>0.12472714817761998</v>
      </c>
      <c r="AT32" s="18">
        <f t="shared" si="104"/>
        <v>0.10893235849757321</v>
      </c>
      <c r="AU32" s="18">
        <f t="shared" si="104"/>
        <v>0.11180845813012263</v>
      </c>
      <c r="AV32" s="18">
        <f t="shared" si="104"/>
        <v>0.11473876239429304</v>
      </c>
      <c r="AX32" s="18" t="s">
        <v>72</v>
      </c>
      <c r="AY32" s="18">
        <v>-0.01</v>
      </c>
    </row>
    <row r="33" spans="2:51" s="18" customFormat="1" x14ac:dyDescent="0.15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/>
      <c r="X33" s="16"/>
      <c r="Y33" s="16"/>
      <c r="Z33" s="16"/>
      <c r="AN33" s="18">
        <v>0.14000000000000001</v>
      </c>
      <c r="AX33" s="18" t="s">
        <v>73</v>
      </c>
      <c r="AY33" s="18">
        <v>0.08</v>
      </c>
    </row>
    <row r="34" spans="2:51" s="5" customFormat="1" x14ac:dyDescent="0.15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05">+K14/G14-1</f>
        <v>0.30107746306423966</v>
      </c>
      <c r="L34" s="15">
        <f t="shared" ref="L34:N34" si="106">+L14/H14-1</f>
        <v>0.68136404146535945</v>
      </c>
      <c r="M34" s="15">
        <f t="shared" si="106"/>
        <v>0.43997266307236682</v>
      </c>
      <c r="N34" s="15">
        <f t="shared" si="106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07">+S14/O14-1</f>
        <v>1.8703619566863505E-2</v>
      </c>
      <c r="T34" s="15">
        <f t="shared" si="107"/>
        <v>4.7654157143208309E-2</v>
      </c>
      <c r="U34" s="15">
        <f t="shared" si="107"/>
        <v>0.11348289031083225</v>
      </c>
      <c r="V34" s="15">
        <f t="shared" si="107"/>
        <v>0.12712421368885551</v>
      </c>
      <c r="W34" s="15"/>
      <c r="X34" s="15"/>
      <c r="Y34" s="15"/>
      <c r="Z34" s="15"/>
      <c r="AJ34" s="5">
        <f t="shared" ref="AJ34:AN34" si="108">+AJ14/AI14-1</f>
        <v>0.22181318130380601</v>
      </c>
      <c r="AK34" s="5">
        <f t="shared" si="108"/>
        <v>0.15028840742824978</v>
      </c>
      <c r="AL34" s="5">
        <f t="shared" si="108"/>
        <v>6.0612546501554343E-2</v>
      </c>
      <c r="AM34" s="5">
        <f t="shared" si="108"/>
        <v>0.43136783840402826</v>
      </c>
      <c r="AN34" s="5">
        <f t="shared" si="108"/>
        <v>9.0627118985438182E-2</v>
      </c>
      <c r="AO34" s="5">
        <f>+AO14/AN14-1</f>
        <v>0.10000000000000009</v>
      </c>
      <c r="AP34" s="15">
        <f t="shared" ref="AP34:AV34" si="109">+AP14/AO14-1</f>
        <v>0.10000000000000009</v>
      </c>
      <c r="AQ34" s="15">
        <f t="shared" si="109"/>
        <v>0.10000000000000009</v>
      </c>
      <c r="AR34" s="15">
        <f t="shared" si="109"/>
        <v>0.10000000000000009</v>
      </c>
      <c r="AS34" s="15">
        <f t="shared" si="109"/>
        <v>0.10000000000000009</v>
      </c>
      <c r="AT34" s="15">
        <f t="shared" si="109"/>
        <v>0.10000000000000009</v>
      </c>
      <c r="AU34" s="15">
        <f t="shared" si="109"/>
        <v>0.10000000000000009</v>
      </c>
      <c r="AV34" s="15">
        <f t="shared" si="109"/>
        <v>0.10000000000000009</v>
      </c>
      <c r="AX34" s="5" t="s">
        <v>74</v>
      </c>
      <c r="AY34" s="5">
        <v>0.01</v>
      </c>
    </row>
    <row r="35" spans="2:51" s="5" customFormat="1" x14ac:dyDescent="0.15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10">+K13/G13-1</f>
        <v>0.48712233779098568</v>
      </c>
      <c r="L35" s="15">
        <f t="shared" ref="L35:Q35" si="111">+L13/H13-1</f>
        <v>0.83683105981112282</v>
      </c>
      <c r="M35" s="15">
        <f t="shared" si="111"/>
        <v>0.4304149295215407</v>
      </c>
      <c r="N35" s="15">
        <f t="shared" si="111"/>
        <v>0.25388525780682647</v>
      </c>
      <c r="O35" s="15">
        <f t="shared" si="111"/>
        <v>0.143880099916736</v>
      </c>
      <c r="P35" s="15">
        <f t="shared" si="111"/>
        <v>4.8271922307911996E-2</v>
      </c>
      <c r="Q35" s="15">
        <f t="shared" si="111"/>
        <v>-1.8598195697432374E-2</v>
      </c>
      <c r="R35" s="15">
        <f>+R13/N13-1</f>
        <v>-7.7609174099386058E-2</v>
      </c>
      <c r="S35" s="15">
        <f t="shared" ref="S35:V35" si="112">+S13/O13-1</f>
        <v>-2.5622361333527466E-2</v>
      </c>
      <c r="T35" s="15">
        <f t="shared" si="112"/>
        <v>4.4277929155313256E-2</v>
      </c>
      <c r="U35" s="15">
        <f t="shared" si="112"/>
        <v>0.12459340970159816</v>
      </c>
      <c r="V35" s="15">
        <f t="shared" si="112"/>
        <v>0.15534346351877426</v>
      </c>
      <c r="W35" s="15"/>
      <c r="X35" s="15"/>
      <c r="Y35" s="15"/>
      <c r="Z35" s="15"/>
      <c r="AJ35" s="5">
        <f t="shared" ref="AJ35:AM35" si="113">+AJ13/AI13-1</f>
        <v>0.36871165644171788</v>
      </c>
      <c r="AK35" s="5">
        <f t="shared" si="113"/>
        <v>0.35804571940833707</v>
      </c>
      <c r="AL35" s="5">
        <f t="shared" si="113"/>
        <v>0.30516865799722748</v>
      </c>
      <c r="AM35" s="5">
        <f t="shared" si="113"/>
        <v>0.45888124620675708</v>
      </c>
      <c r="AN35" s="5">
        <f>+AN13/AM13-1</f>
        <v>1.3797885248743258E-2</v>
      </c>
      <c r="AO35" s="5">
        <f>+AO13/AN13-1</f>
        <v>5.0000000000000044E-2</v>
      </c>
      <c r="AP35" s="15">
        <f t="shared" ref="AP35:AV35" si="114">+AP13/AO13-1</f>
        <v>5.0000000000000044E-2</v>
      </c>
      <c r="AQ35" s="15">
        <f t="shared" si="114"/>
        <v>5.0000000000000044E-2</v>
      </c>
      <c r="AR35" s="15">
        <f t="shared" si="114"/>
        <v>5.0000000000000044E-2</v>
      </c>
      <c r="AS35" s="15">
        <f t="shared" si="114"/>
        <v>5.0000000000000044E-2</v>
      </c>
      <c r="AT35" s="15">
        <f t="shared" si="114"/>
        <v>5.0000000000000044E-2</v>
      </c>
      <c r="AU35" s="15">
        <f t="shared" si="114"/>
        <v>5.0000000000000044E-2</v>
      </c>
      <c r="AV35" s="15">
        <f t="shared" si="114"/>
        <v>5.0000000000000044E-2</v>
      </c>
      <c r="AX35" s="5" t="s">
        <v>75</v>
      </c>
      <c r="AY35" s="3">
        <f>NPV(AY33,AO28:DA28)+Main!L5-Main!L6</f>
        <v>2142049.8680530442</v>
      </c>
    </row>
    <row r="36" spans="2:51" s="5" customFormat="1" x14ac:dyDescent="0.15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15">K15/G15-1</f>
        <v>0.33980836693020566</v>
      </c>
      <c r="L36" s="15">
        <f t="shared" ref="L36" si="116">L15/H15-1</f>
        <v>0.63090508988025484</v>
      </c>
      <c r="M36" s="15">
        <f t="shared" ref="M36" si="117">M15/I15-1</f>
        <v>0.40661921875367013</v>
      </c>
      <c r="N36" s="15">
        <f t="shared" ref="N36" si="118">N15/J15-1</f>
        <v>0.31257919921320898</v>
      </c>
      <c r="O36" s="15">
        <f>O15/K15-1</f>
        <v>0.20114111532299028</v>
      </c>
      <c r="P36" s="15">
        <f t="shared" ref="P36:Q36" si="119">P15/L15-1</f>
        <v>0.10117931554138115</v>
      </c>
      <c r="Q36" s="15">
        <f t="shared" si="119"/>
        <v>2.4931534299645897E-2</v>
      </c>
      <c r="R36" s="15">
        <f>R15/N15-1</f>
        <v>-2.2507204610951015E-2</v>
      </c>
      <c r="S36" s="15">
        <f t="shared" ref="S36:V36" si="120">S15/O15-1</f>
        <v>7.9548412285268544E-3</v>
      </c>
      <c r="T36" s="15">
        <f t="shared" si="120"/>
        <v>5.4804984007256419E-2</v>
      </c>
      <c r="U36" s="15">
        <f t="shared" si="120"/>
        <v>0.1076787721785033</v>
      </c>
      <c r="V36" s="15">
        <f t="shared" si="120"/>
        <v>0.12490049824582083</v>
      </c>
      <c r="W36" s="15"/>
      <c r="X36" s="15"/>
      <c r="Y36" s="15"/>
      <c r="Z36" s="15"/>
      <c r="AJ36" s="5">
        <f t="shared" ref="AJ36:AN36" si="121">+AJ15/AI15-1</f>
        <v>0.22568104346846218</v>
      </c>
      <c r="AK36" s="5">
        <f t="shared" si="121"/>
        <v>0.16319604057491333</v>
      </c>
      <c r="AL36" s="5">
        <f t="shared" si="121"/>
        <v>0.11071957846204517</v>
      </c>
      <c r="AM36" s="5">
        <f t="shared" si="121"/>
        <v>0.40853915260770313</v>
      </c>
      <c r="AN36" s="5">
        <f t="shared" si="121"/>
        <v>6.7355986005919188E-2</v>
      </c>
      <c r="AO36" s="5">
        <f>+AO15/AN15-1</f>
        <v>7.7159919219967898E-2</v>
      </c>
      <c r="AP36" s="15">
        <f t="shared" ref="AP36:AV36" si="122">+AP15/AO15-1</f>
        <v>7.8052815516631568E-2</v>
      </c>
      <c r="AQ36" s="15">
        <f t="shared" si="122"/>
        <v>7.8926787613141869E-2</v>
      </c>
      <c r="AR36" s="15">
        <f t="shared" si="122"/>
        <v>7.9780908994353084E-2</v>
      </c>
      <c r="AS36" s="15">
        <f t="shared" si="122"/>
        <v>8.0614365686686451E-2</v>
      </c>
      <c r="AT36" s="15">
        <f t="shared" si="122"/>
        <v>8.1426456360157662E-2</v>
      </c>
      <c r="AU36" s="15">
        <f t="shared" si="122"/>
        <v>8.2216591293572172E-2</v>
      </c>
      <c r="AV36" s="15">
        <f t="shared" si="122"/>
        <v>8.2984290295815111E-2</v>
      </c>
      <c r="AX36" s="5" t="s">
        <v>76</v>
      </c>
      <c r="AY36" s="1">
        <f>+AY35/Main!L3</f>
        <v>168.71848362106525</v>
      </c>
    </row>
    <row r="37" spans="2:51" s="5" customFormat="1" x14ac:dyDescent="0.15">
      <c r="B37" s="5" t="s">
        <v>43</v>
      </c>
      <c r="C37" s="15"/>
      <c r="D37" s="15"/>
      <c r="E37" s="15"/>
      <c r="F37" s="15"/>
      <c r="G37" s="15"/>
      <c r="H37" s="15"/>
      <c r="I37" s="15"/>
      <c r="J37" s="15"/>
      <c r="K37" s="15">
        <f t="shared" ref="K37" si="123">K10/G10-1</f>
        <v>0.4573280518545193</v>
      </c>
      <c r="L37" s="15">
        <f t="shared" ref="L37" si="124">L10/H10-1</f>
        <v>0.53907549052211512</v>
      </c>
      <c r="M37" s="15">
        <f t="shared" ref="M37" si="125">M10/I10-1</f>
        <v>0.44889663182346107</v>
      </c>
      <c r="N37" s="15">
        <f t="shared" ref="N37" si="126">N10/J10-1</f>
        <v>0.44635865309318712</v>
      </c>
      <c r="O37" s="15">
        <f>O10/K10-1</f>
        <v>0.4383493946132937</v>
      </c>
      <c r="P37" s="15">
        <f t="shared" ref="P37:Q37" si="127">P10/L10-1</f>
        <v>0.35609334485738975</v>
      </c>
      <c r="Q37" s="15">
        <f t="shared" si="127"/>
        <v>0.37635270541082155</v>
      </c>
      <c r="R37" s="15">
        <f>R10/N10-1</f>
        <v>0.3201588160981772</v>
      </c>
      <c r="S37" s="15">
        <f t="shared" ref="S37:V37" si="128">S10/O10-1</f>
        <v>0.28053599037965982</v>
      </c>
      <c r="T37" s="15">
        <f t="shared" si="128"/>
        <v>0.2796367112810707</v>
      </c>
      <c r="U37" s="15">
        <f t="shared" si="128"/>
        <v>0.22466511357018049</v>
      </c>
      <c r="V37" s="15">
        <f t="shared" si="128"/>
        <v>0.25659603554340404</v>
      </c>
      <c r="W37" s="15"/>
      <c r="X37" s="15"/>
      <c r="Y37" s="15"/>
      <c r="Z37" s="15"/>
      <c r="AJ37" s="5">
        <f t="shared" ref="AJ37:AN37" si="129">+AJ10/AI10-1</f>
        <v>0.43934911242603558</v>
      </c>
      <c r="AK37" s="5">
        <f t="shared" si="129"/>
        <v>0.52757793764988015</v>
      </c>
      <c r="AL37" s="5">
        <f t="shared" si="129"/>
        <v>0.46434178066831122</v>
      </c>
      <c r="AM37" s="5">
        <f t="shared" si="129"/>
        <v>0.47070985527222597</v>
      </c>
      <c r="AN37" s="5">
        <f t="shared" si="129"/>
        <v>0.36832239925023424</v>
      </c>
      <c r="AO37" s="5">
        <f>+AO10/AN10-1</f>
        <v>0.39999999999999991</v>
      </c>
      <c r="AP37" s="15">
        <f t="shared" ref="AP37:AV37" si="130">+AP10/AO10-1</f>
        <v>0.39999999999999991</v>
      </c>
      <c r="AQ37" s="15">
        <f t="shared" si="130"/>
        <v>0.30000000000000004</v>
      </c>
      <c r="AR37" s="15">
        <f t="shared" si="130"/>
        <v>0.30000000000000004</v>
      </c>
      <c r="AS37" s="15">
        <f t="shared" si="130"/>
        <v>0.30000000000000004</v>
      </c>
      <c r="AT37" s="15">
        <f t="shared" si="130"/>
        <v>0.19999999999999996</v>
      </c>
      <c r="AU37" s="15">
        <f t="shared" si="130"/>
        <v>0.19999999999999996</v>
      </c>
      <c r="AV37" s="15">
        <f t="shared" si="130"/>
        <v>0.19999999999999996</v>
      </c>
    </row>
    <row r="38" spans="2:51" s="5" customFormat="1" x14ac:dyDescent="0.15">
      <c r="B38" s="5" t="s">
        <v>33</v>
      </c>
      <c r="C38" s="15"/>
      <c r="D38" s="15"/>
      <c r="E38" s="15"/>
      <c r="F38" s="15"/>
      <c r="G38" s="15">
        <f t="shared" ref="G38:H38" si="131">G19/G16</f>
        <v>0.53881289632887097</v>
      </c>
      <c r="H38" s="15">
        <f t="shared" si="131"/>
        <v>0.51554952085019712</v>
      </c>
      <c r="I38" s="15">
        <f t="shared" ref="I38" si="132">I19/I16</f>
        <v>0.54265479825872265</v>
      </c>
      <c r="J38" s="15">
        <f t="shared" ref="J38" si="133">J19/J16</f>
        <v>0.54163590987380927</v>
      </c>
      <c r="K38" s="15">
        <f>K19/K16</f>
        <v>0.56425136493473627</v>
      </c>
      <c r="L38" s="15">
        <f t="shared" ref="L38:O38" si="134">L19/L16</f>
        <v>0.57616354234001288</v>
      </c>
      <c r="M38" s="15">
        <f t="shared" si="134"/>
        <v>0.57583156730857832</v>
      </c>
      <c r="N38" s="15">
        <f t="shared" si="134"/>
        <v>0.56205774975107869</v>
      </c>
      <c r="O38" s="15">
        <f t="shared" si="134"/>
        <v>0.5647909896928438</v>
      </c>
      <c r="P38" s="15">
        <f t="shared" ref="P38:Q38" si="135">P19/P16</f>
        <v>0.56799885197675248</v>
      </c>
      <c r="Q38" s="15">
        <f t="shared" si="135"/>
        <v>0.54903606785156023</v>
      </c>
      <c r="R38" s="15">
        <f>R19/R16</f>
        <v>0.53526719966337055</v>
      </c>
      <c r="S38" s="15">
        <f t="shared" ref="S38:V38" si="136">S19/S16</f>
        <v>0.56135096794531936</v>
      </c>
      <c r="T38" s="15">
        <f t="shared" si="136"/>
        <v>0.5721945204010509</v>
      </c>
      <c r="U38" s="15">
        <f t="shared" si="136"/>
        <v>0.56672708069836886</v>
      </c>
      <c r="V38" s="15">
        <f t="shared" si="136"/>
        <v>0.56465067778936395</v>
      </c>
      <c r="W38" s="15"/>
      <c r="X38" s="15"/>
      <c r="Y38" s="15"/>
      <c r="Z38" s="15"/>
      <c r="AF38" s="5">
        <f t="shared" ref="AF38" si="137">AF19/AF16</f>
        <v>0.6107483219951213</v>
      </c>
      <c r="AG38" s="5">
        <f t="shared" ref="AG38" si="138">AG19/AG16</f>
        <v>0.62442491565429592</v>
      </c>
      <c r="AH38" s="5">
        <f t="shared" ref="AH38:AI38" si="139">AH19/AH16</f>
        <v>0.61075416518964909</v>
      </c>
      <c r="AI38" s="5">
        <f t="shared" si="139"/>
        <v>0.58880519597672631</v>
      </c>
      <c r="AJ38" s="5">
        <f t="shared" ref="AJ38:AL38" si="140">AJ19/AJ16</f>
        <v>0.5647607422945643</v>
      </c>
      <c r="AK38" s="5">
        <f t="shared" si="140"/>
        <v>0.5558054331910266</v>
      </c>
      <c r="AL38" s="5">
        <f t="shared" si="140"/>
        <v>0.53578374706207854</v>
      </c>
      <c r="AM38" s="5">
        <f>AM19/AM16</f>
        <v>0.5693980290098084</v>
      </c>
      <c r="AN38" s="5">
        <f>AN19/AN16</f>
        <v>0.55379442503783116</v>
      </c>
      <c r="AO38" s="5">
        <f t="shared" ref="AO38" si="141">AO19/AO16</f>
        <v>0.56000000000000005</v>
      </c>
      <c r="AP38" s="15">
        <f t="shared" ref="AP38:AV38" si="142">AP19/AP16</f>
        <v>0.56000000000000005</v>
      </c>
      <c r="AQ38" s="15">
        <f t="shared" si="142"/>
        <v>0.56000000000000005</v>
      </c>
      <c r="AR38" s="15">
        <f t="shared" si="142"/>
        <v>0.56000000000000005</v>
      </c>
      <c r="AS38" s="15">
        <f t="shared" si="142"/>
        <v>0.56000000000000005</v>
      </c>
      <c r="AT38" s="15">
        <f t="shared" si="142"/>
        <v>0.56000000000000005</v>
      </c>
      <c r="AU38" s="15">
        <f t="shared" si="142"/>
        <v>0.56000000000000005</v>
      </c>
      <c r="AV38" s="15">
        <f t="shared" si="142"/>
        <v>0.56000000000000005</v>
      </c>
    </row>
    <row r="39" spans="2:51" s="5" customFormat="1" x14ac:dyDescent="0.15">
      <c r="B39" s="5" t="s">
        <v>70</v>
      </c>
      <c r="C39" s="15"/>
      <c r="D39" s="15"/>
      <c r="E39" s="15"/>
      <c r="F39" s="15"/>
      <c r="G39" s="15">
        <f t="shared" ref="G39" si="143">+G27/G26</f>
        <v>0.11873146835116669</v>
      </c>
      <c r="H39" s="15">
        <f>+H27/H26</f>
        <v>0.15923643832306392</v>
      </c>
      <c r="I39" s="15">
        <f t="shared" ref="I39:Q39" si="144">+I27/I26</f>
        <v>0.15809566584325174</v>
      </c>
      <c r="J39" s="15">
        <f t="shared" si="144"/>
        <v>0.18524265610787094</v>
      </c>
      <c r="K39" s="15">
        <f t="shared" si="144"/>
        <v>0.15754357938260583</v>
      </c>
      <c r="L39" s="15">
        <f t="shared" si="144"/>
        <v>0.16</v>
      </c>
      <c r="M39" s="15">
        <f t="shared" si="144"/>
        <v>0.17898022892819979</v>
      </c>
      <c r="N39" s="15">
        <f t="shared" si="144"/>
        <v>0.15408573067781328</v>
      </c>
      <c r="O39" s="15">
        <f t="shared" si="144"/>
        <v>0.13193197422625963</v>
      </c>
      <c r="P39" s="15">
        <f t="shared" si="144"/>
        <v>0.15840959293152415</v>
      </c>
      <c r="Q39" s="15">
        <f t="shared" si="144"/>
        <v>0.14310355448777182</v>
      </c>
      <c r="R39" s="15">
        <f>+R27/R26</f>
        <v>0.20545868081880211</v>
      </c>
      <c r="S39" s="15">
        <f t="shared" ref="S39:V39" si="145">+S27/S26</f>
        <v>0.17324910738808019</v>
      </c>
      <c r="T39" s="15">
        <f t="shared" si="145"/>
        <v>0.16139341642697347</v>
      </c>
      <c r="U39" s="15">
        <f t="shared" si="145"/>
        <v>7.1142142756050381E-2</v>
      </c>
      <c r="V39" s="15">
        <f t="shared" si="145"/>
        <v>0.15258889070948714</v>
      </c>
      <c r="W39" s="15"/>
      <c r="X39" s="15"/>
      <c r="Y39" s="15"/>
      <c r="Z39" s="15"/>
      <c r="AF39" s="15">
        <f t="shared" ref="AF39" si="146">+AF27/AF26</f>
        <v>0.21084651486181122</v>
      </c>
      <c r="AG39" s="15">
        <f t="shared" ref="AG39" si="147">+AG27/AG26</f>
        <v>0.16808304920869166</v>
      </c>
      <c r="AH39" s="15">
        <f t="shared" ref="AH39:AI39" si="148">+AH27/AH26</f>
        <v>0.19345755693581781</v>
      </c>
      <c r="AI39" s="15">
        <f t="shared" si="148"/>
        <v>0.48551572053860803</v>
      </c>
      <c r="AJ39" s="15">
        <f t="shared" ref="AJ39:AL39" si="149">+AJ27/AJ26</f>
        <v>0.10446678671468587</v>
      </c>
      <c r="AK39" s="15">
        <f t="shared" si="149"/>
        <v>0.12782537147282319</v>
      </c>
      <c r="AL39" s="15">
        <f t="shared" si="149"/>
        <v>0.16249324071378063</v>
      </c>
      <c r="AM39" s="15">
        <f t="shared" ref="AM39:AO39" si="150">+AM27/AM26</f>
        <v>0.16202305640663919</v>
      </c>
      <c r="AN39" s="15">
        <f>+AN27/AN26</f>
        <v>0.1592081650964558</v>
      </c>
      <c r="AO39" s="15">
        <f t="shared" si="150"/>
        <v>0.18</v>
      </c>
      <c r="AP39" s="15">
        <f t="shared" ref="AP39:AV39" si="151">+AP27/AP26</f>
        <v>0.18</v>
      </c>
      <c r="AQ39" s="15">
        <f t="shared" si="151"/>
        <v>0.18</v>
      </c>
      <c r="AR39" s="15">
        <f t="shared" si="151"/>
        <v>0.18</v>
      </c>
      <c r="AS39" s="15">
        <f t="shared" si="151"/>
        <v>0.18</v>
      </c>
      <c r="AT39" s="15">
        <f t="shared" si="151"/>
        <v>0.18000000000000002</v>
      </c>
      <c r="AU39" s="15">
        <f t="shared" si="151"/>
        <v>0.18</v>
      </c>
      <c r="AV39" s="15">
        <f t="shared" si="151"/>
        <v>0.18</v>
      </c>
    </row>
    <row r="40" spans="2:51" s="5" customFormat="1" x14ac:dyDescent="0.15">
      <c r="B40" s="5" t="s">
        <v>47</v>
      </c>
      <c r="C40" s="15"/>
      <c r="D40" s="15"/>
      <c r="E40" s="15"/>
      <c r="F40" s="15"/>
      <c r="G40" s="15">
        <f t="shared" ref="G40:H40" si="152">G14/G16</f>
        <v>0.5953011492018756</v>
      </c>
      <c r="H40" s="15">
        <f t="shared" si="152"/>
        <v>0.55667545760764547</v>
      </c>
      <c r="I40" s="15">
        <f t="shared" ref="I40" si="153">I14/I16</f>
        <v>0.57041994239057459</v>
      </c>
      <c r="J40" s="15">
        <f>J14/J16</f>
        <v>0.56070512144539353</v>
      </c>
      <c r="K40" s="15">
        <f t="shared" ref="K40:O40" si="154">K14/K16</f>
        <v>0.57632787359438842</v>
      </c>
      <c r="L40" s="15">
        <f t="shared" si="154"/>
        <v>0.57926632191338079</v>
      </c>
      <c r="M40" s="15">
        <f t="shared" si="154"/>
        <v>0.58241960748180222</v>
      </c>
      <c r="N40" s="15">
        <f t="shared" si="154"/>
        <v>0.5748556256223033</v>
      </c>
      <c r="O40" s="15">
        <f t="shared" si="154"/>
        <v>0.58252341532987306</v>
      </c>
      <c r="P40" s="15">
        <f t="shared" ref="P40:Q40" si="155">P14/P16</f>
        <v>0.58389897395422252</v>
      </c>
      <c r="Q40" s="15">
        <f t="shared" si="155"/>
        <v>0.57226596422161757</v>
      </c>
      <c r="R40" s="15">
        <f>R14/R16</f>
        <v>0.56022512097622557</v>
      </c>
      <c r="S40" s="15">
        <f t="shared" ref="S40:V40" si="156">S14/S16</f>
        <v>0.57831687850172664</v>
      </c>
      <c r="T40" s="15">
        <f t="shared" si="156"/>
        <v>0.57139027397994746</v>
      </c>
      <c r="U40" s="15">
        <f t="shared" si="156"/>
        <v>0.574054998500515</v>
      </c>
      <c r="V40" s="15">
        <f t="shared" si="156"/>
        <v>0.55636658556366581</v>
      </c>
      <c r="W40" s="15"/>
      <c r="X40" s="15"/>
      <c r="Y40" s="15"/>
      <c r="Z40" s="15"/>
      <c r="AL40" s="15">
        <f t="shared" ref="AL40:AO40" si="157">AL14/AL16</f>
        <v>0.57011839344316184</v>
      </c>
      <c r="AM40" s="15">
        <f t="shared" si="157"/>
        <v>0.57814289096674776</v>
      </c>
      <c r="AN40" s="15">
        <f t="shared" si="157"/>
        <v>0.57436111386103605</v>
      </c>
      <c r="AO40" s="15">
        <f t="shared" si="157"/>
        <v>0.57465427805581204</v>
      </c>
      <c r="AP40" s="15">
        <f t="shared" ref="AP40:AV40" si="158">AP14/AP16</f>
        <v>0.56646189101990851</v>
      </c>
      <c r="AQ40" s="15">
        <f t="shared" si="158"/>
        <v>0.56058785008742684</v>
      </c>
      <c r="AR40" s="15">
        <f t="shared" si="158"/>
        <v>0.55165420445857594</v>
      </c>
      <c r="AS40" s="15">
        <f t="shared" si="158"/>
        <v>0.53952607606889824</v>
      </c>
      <c r="AT40" s="15">
        <f t="shared" si="158"/>
        <v>0.53518023811646842</v>
      </c>
      <c r="AU40" s="15">
        <f t="shared" si="158"/>
        <v>0.52949611745013003</v>
      </c>
      <c r="AV40" s="15">
        <f t="shared" si="158"/>
        <v>0.52249526870684604</v>
      </c>
    </row>
    <row r="41" spans="2:51" s="5" customFormat="1" x14ac:dyDescent="0.15">
      <c r="B41" s="5" t="s">
        <v>107</v>
      </c>
      <c r="C41" s="15"/>
      <c r="D41" s="15"/>
      <c r="E41" s="15"/>
      <c r="F41" s="15"/>
      <c r="G41" s="15">
        <f t="shared" ref="G41:J41" si="159">(G14+G13+G12)/G16</f>
        <v>0.82030661580699238</v>
      </c>
      <c r="H41" s="15">
        <f t="shared" si="159"/>
        <v>0.7798783194506097</v>
      </c>
      <c r="I41" s="15">
        <f t="shared" si="159"/>
        <v>0.80339159248911707</v>
      </c>
      <c r="J41" s="15">
        <f t="shared" si="159"/>
        <v>0.81196175612499566</v>
      </c>
      <c r="K41" s="15">
        <f t="shared" ref="K41:Q41" si="160">(K14+K13+K12)/K16</f>
        <v>0.80782442058068482</v>
      </c>
      <c r="L41" s="15">
        <f t="shared" si="160"/>
        <v>0.81519069166127989</v>
      </c>
      <c r="M41" s="15">
        <f t="shared" si="160"/>
        <v>0.81590343683774069</v>
      </c>
      <c r="N41" s="15">
        <f t="shared" si="160"/>
        <v>0.81299701294390969</v>
      </c>
      <c r="O41" s="15">
        <f t="shared" si="160"/>
        <v>0.80370822366970052</v>
      </c>
      <c r="P41" s="15">
        <f t="shared" si="160"/>
        <v>0.80774915692042759</v>
      </c>
      <c r="Q41" s="15">
        <f t="shared" si="160"/>
        <v>0.78854281248190816</v>
      </c>
      <c r="R41" s="15">
        <f>(R14+R13+R12)/R16</f>
        <v>0.77637807700399752</v>
      </c>
      <c r="S41" s="15">
        <f t="shared" ref="S41:V41" si="161">(S14+S13+S12)/S16</f>
        <v>0.78163554816799685</v>
      </c>
      <c r="T41" s="15">
        <f t="shared" si="161"/>
        <v>0.779354994370275</v>
      </c>
      <c r="U41" s="15">
        <f t="shared" si="161"/>
        <v>0.77773721200109525</v>
      </c>
      <c r="V41" s="15">
        <f t="shared" si="161"/>
        <v>0.75908932916232186</v>
      </c>
      <c r="W41" s="15"/>
      <c r="X41" s="15"/>
      <c r="Y41" s="15"/>
      <c r="Z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</row>
    <row r="43" spans="2:51" x14ac:dyDescent="0.15">
      <c r="B43" s="3" t="s">
        <v>71</v>
      </c>
      <c r="G43" s="11">
        <f>+G44-G62</f>
        <v>124580</v>
      </c>
      <c r="N43" s="11">
        <f t="shared" ref="N43:O43" si="162">+N44-N62</f>
        <v>154381</v>
      </c>
      <c r="O43" s="11">
        <f t="shared" si="162"/>
        <v>149723</v>
      </c>
      <c r="P43" s="11">
        <f t="shared" ref="P43:V43" si="163">+P44-P62</f>
        <v>140928</v>
      </c>
      <c r="Q43" s="11">
        <f t="shared" si="163"/>
        <v>132025</v>
      </c>
      <c r="R43" s="11">
        <f t="shared" si="163"/>
        <v>129553</v>
      </c>
      <c r="S43" s="11">
        <f t="shared" si="163"/>
        <v>132618</v>
      </c>
      <c r="T43" s="11">
        <f t="shared" si="163"/>
        <v>135851</v>
      </c>
      <c r="U43" s="11">
        <f t="shared" si="163"/>
        <v>137061</v>
      </c>
      <c r="V43" s="11">
        <f t="shared" si="163"/>
        <v>128671</v>
      </c>
      <c r="W43" s="11"/>
      <c r="X43" s="11"/>
      <c r="Y43" s="11"/>
      <c r="Z43" s="11"/>
      <c r="AH43" s="3">
        <v>72053</v>
      </c>
      <c r="AN43" s="3">
        <f>+R43</f>
        <v>129553</v>
      </c>
      <c r="AO43" s="3">
        <f>+AN43+AO28</f>
        <v>202986.519696</v>
      </c>
      <c r="AP43" s="3">
        <f t="shared" ref="AP43:AV43" si="164">+AO43+AP28</f>
        <v>290052.05833486724</v>
      </c>
      <c r="AQ43" s="3">
        <f t="shared" si="164"/>
        <v>391905.42938148277</v>
      </c>
      <c r="AR43" s="3">
        <f t="shared" si="164"/>
        <v>511578.58854282054</v>
      </c>
      <c r="AS43" s="3">
        <f t="shared" si="164"/>
        <v>652850.66423680889</v>
      </c>
      <c r="AT43" s="3">
        <f t="shared" si="164"/>
        <v>815257.82429385802</v>
      </c>
      <c r="AU43" s="3">
        <f t="shared" si="164"/>
        <v>1002111.9077416592</v>
      </c>
      <c r="AV43" s="3">
        <f t="shared" si="164"/>
        <v>1217280.1040730444</v>
      </c>
    </row>
    <row r="44" spans="2:51" s="3" customFormat="1" x14ac:dyDescent="0.15">
      <c r="B44" s="3" t="s">
        <v>3</v>
      </c>
      <c r="C44" s="11"/>
      <c r="D44" s="11"/>
      <c r="E44" s="11"/>
      <c r="F44" s="11"/>
      <c r="G44" s="11">
        <f>117229+12367</f>
        <v>129596</v>
      </c>
      <c r="H44" s="11"/>
      <c r="I44" s="11"/>
      <c r="J44" s="11"/>
      <c r="K44" s="11"/>
      <c r="L44" s="11"/>
      <c r="M44" s="11"/>
      <c r="N44" s="11">
        <f>20945+118704+29549</f>
        <v>169198</v>
      </c>
      <c r="O44" s="11">
        <f>20886+113084+30544</f>
        <v>164514</v>
      </c>
      <c r="P44" s="11">
        <f>124997+30665</f>
        <v>155662</v>
      </c>
      <c r="Q44" s="11">
        <f>21984+94275+30419</f>
        <v>146678</v>
      </c>
      <c r="R44" s="11">
        <f>113762+30492</f>
        <v>144254</v>
      </c>
      <c r="S44" s="11">
        <f>115102+31213</f>
        <v>146315</v>
      </c>
      <c r="T44" s="11">
        <f>25929+92403+31224</f>
        <v>149556</v>
      </c>
      <c r="U44" s="11">
        <f>119935+30907</f>
        <v>150842</v>
      </c>
      <c r="V44" s="11">
        <f>110916+31008</f>
        <v>141924</v>
      </c>
      <c r="W44" s="11"/>
      <c r="X44" s="11"/>
      <c r="Y44" s="11"/>
      <c r="Z44" s="11"/>
    </row>
    <row r="45" spans="2:51" s="3" customFormat="1" x14ac:dyDescent="0.15">
      <c r="B45" s="3" t="s">
        <v>53</v>
      </c>
      <c r="C45" s="11"/>
      <c r="D45" s="11"/>
      <c r="E45" s="11"/>
      <c r="F45" s="11"/>
      <c r="G45" s="11">
        <v>21825</v>
      </c>
      <c r="H45" s="11"/>
      <c r="I45" s="11"/>
      <c r="J45" s="11"/>
      <c r="K45" s="11"/>
      <c r="L45" s="11"/>
      <c r="M45" s="11"/>
      <c r="N45" s="11">
        <v>39304</v>
      </c>
      <c r="O45" s="11">
        <v>34703</v>
      </c>
      <c r="P45" s="11">
        <v>35707</v>
      </c>
      <c r="Q45" s="11">
        <v>34697</v>
      </c>
      <c r="R45" s="11">
        <v>40258</v>
      </c>
      <c r="S45" s="11">
        <v>36036</v>
      </c>
      <c r="T45" s="11">
        <v>38804</v>
      </c>
      <c r="U45" s="11">
        <v>41020</v>
      </c>
      <c r="V45" s="11">
        <v>47964</v>
      </c>
      <c r="W45" s="11"/>
      <c r="X45" s="11"/>
      <c r="Y45" s="11"/>
      <c r="Z45" s="11"/>
    </row>
    <row r="46" spans="2:51" s="3" customFormat="1" x14ac:dyDescent="0.15">
      <c r="B46" s="3" t="s">
        <v>30</v>
      </c>
      <c r="C46" s="11"/>
      <c r="D46" s="11"/>
      <c r="E46" s="11"/>
      <c r="F46" s="11"/>
      <c r="G46" s="11">
        <v>1910</v>
      </c>
      <c r="H46" s="11"/>
      <c r="I46" s="11"/>
      <c r="J46" s="11"/>
      <c r="K46" s="11"/>
      <c r="L46" s="11"/>
      <c r="M46" s="11"/>
      <c r="N46" s="11">
        <v>966</v>
      </c>
      <c r="O46" s="11">
        <v>919</v>
      </c>
      <c r="P46" s="11">
        <v>1366</v>
      </c>
      <c r="Q46" s="11">
        <v>1479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/>
      <c r="X46" s="11"/>
      <c r="Y46" s="11"/>
      <c r="Z46" s="11"/>
    </row>
    <row r="47" spans="2:51" s="3" customFormat="1" x14ac:dyDescent="0.15">
      <c r="B47" s="3" t="s">
        <v>54</v>
      </c>
      <c r="C47" s="11"/>
      <c r="D47" s="11"/>
      <c r="E47" s="11"/>
      <c r="F47" s="11"/>
      <c r="G47" s="11">
        <v>889</v>
      </c>
      <c r="H47" s="11"/>
      <c r="I47" s="11"/>
      <c r="J47" s="11"/>
      <c r="K47" s="11"/>
      <c r="L47" s="11"/>
      <c r="M47" s="11"/>
      <c r="N47" s="11">
        <v>1170</v>
      </c>
      <c r="O47" s="11">
        <v>1369</v>
      </c>
      <c r="P47" s="11">
        <v>1980</v>
      </c>
      <c r="Q47" s="11">
        <v>3156</v>
      </c>
      <c r="R47" s="11">
        <v>2670</v>
      </c>
      <c r="S47" s="11">
        <v>2315</v>
      </c>
      <c r="T47" s="11">
        <v>2231</v>
      </c>
      <c r="U47" s="11">
        <v>2957</v>
      </c>
      <c r="V47" s="11">
        <v>0</v>
      </c>
      <c r="W47" s="11"/>
      <c r="X47" s="11"/>
      <c r="Y47" s="11"/>
      <c r="Z47" s="11"/>
    </row>
    <row r="48" spans="2:51" s="3" customFormat="1" x14ac:dyDescent="0.15">
      <c r="B48" s="3" t="s">
        <v>55</v>
      </c>
      <c r="C48" s="11"/>
      <c r="D48" s="11"/>
      <c r="E48" s="11"/>
      <c r="F48" s="11"/>
      <c r="G48" s="11">
        <v>5165</v>
      </c>
      <c r="H48" s="11"/>
      <c r="I48" s="11"/>
      <c r="J48" s="11"/>
      <c r="K48" s="11"/>
      <c r="L48" s="11"/>
      <c r="M48" s="11"/>
      <c r="N48" s="11">
        <v>7054</v>
      </c>
      <c r="O48" s="11">
        <v>6892</v>
      </c>
      <c r="P48" s="11">
        <v>8321</v>
      </c>
      <c r="Q48" s="11">
        <v>10518</v>
      </c>
      <c r="R48" s="11">
        <v>8105</v>
      </c>
      <c r="S48" s="11">
        <v>8532</v>
      </c>
      <c r="T48" s="11">
        <v>9421</v>
      </c>
      <c r="U48" s="11">
        <v>12398</v>
      </c>
      <c r="V48" s="11">
        <v>12650</v>
      </c>
      <c r="W48" s="11"/>
      <c r="X48" s="11"/>
      <c r="Y48" s="11"/>
      <c r="Z48" s="11"/>
    </row>
    <row r="49" spans="2:26" x14ac:dyDescent="0.15">
      <c r="B49" s="3" t="s">
        <v>56</v>
      </c>
      <c r="G49" s="11">
        <v>730</v>
      </c>
      <c r="N49" s="11">
        <v>1284</v>
      </c>
      <c r="O49" s="2">
        <v>1388</v>
      </c>
      <c r="P49" s="11">
        <v>1490</v>
      </c>
      <c r="Q49" s="11">
        <v>2991</v>
      </c>
      <c r="R49" s="11">
        <v>5261</v>
      </c>
      <c r="S49" s="11">
        <v>6885</v>
      </c>
      <c r="T49" s="11">
        <v>9357</v>
      </c>
      <c r="U49" s="11">
        <v>10983</v>
      </c>
      <c r="V49" s="11">
        <v>12169</v>
      </c>
      <c r="W49" s="11"/>
      <c r="X49" s="11"/>
      <c r="Y49" s="11"/>
      <c r="Z49" s="11"/>
    </row>
    <row r="50" spans="2:26" x14ac:dyDescent="0.15">
      <c r="B50" s="3" t="s">
        <v>57</v>
      </c>
      <c r="G50" s="11">
        <v>76747</v>
      </c>
      <c r="N50" s="11">
        <v>97599</v>
      </c>
      <c r="O50" s="11">
        <v>104218</v>
      </c>
      <c r="P50" s="11">
        <v>106223</v>
      </c>
      <c r="Q50" s="11">
        <v>108363</v>
      </c>
      <c r="R50" s="11">
        <v>112668</v>
      </c>
      <c r="S50" s="11">
        <v>117560</v>
      </c>
      <c r="T50" s="11">
        <v>121208</v>
      </c>
      <c r="U50" s="11">
        <v>125705</v>
      </c>
      <c r="V50" s="11">
        <v>134345</v>
      </c>
      <c r="W50" s="11"/>
      <c r="X50" s="11"/>
      <c r="Y50" s="11"/>
      <c r="Z50" s="11"/>
    </row>
    <row r="51" spans="2:26" x14ac:dyDescent="0.15">
      <c r="B51" s="3" t="s">
        <v>58</v>
      </c>
      <c r="G51" s="11">
        <v>11219</v>
      </c>
      <c r="N51" s="11">
        <v>12959</v>
      </c>
      <c r="O51" s="11">
        <v>12992</v>
      </c>
      <c r="P51" s="11">
        <v>13398</v>
      </c>
      <c r="Q51" s="11">
        <v>13677</v>
      </c>
      <c r="R51" s="11">
        <v>14381</v>
      </c>
      <c r="S51" s="11">
        <v>14447</v>
      </c>
      <c r="T51" s="11">
        <v>14469</v>
      </c>
      <c r="U51" s="11">
        <v>14199</v>
      </c>
      <c r="V51" s="11">
        <v>14091</v>
      </c>
      <c r="W51" s="11"/>
      <c r="X51" s="11"/>
      <c r="Y51" s="11"/>
      <c r="Z51" s="11"/>
    </row>
    <row r="52" spans="2:26" x14ac:dyDescent="0.15">
      <c r="B52" s="3" t="s">
        <v>61</v>
      </c>
      <c r="G52" s="11">
        <f>1840+20734</f>
        <v>22574</v>
      </c>
      <c r="N52" s="11">
        <f>1417+22956</f>
        <v>24373</v>
      </c>
      <c r="O52" s="11">
        <f>1313+23010</f>
        <v>24323</v>
      </c>
      <c r="P52" s="11">
        <f>1377+23949</f>
        <v>25326</v>
      </c>
      <c r="Q52" s="11">
        <f>28834+2192</f>
        <v>31026</v>
      </c>
      <c r="R52" s="11">
        <f>2084+28960</f>
        <v>31044</v>
      </c>
      <c r="S52" s="11">
        <f>1968+28994</f>
        <v>30962</v>
      </c>
      <c r="T52" s="11">
        <f>29210+1966</f>
        <v>31176</v>
      </c>
      <c r="U52" s="11">
        <f>1833+29146</f>
        <v>30979</v>
      </c>
      <c r="V52" s="11">
        <v>29198</v>
      </c>
      <c r="W52" s="11"/>
      <c r="X52" s="11"/>
      <c r="Y52" s="11"/>
      <c r="Z52" s="11"/>
    </row>
    <row r="53" spans="2:26" x14ac:dyDescent="0.15">
      <c r="B53" s="3" t="s">
        <v>60</v>
      </c>
      <c r="G53" s="11">
        <v>2748</v>
      </c>
      <c r="N53" s="11">
        <v>5361</v>
      </c>
      <c r="O53" s="11">
        <v>5778</v>
      </c>
      <c r="P53" s="11">
        <v>5712</v>
      </c>
      <c r="Q53" s="11">
        <v>5670</v>
      </c>
      <c r="R53" s="11">
        <v>6623</v>
      </c>
      <c r="S53" s="11">
        <v>6439</v>
      </c>
      <c r="T53" s="11">
        <v>6822</v>
      </c>
      <c r="U53" s="11">
        <v>7628</v>
      </c>
      <c r="V53" s="11">
        <v>10051</v>
      </c>
      <c r="W53" s="11"/>
      <c r="X53" s="11"/>
      <c r="Y53" s="11"/>
      <c r="Z53" s="11"/>
    </row>
    <row r="54" spans="2:26" x14ac:dyDescent="0.15">
      <c r="B54" s="3" t="s">
        <v>59</v>
      </c>
      <c r="G54" s="11">
        <f>SUM(G44:G53)</f>
        <v>273403</v>
      </c>
      <c r="N54" s="11">
        <f t="shared" ref="N54:V54" si="165">SUM(N44:N53)</f>
        <v>359268</v>
      </c>
      <c r="O54" s="11">
        <f t="shared" si="165"/>
        <v>357096</v>
      </c>
      <c r="P54" s="11">
        <f t="shared" si="165"/>
        <v>355185</v>
      </c>
      <c r="Q54" s="11">
        <f t="shared" si="165"/>
        <v>358255</v>
      </c>
      <c r="R54" s="11">
        <f t="shared" si="165"/>
        <v>365264</v>
      </c>
      <c r="S54" s="11">
        <f t="shared" si="165"/>
        <v>369491</v>
      </c>
      <c r="T54" s="11">
        <f t="shared" si="165"/>
        <v>383044</v>
      </c>
      <c r="U54" s="11">
        <f t="shared" si="165"/>
        <v>396711</v>
      </c>
      <c r="V54" s="11">
        <f t="shared" si="165"/>
        <v>402392</v>
      </c>
      <c r="W54" s="11"/>
      <c r="X54" s="11"/>
      <c r="Y54" s="11"/>
      <c r="Z54" s="11"/>
    </row>
    <row r="55" spans="2:26" x14ac:dyDescent="0.15">
      <c r="B55" s="3"/>
      <c r="G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2:26" x14ac:dyDescent="0.15">
      <c r="B56" s="3" t="s">
        <v>62</v>
      </c>
      <c r="G56" s="11">
        <v>4099</v>
      </c>
      <c r="N56" s="11">
        <v>6037</v>
      </c>
      <c r="O56" s="11">
        <v>3436</v>
      </c>
      <c r="P56" s="11">
        <v>4409</v>
      </c>
      <c r="Q56" s="11">
        <v>6303</v>
      </c>
      <c r="R56" s="11">
        <v>5128</v>
      </c>
      <c r="S56" s="11">
        <v>4184</v>
      </c>
      <c r="T56" s="11">
        <v>5313</v>
      </c>
      <c r="U56" s="11">
        <v>5803</v>
      </c>
      <c r="V56" s="11">
        <v>7493</v>
      </c>
      <c r="W56" s="11"/>
      <c r="X56" s="11"/>
      <c r="Y56" s="11"/>
      <c r="Z56" s="11"/>
    </row>
    <row r="57" spans="2:26" x14ac:dyDescent="0.15">
      <c r="B57" s="3" t="s">
        <v>63</v>
      </c>
      <c r="G57" s="11">
        <v>5656</v>
      </c>
      <c r="N57" s="11">
        <v>13889</v>
      </c>
      <c r="O57" s="11">
        <v>9803</v>
      </c>
      <c r="P57" s="11">
        <v>10852</v>
      </c>
      <c r="Q57" s="11">
        <v>12366</v>
      </c>
      <c r="R57" s="11">
        <v>14028</v>
      </c>
      <c r="S57" s="11">
        <v>9954</v>
      </c>
      <c r="T57" s="11">
        <v>11260</v>
      </c>
      <c r="U57" s="11">
        <v>12562</v>
      </c>
      <c r="V57" s="11">
        <v>15140</v>
      </c>
      <c r="W57" s="11"/>
      <c r="X57" s="11"/>
      <c r="Y57" s="11"/>
      <c r="Z57" s="11"/>
    </row>
    <row r="58" spans="2:26" x14ac:dyDescent="0.15">
      <c r="B58" s="3" t="s">
        <v>64</v>
      </c>
      <c r="G58" s="11">
        <v>22601</v>
      </c>
      <c r="N58" s="11">
        <v>31236</v>
      </c>
      <c r="O58" s="11">
        <v>33051</v>
      </c>
      <c r="P58" s="11">
        <v>32976</v>
      </c>
      <c r="Q58" s="11">
        <v>35038</v>
      </c>
      <c r="R58" s="11">
        <v>37866</v>
      </c>
      <c r="S58" s="11">
        <v>43185</v>
      </c>
      <c r="T58" s="11">
        <v>49300</v>
      </c>
      <c r="U58" s="11">
        <v>55602</v>
      </c>
      <c r="V58" s="11">
        <v>46168</v>
      </c>
      <c r="W58" s="11"/>
      <c r="X58" s="11"/>
      <c r="Y58" s="11"/>
      <c r="Z58" s="11"/>
    </row>
    <row r="59" spans="2:26" x14ac:dyDescent="0.15">
      <c r="B59" s="3" t="s">
        <v>65</v>
      </c>
      <c r="G59" s="11">
        <v>4982</v>
      </c>
      <c r="N59" s="11">
        <v>8996</v>
      </c>
      <c r="O59" s="11">
        <v>8116</v>
      </c>
      <c r="P59" s="11">
        <v>7889</v>
      </c>
      <c r="Q59" s="11">
        <v>7662</v>
      </c>
      <c r="R59" s="11">
        <v>8370</v>
      </c>
      <c r="S59" s="11">
        <v>7816</v>
      </c>
      <c r="T59" s="11">
        <v>7990</v>
      </c>
      <c r="U59" s="11">
        <v>8025</v>
      </c>
      <c r="V59" s="11">
        <v>8876</v>
      </c>
      <c r="W59" s="11"/>
      <c r="X59" s="11"/>
      <c r="Y59" s="11"/>
      <c r="Z59" s="11"/>
    </row>
    <row r="60" spans="2:26" x14ac:dyDescent="0.15">
      <c r="B60" s="3" t="s">
        <v>66</v>
      </c>
      <c r="G60" s="11">
        <f>1938+350</f>
        <v>2288</v>
      </c>
      <c r="N60" s="11">
        <f>3288+535</f>
        <v>3823</v>
      </c>
      <c r="O60" s="11">
        <f>3198+499</f>
        <v>3697</v>
      </c>
      <c r="P60" s="11">
        <f>3272+472</f>
        <v>3744</v>
      </c>
      <c r="Q60" s="11">
        <f>3585+594</f>
        <v>4179</v>
      </c>
      <c r="R60" s="11">
        <f>3908+599</f>
        <v>4507</v>
      </c>
      <c r="S60" s="11">
        <f>3715+610</f>
        <v>4325</v>
      </c>
      <c r="T60" s="11">
        <f>3846+667</f>
        <v>4513</v>
      </c>
      <c r="U60" s="11">
        <f>4303+884</f>
        <v>5187</v>
      </c>
      <c r="V60" s="11">
        <f>911+4137</f>
        <v>5048</v>
      </c>
      <c r="W60" s="11"/>
      <c r="X60" s="11"/>
      <c r="Y60" s="11"/>
      <c r="Z60" s="11"/>
    </row>
    <row r="61" spans="2:26" x14ac:dyDescent="0.15">
      <c r="B61" s="3" t="s">
        <v>30</v>
      </c>
      <c r="G61" s="11">
        <f>9207+913+2079</f>
        <v>12199</v>
      </c>
      <c r="N61" s="11">
        <f>808+9176+5257</f>
        <v>15241</v>
      </c>
      <c r="O61" s="11">
        <f>4344+9406+2843</f>
        <v>16593</v>
      </c>
      <c r="P61" s="11">
        <f>1956+8163+924</f>
        <v>11043</v>
      </c>
      <c r="Q61" s="11">
        <f>1025+8572+476</f>
        <v>10073</v>
      </c>
      <c r="R61" s="11">
        <f>9258+514</f>
        <v>9772</v>
      </c>
      <c r="S61" s="11">
        <f>9722+542</f>
        <v>10264</v>
      </c>
      <c r="T61" s="11">
        <f>8753+558</f>
        <v>9311</v>
      </c>
      <c r="U61" s="11">
        <f>8038+528</f>
        <v>8566</v>
      </c>
      <c r="V61" s="11">
        <f>8474+485</f>
        <v>8959</v>
      </c>
      <c r="W61" s="11"/>
      <c r="X61" s="11"/>
      <c r="Y61" s="11"/>
      <c r="Z61" s="11"/>
    </row>
    <row r="62" spans="2:26" x14ac:dyDescent="0.15">
      <c r="B62" s="3" t="s">
        <v>4</v>
      </c>
      <c r="G62" s="11">
        <v>5016</v>
      </c>
      <c r="N62" s="11">
        <v>14817</v>
      </c>
      <c r="O62" s="11">
        <v>14791</v>
      </c>
      <c r="P62" s="11">
        <v>14734</v>
      </c>
      <c r="Q62" s="11">
        <v>14653</v>
      </c>
      <c r="R62" s="11">
        <v>14701</v>
      </c>
      <c r="S62" s="11">
        <v>13697</v>
      </c>
      <c r="T62" s="11">
        <v>13705</v>
      </c>
      <c r="U62" s="11">
        <v>13781</v>
      </c>
      <c r="V62" s="11">
        <f>13253</f>
        <v>13253</v>
      </c>
      <c r="W62" s="11"/>
      <c r="X62" s="11"/>
      <c r="Y62" s="11"/>
      <c r="Z62" s="11"/>
    </row>
    <row r="63" spans="2:26" x14ac:dyDescent="0.15">
      <c r="B63" s="3" t="s">
        <v>58</v>
      </c>
      <c r="G63" s="11">
        <v>10476</v>
      </c>
      <c r="N63" s="11">
        <v>11389</v>
      </c>
      <c r="O63" s="11">
        <v>11363</v>
      </c>
      <c r="P63" s="11">
        <v>11697</v>
      </c>
      <c r="Q63" s="11">
        <v>11984</v>
      </c>
      <c r="R63" s="11">
        <v>12501</v>
      </c>
      <c r="S63" s="11">
        <v>12799</v>
      </c>
      <c r="T63" s="11">
        <v>12746</v>
      </c>
      <c r="U63" s="11">
        <v>12550</v>
      </c>
      <c r="V63" s="11">
        <v>12460</v>
      </c>
      <c r="W63" s="11"/>
      <c r="X63" s="11"/>
      <c r="Y63" s="11"/>
      <c r="Z63" s="11"/>
    </row>
    <row r="64" spans="2:26" x14ac:dyDescent="0.15">
      <c r="B64" s="3" t="s">
        <v>69</v>
      </c>
      <c r="G64" s="11">
        <v>2427</v>
      </c>
      <c r="N64" s="11">
        <v>2205</v>
      </c>
      <c r="O64" s="11">
        <v>2242</v>
      </c>
      <c r="P64" s="11">
        <v>2422</v>
      </c>
      <c r="Q64" s="11">
        <v>2371</v>
      </c>
      <c r="R64" s="11">
        <v>2247</v>
      </c>
      <c r="S64" s="11">
        <v>2373</v>
      </c>
      <c r="T64" s="11">
        <v>1765</v>
      </c>
      <c r="U64" s="11">
        <v>1433</v>
      </c>
      <c r="V64" s="11">
        <v>1616</v>
      </c>
      <c r="W64" s="11"/>
      <c r="X64" s="11"/>
      <c r="Y64" s="11"/>
      <c r="Z64" s="11"/>
    </row>
    <row r="65" spans="2:26" x14ac:dyDescent="0.15">
      <c r="B65" s="3" t="s">
        <v>68</v>
      </c>
      <c r="G65" s="11">
        <v>203659</v>
      </c>
      <c r="N65" s="11">
        <v>251635</v>
      </c>
      <c r="O65" s="11">
        <v>254004</v>
      </c>
      <c r="P65" s="11">
        <v>255419</v>
      </c>
      <c r="Q65" s="11">
        <v>253626</v>
      </c>
      <c r="R65" s="11">
        <v>256144</v>
      </c>
      <c r="S65" s="11">
        <v>260894</v>
      </c>
      <c r="T65" s="11">
        <v>267141</v>
      </c>
      <c r="U65" s="11">
        <v>273202</v>
      </c>
      <c r="V65" s="11">
        <v>283379</v>
      </c>
      <c r="W65" s="11"/>
      <c r="X65" s="11"/>
      <c r="Y65" s="11"/>
      <c r="Z65" s="11"/>
    </row>
    <row r="66" spans="2:26" x14ac:dyDescent="0.15">
      <c r="B66" s="3" t="s">
        <v>67</v>
      </c>
      <c r="G66" s="11">
        <f>SUM(G56:G65)</f>
        <v>273403</v>
      </c>
      <c r="N66" s="11">
        <f t="shared" ref="N66:V66" si="166">SUM(N56:N65)</f>
        <v>359268</v>
      </c>
      <c r="O66" s="11">
        <f t="shared" si="166"/>
        <v>357096</v>
      </c>
      <c r="P66" s="11">
        <f t="shared" si="166"/>
        <v>355185</v>
      </c>
      <c r="Q66" s="11">
        <f t="shared" si="166"/>
        <v>358255</v>
      </c>
      <c r="R66" s="11">
        <f t="shared" si="166"/>
        <v>365264</v>
      </c>
      <c r="S66" s="11">
        <f t="shared" si="166"/>
        <v>369491</v>
      </c>
      <c r="T66" s="11">
        <f t="shared" si="166"/>
        <v>383044</v>
      </c>
      <c r="U66" s="11">
        <f t="shared" si="166"/>
        <v>396711</v>
      </c>
      <c r="V66" s="11">
        <f t="shared" si="166"/>
        <v>402392</v>
      </c>
      <c r="W66" s="11"/>
      <c r="X66" s="11"/>
      <c r="Y66" s="11"/>
      <c r="Z66" s="11"/>
    </row>
    <row r="68" spans="2:26" s="3" customFormat="1" x14ac:dyDescent="0.15">
      <c r="B68" s="3" t="s">
        <v>82</v>
      </c>
      <c r="C68" s="11">
        <f>+C28</f>
        <v>8354</v>
      </c>
      <c r="D68" s="11"/>
      <c r="E68" s="11"/>
      <c r="F68" s="11"/>
      <c r="G68" s="11">
        <f>+G28</f>
        <v>6836</v>
      </c>
      <c r="H68" s="11">
        <f t="shared" ref="H68:V68" si="167">+H28</f>
        <v>6959</v>
      </c>
      <c r="I68" s="11">
        <f t="shared" si="167"/>
        <v>11247</v>
      </c>
      <c r="J68" s="11">
        <f t="shared" si="167"/>
        <v>15227</v>
      </c>
      <c r="K68" s="11">
        <f t="shared" si="167"/>
        <v>17930</v>
      </c>
      <c r="L68" s="11">
        <f t="shared" si="167"/>
        <v>18165</v>
      </c>
      <c r="M68" s="11">
        <f t="shared" si="167"/>
        <v>18936</v>
      </c>
      <c r="N68" s="11">
        <f t="shared" si="167"/>
        <v>20642</v>
      </c>
      <c r="O68" s="11">
        <f t="shared" si="167"/>
        <v>16436</v>
      </c>
      <c r="P68" s="11">
        <f t="shared" si="167"/>
        <v>16002</v>
      </c>
      <c r="Q68" s="11">
        <f t="shared" si="167"/>
        <v>13910</v>
      </c>
      <c r="R68" s="11">
        <f t="shared" si="167"/>
        <v>13624</v>
      </c>
      <c r="S68" s="11">
        <f t="shared" si="167"/>
        <v>15051</v>
      </c>
      <c r="T68" s="11">
        <f t="shared" si="167"/>
        <v>18368</v>
      </c>
      <c r="U68" s="11">
        <f t="shared" si="167"/>
        <v>19689</v>
      </c>
      <c r="V68" s="11">
        <f t="shared" si="167"/>
        <v>20687</v>
      </c>
      <c r="W68" s="11"/>
      <c r="X68" s="11"/>
      <c r="Y68" s="11"/>
      <c r="Z68" s="11"/>
    </row>
    <row r="69" spans="2:26" s="3" customFormat="1" x14ac:dyDescent="0.15">
      <c r="B69" s="3" t="s">
        <v>83</v>
      </c>
      <c r="C69" s="11">
        <v>6657</v>
      </c>
      <c r="D69" s="11"/>
      <c r="E69" s="11"/>
      <c r="F69" s="11"/>
      <c r="G69" s="11">
        <v>6836</v>
      </c>
      <c r="H69" s="11"/>
      <c r="I69" s="11"/>
      <c r="J69" s="11"/>
      <c r="K69" s="11">
        <v>17930</v>
      </c>
      <c r="L69" s="11"/>
      <c r="M69" s="11"/>
      <c r="N69" s="11"/>
      <c r="O69" s="11">
        <v>16436</v>
      </c>
      <c r="P69" s="11">
        <v>16002</v>
      </c>
      <c r="Q69" s="11">
        <v>13910</v>
      </c>
      <c r="R69" s="11">
        <v>13624</v>
      </c>
      <c r="S69" s="11">
        <v>15051</v>
      </c>
      <c r="T69" s="11">
        <v>18368</v>
      </c>
      <c r="U69" s="11">
        <v>19689</v>
      </c>
      <c r="V69" s="11">
        <v>20687</v>
      </c>
      <c r="W69" s="11"/>
      <c r="X69" s="11"/>
      <c r="Y69" s="11"/>
      <c r="Z69" s="11"/>
    </row>
    <row r="70" spans="2:26" s="3" customFormat="1" x14ac:dyDescent="0.15">
      <c r="B70" s="3" t="s">
        <v>84</v>
      </c>
      <c r="C70" s="11">
        <v>2416</v>
      </c>
      <c r="D70" s="11"/>
      <c r="E70" s="11"/>
      <c r="F70" s="11"/>
      <c r="G70" s="11">
        <v>2899</v>
      </c>
      <c r="H70" s="11"/>
      <c r="I70" s="11"/>
      <c r="J70" s="11"/>
      <c r="K70" s="11">
        <v>2525</v>
      </c>
      <c r="L70" s="11"/>
      <c r="M70" s="11"/>
      <c r="N70" s="11"/>
      <c r="O70" s="11">
        <v>3591</v>
      </c>
      <c r="P70" s="11">
        <v>3698</v>
      </c>
      <c r="Q70" s="11">
        <v>3933</v>
      </c>
      <c r="R70" s="11">
        <v>4065</v>
      </c>
      <c r="S70" s="11">
        <v>3060</v>
      </c>
      <c r="T70" s="11">
        <f>6339-S70</f>
        <v>3279</v>
      </c>
      <c r="U70" s="11">
        <v>3671</v>
      </c>
      <c r="V70" s="11">
        <v>3316</v>
      </c>
      <c r="W70" s="11"/>
      <c r="X70" s="11"/>
      <c r="Y70" s="11"/>
      <c r="Z70" s="11"/>
    </row>
    <row r="71" spans="2:26" s="3" customFormat="1" x14ac:dyDescent="0.15">
      <c r="B71" s="3" t="s">
        <v>85</v>
      </c>
      <c r="C71" s="11">
        <v>197</v>
      </c>
      <c r="D71" s="11"/>
      <c r="E71" s="11"/>
      <c r="F71" s="11"/>
      <c r="G71" s="11">
        <v>209</v>
      </c>
      <c r="H71" s="11"/>
      <c r="I71" s="11"/>
      <c r="J71" s="11"/>
      <c r="K71" s="11">
        <v>228</v>
      </c>
      <c r="L71" s="11"/>
      <c r="M71" s="11"/>
      <c r="N71" s="11"/>
      <c r="O71" s="11">
        <v>191</v>
      </c>
      <c r="P71" s="11">
        <v>201</v>
      </c>
      <c r="Q71" s="11">
        <v>113</v>
      </c>
      <c r="R71" s="11">
        <v>136</v>
      </c>
      <c r="S71" s="11">
        <v>126</v>
      </c>
      <c r="T71" s="11">
        <f>244-S71</f>
        <v>118</v>
      </c>
      <c r="U71" s="11">
        <v>129</v>
      </c>
      <c r="V71" s="11">
        <v>0</v>
      </c>
      <c r="W71" s="11"/>
      <c r="X71" s="11"/>
      <c r="Y71" s="11"/>
      <c r="Z71" s="11"/>
    </row>
    <row r="72" spans="2:26" s="3" customFormat="1" x14ac:dyDescent="0.15">
      <c r="B72" s="3" t="s">
        <v>86</v>
      </c>
      <c r="C72" s="11">
        <v>2769</v>
      </c>
      <c r="D72" s="11"/>
      <c r="E72" s="11"/>
      <c r="F72" s="11"/>
      <c r="G72" s="11">
        <v>3191</v>
      </c>
      <c r="H72" s="11"/>
      <c r="I72" s="11"/>
      <c r="J72" s="11"/>
      <c r="K72" s="11">
        <v>3745</v>
      </c>
      <c r="L72" s="11"/>
      <c r="M72" s="11"/>
      <c r="N72" s="11"/>
      <c r="O72" s="11">
        <v>4504</v>
      </c>
      <c r="P72" s="11">
        <v>4782</v>
      </c>
      <c r="Q72" s="11">
        <v>4976</v>
      </c>
      <c r="R72" s="11">
        <v>5100</v>
      </c>
      <c r="S72" s="11">
        <v>5284</v>
      </c>
      <c r="T72" s="11">
        <f>11058-S72</f>
        <v>5774</v>
      </c>
      <c r="U72" s="11">
        <v>5743</v>
      </c>
      <c r="V72" s="11">
        <v>5659</v>
      </c>
      <c r="W72" s="11"/>
      <c r="X72" s="11"/>
      <c r="Y72" s="11"/>
      <c r="Z72" s="11"/>
    </row>
    <row r="73" spans="2:26" s="3" customFormat="1" x14ac:dyDescent="0.15">
      <c r="B73" s="3" t="s">
        <v>56</v>
      </c>
      <c r="C73" s="11">
        <v>-73</v>
      </c>
      <c r="D73" s="11"/>
      <c r="E73" s="11"/>
      <c r="F73" s="11"/>
      <c r="G73" s="11">
        <v>175</v>
      </c>
      <c r="H73" s="11"/>
      <c r="I73" s="11"/>
      <c r="J73" s="11"/>
      <c r="K73" s="11">
        <v>1100</v>
      </c>
      <c r="L73" s="11"/>
      <c r="M73" s="11"/>
      <c r="N73" s="11"/>
      <c r="O73" s="11">
        <v>-2090</v>
      </c>
      <c r="P73" s="11">
        <v>-2147</v>
      </c>
      <c r="Q73" s="11">
        <v>-1920</v>
      </c>
      <c r="R73" s="11">
        <v>-1924</v>
      </c>
      <c r="S73" s="11">
        <v>-1854</v>
      </c>
      <c r="T73" s="11">
        <f>-4269-S73</f>
        <v>-2415</v>
      </c>
      <c r="U73" s="11">
        <v>-1824</v>
      </c>
      <c r="V73" s="11">
        <v>-1670</v>
      </c>
      <c r="W73" s="11"/>
      <c r="X73" s="11"/>
      <c r="Y73" s="11"/>
      <c r="Z73" s="11"/>
    </row>
    <row r="74" spans="2:26" s="3" customFormat="1" x14ac:dyDescent="0.15">
      <c r="B74" s="3" t="s">
        <v>87</v>
      </c>
      <c r="C74" s="11">
        <v>-1081</v>
      </c>
      <c r="D74" s="11"/>
      <c r="E74" s="11"/>
      <c r="F74" s="11"/>
      <c r="G74" s="11">
        <v>802</v>
      </c>
      <c r="H74" s="11"/>
      <c r="I74" s="11"/>
      <c r="J74" s="11"/>
      <c r="K74" s="11">
        <v>-4751</v>
      </c>
      <c r="L74" s="11"/>
      <c r="M74" s="11"/>
      <c r="N74" s="11"/>
      <c r="O74" s="11">
        <v>1437</v>
      </c>
      <c r="P74" s="11">
        <v>1041</v>
      </c>
      <c r="Q74" s="11">
        <v>1378</v>
      </c>
      <c r="R74" s="11">
        <v>1663</v>
      </c>
      <c r="S74" s="11">
        <v>-84</v>
      </c>
      <c r="T74" s="11">
        <f>425-S74</f>
        <v>509</v>
      </c>
      <c r="U74" s="11">
        <v>869</v>
      </c>
      <c r="V74" s="11">
        <v>-471</v>
      </c>
      <c r="W74" s="11"/>
      <c r="X74" s="11"/>
      <c r="Y74" s="11"/>
      <c r="Z74" s="11"/>
    </row>
    <row r="75" spans="2:26" s="3" customFormat="1" x14ac:dyDescent="0.15">
      <c r="B75" s="3" t="s">
        <v>28</v>
      </c>
      <c r="C75" s="11">
        <v>22</v>
      </c>
      <c r="D75" s="11"/>
      <c r="E75" s="11"/>
      <c r="F75" s="11"/>
      <c r="G75" s="11">
        <v>297</v>
      </c>
      <c r="H75" s="11"/>
      <c r="I75" s="11"/>
      <c r="J75" s="11"/>
      <c r="K75" s="11">
        <v>-255</v>
      </c>
      <c r="L75" s="11"/>
      <c r="M75" s="11"/>
      <c r="N75" s="11"/>
      <c r="O75" s="11">
        <v>140</v>
      </c>
      <c r="P75" s="11">
        <v>62</v>
      </c>
      <c r="Q75" s="11">
        <v>167</v>
      </c>
      <c r="R75" s="11">
        <v>661</v>
      </c>
      <c r="S75" s="11">
        <v>553</v>
      </c>
      <c r="T75" s="11">
        <f>650-S75</f>
        <v>97</v>
      </c>
      <c r="U75" s="11">
        <v>262</v>
      </c>
      <c r="V75" s="11">
        <v>1665</v>
      </c>
      <c r="W75" s="11"/>
      <c r="X75" s="11"/>
      <c r="Y75" s="11"/>
      <c r="Z75" s="11"/>
    </row>
    <row r="76" spans="2:26" s="3" customFormat="1" x14ac:dyDescent="0.15">
      <c r="B76" s="3" t="s">
        <v>88</v>
      </c>
      <c r="C76" s="11">
        <f>1172+1068-265-425-229-147-81</f>
        <v>1093</v>
      </c>
      <c r="D76" s="11"/>
      <c r="E76" s="11"/>
      <c r="F76" s="11"/>
      <c r="G76" s="11">
        <f>2602-245-115-835-3531-871+37</f>
        <v>-2958</v>
      </c>
      <c r="H76" s="11"/>
      <c r="I76" s="11"/>
      <c r="J76" s="11"/>
      <c r="K76" s="11">
        <f>2794+785+7-982-3530-444+137</f>
        <v>-1233</v>
      </c>
      <c r="L76" s="11"/>
      <c r="M76" s="11"/>
      <c r="N76" s="11"/>
      <c r="O76" s="11">
        <f>4364+3820-776-2373-3216-828-94</f>
        <v>897</v>
      </c>
      <c r="P76" s="11">
        <f>-1969-4073-845+1201+1497-114+86</f>
        <v>-4217</v>
      </c>
      <c r="Q76" s="11">
        <f>-97-609-2647+1907+2210-80+112</f>
        <v>796</v>
      </c>
      <c r="R76" s="11">
        <f>-4615+1446-778-28+3424+577+263</f>
        <v>289</v>
      </c>
      <c r="S76" s="11">
        <f>4454+4069-746-1105-4496-602-201</f>
        <v>1373</v>
      </c>
      <c r="T76" s="11">
        <f>1506+8520-1259+14-4037-418-17-S76</f>
        <v>2936</v>
      </c>
      <c r="U76" s="11">
        <f>-2821+1872-1624+223+3657+103+707</f>
        <v>2117</v>
      </c>
      <c r="V76" s="11">
        <f>-6518-9869+740+427+4317+797-165</f>
        <v>-10271</v>
      </c>
      <c r="W76" s="11"/>
      <c r="X76" s="11"/>
      <c r="Y76" s="11"/>
      <c r="Z76" s="11"/>
    </row>
    <row r="77" spans="2:26" s="3" customFormat="1" x14ac:dyDescent="0.15">
      <c r="B77" s="3" t="s">
        <v>35</v>
      </c>
      <c r="C77" s="11">
        <f>SUM(C69:C76)</f>
        <v>12000</v>
      </c>
      <c r="D77" s="11"/>
      <c r="E77" s="11"/>
      <c r="F77" s="11"/>
      <c r="G77" s="11">
        <f>SUM(G69:G76)</f>
        <v>11451</v>
      </c>
      <c r="H77" s="11"/>
      <c r="I77" s="11"/>
      <c r="J77" s="11">
        <v>22677</v>
      </c>
      <c r="K77" s="11">
        <f>SUM(K69:K76)</f>
        <v>19289</v>
      </c>
      <c r="L77" s="11"/>
      <c r="M77" s="11">
        <v>25539</v>
      </c>
      <c r="N77" s="11">
        <f t="shared" ref="N77:V77" si="168">SUM(N69:N76)</f>
        <v>0</v>
      </c>
      <c r="O77" s="11">
        <f t="shared" si="168"/>
        <v>25106</v>
      </c>
      <c r="P77" s="11">
        <f t="shared" si="168"/>
        <v>19422</v>
      </c>
      <c r="Q77" s="11">
        <f t="shared" si="168"/>
        <v>23353</v>
      </c>
      <c r="R77" s="11">
        <f t="shared" si="168"/>
        <v>23614</v>
      </c>
      <c r="S77" s="11">
        <f t="shared" si="168"/>
        <v>23509</v>
      </c>
      <c r="T77" s="11">
        <f t="shared" si="168"/>
        <v>28666</v>
      </c>
      <c r="U77" s="11">
        <f t="shared" si="168"/>
        <v>30656</v>
      </c>
      <c r="V77" s="11">
        <f t="shared" si="168"/>
        <v>18915</v>
      </c>
      <c r="W77" s="11"/>
      <c r="X77" s="11"/>
      <c r="Y77" s="11"/>
      <c r="Z77" s="11"/>
    </row>
    <row r="78" spans="2:26" s="3" customFormat="1" x14ac:dyDescent="0.15"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2:26" s="3" customFormat="1" x14ac:dyDescent="0.15">
      <c r="B79" s="3" t="s">
        <v>36</v>
      </c>
      <c r="C79" s="11">
        <v>-4638</v>
      </c>
      <c r="D79" s="11"/>
      <c r="E79" s="11"/>
      <c r="F79" s="11"/>
      <c r="G79" s="11">
        <v>-6005</v>
      </c>
      <c r="H79" s="11"/>
      <c r="I79" s="11"/>
      <c r="J79" s="11">
        <v>-5479</v>
      </c>
      <c r="K79" s="11">
        <v>-5942</v>
      </c>
      <c r="L79" s="11">
        <v>-5496</v>
      </c>
      <c r="M79" s="11">
        <v>-6819</v>
      </c>
      <c r="N79" s="11">
        <v>-6383</v>
      </c>
      <c r="O79" s="11">
        <v>-9786</v>
      </c>
      <c r="P79" s="11">
        <v>-6828</v>
      </c>
      <c r="Q79" s="11">
        <v>-7276</v>
      </c>
      <c r="R79" s="11">
        <v>-7595</v>
      </c>
      <c r="S79" s="11">
        <v>-6289</v>
      </c>
      <c r="T79" s="11">
        <f>-13177-S79</f>
        <v>-6888</v>
      </c>
      <c r="U79" s="11">
        <v>-8055</v>
      </c>
      <c r="V79" s="11">
        <v>-11019</v>
      </c>
      <c r="W79" s="11"/>
      <c r="X79" s="11"/>
      <c r="Y79" s="11"/>
      <c r="Z79" s="11"/>
    </row>
    <row r="80" spans="2:26" s="3" customFormat="1" x14ac:dyDescent="0.15">
      <c r="B80" s="3" t="s">
        <v>89</v>
      </c>
      <c r="C80" s="11">
        <f>-20883+21006-907+99</f>
        <v>-685</v>
      </c>
      <c r="D80" s="11"/>
      <c r="E80" s="11"/>
      <c r="F80" s="11"/>
      <c r="G80" s="11">
        <f>-37563+41811-572+260</f>
        <v>3936</v>
      </c>
      <c r="H80" s="11"/>
      <c r="I80" s="11"/>
      <c r="J80" s="11"/>
      <c r="K80" s="11"/>
      <c r="L80" s="11"/>
      <c r="M80" s="11"/>
      <c r="N80" s="11"/>
      <c r="O80" s="11">
        <f>-28462+29779-776+12</f>
        <v>553</v>
      </c>
      <c r="P80" s="11">
        <f>-21737+25595-488+113</f>
        <v>3483</v>
      </c>
      <c r="Q80" s="11"/>
      <c r="R80" s="11">
        <f>-11621+13735-903+19</f>
        <v>1230</v>
      </c>
      <c r="S80" s="11">
        <f>-14227+18327-626+36</f>
        <v>3510</v>
      </c>
      <c r="T80" s="11">
        <f>-35589+37049-1513-S80+181</f>
        <v>-3382</v>
      </c>
      <c r="U80" s="11">
        <f>-13833+15593-663+562</f>
        <v>1659</v>
      </c>
      <c r="V80" s="11">
        <f>-28436+34030-851+204</f>
        <v>4947</v>
      </c>
      <c r="W80" s="11"/>
      <c r="X80" s="11"/>
      <c r="Y80" s="11"/>
      <c r="Z80" s="11"/>
    </row>
    <row r="81" spans="2:26" s="3" customFormat="1" x14ac:dyDescent="0.15">
      <c r="B81" s="3" t="s">
        <v>91</v>
      </c>
      <c r="C81" s="11">
        <v>-99</v>
      </c>
      <c r="D81" s="11"/>
      <c r="E81" s="11"/>
      <c r="F81" s="11"/>
      <c r="G81" s="11">
        <v>-190</v>
      </c>
      <c r="H81" s="11"/>
      <c r="I81" s="11"/>
      <c r="J81" s="11"/>
      <c r="K81" s="11"/>
      <c r="L81" s="11"/>
      <c r="M81" s="11"/>
      <c r="N81" s="11"/>
      <c r="O81" s="11">
        <v>-173</v>
      </c>
      <c r="P81" s="11">
        <v>-1063</v>
      </c>
      <c r="Q81" s="11"/>
      <c r="R81" s="11">
        <v>-84</v>
      </c>
      <c r="S81" s="11">
        <v>-42</v>
      </c>
      <c r="T81" s="11">
        <f>-340-S81</f>
        <v>-298</v>
      </c>
      <c r="U81" s="11">
        <v>-126</v>
      </c>
      <c r="V81" s="11">
        <v>-29</v>
      </c>
      <c r="W81" s="11"/>
      <c r="X81" s="11"/>
      <c r="Y81" s="11"/>
      <c r="Z81" s="11"/>
    </row>
    <row r="82" spans="2:26" s="3" customFormat="1" x14ac:dyDescent="0.15">
      <c r="B82" s="3" t="s">
        <v>28</v>
      </c>
      <c r="C82" s="11">
        <v>34</v>
      </c>
      <c r="D82" s="11"/>
      <c r="E82" s="11"/>
      <c r="F82" s="11"/>
      <c r="G82" s="11">
        <v>412</v>
      </c>
      <c r="H82" s="11"/>
      <c r="I82" s="11"/>
      <c r="J82" s="11"/>
      <c r="K82" s="11"/>
      <c r="L82" s="11"/>
      <c r="M82" s="11"/>
      <c r="N82" s="11"/>
      <c r="O82" s="11">
        <v>355</v>
      </c>
      <c r="P82" s="11">
        <v>221</v>
      </c>
      <c r="Q82" s="11"/>
      <c r="R82" s="11">
        <v>222</v>
      </c>
      <c r="S82" s="11">
        <v>-125</v>
      </c>
      <c r="T82" s="11">
        <f>-357-S82</f>
        <v>-232</v>
      </c>
      <c r="U82" s="11">
        <v>-628</v>
      </c>
      <c r="V82" s="11">
        <v>-66</v>
      </c>
      <c r="W82" s="11"/>
      <c r="X82" s="11"/>
      <c r="Y82" s="11"/>
      <c r="Z82" s="11"/>
    </row>
    <row r="83" spans="2:26" s="3" customFormat="1" x14ac:dyDescent="0.15">
      <c r="B83" s="3" t="s">
        <v>92</v>
      </c>
      <c r="C83" s="11">
        <f>SUM(C79:C82)</f>
        <v>-5388</v>
      </c>
      <c r="D83" s="11"/>
      <c r="E83" s="11"/>
      <c r="F83" s="11"/>
      <c r="G83" s="11">
        <f>SUM(G79:G82)</f>
        <v>-1847</v>
      </c>
      <c r="H83" s="11"/>
      <c r="I83" s="11"/>
      <c r="J83" s="11"/>
      <c r="K83" s="11"/>
      <c r="L83" s="11"/>
      <c r="M83" s="11"/>
      <c r="N83" s="11"/>
      <c r="O83" s="11">
        <f>SUM(O79:O82)</f>
        <v>-9051</v>
      </c>
      <c r="P83" s="11">
        <f>SUM(P79:P82)</f>
        <v>-4187</v>
      </c>
      <c r="Q83" s="11"/>
      <c r="R83" s="11">
        <f>SUM(R79:R82)</f>
        <v>-6227</v>
      </c>
      <c r="S83" s="11">
        <f>SUM(S79:S82)</f>
        <v>-2946</v>
      </c>
      <c r="T83" s="11">
        <f>SUM(T79:T82)</f>
        <v>-10800</v>
      </c>
      <c r="U83" s="11">
        <f>SUM(U79:U82)</f>
        <v>-7150</v>
      </c>
      <c r="V83" s="11">
        <f>SUM(V79:V82)</f>
        <v>-6167</v>
      </c>
      <c r="W83" s="11"/>
      <c r="X83" s="11"/>
      <c r="Y83" s="11"/>
      <c r="Z83" s="11"/>
    </row>
    <row r="84" spans="2:26" s="3" customFormat="1" x14ac:dyDescent="0.15"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2:26" s="3" customFormat="1" x14ac:dyDescent="0.15">
      <c r="B85" s="3" t="s">
        <v>86</v>
      </c>
      <c r="C85" s="11">
        <v>-1175</v>
      </c>
      <c r="D85" s="11"/>
      <c r="E85" s="11"/>
      <c r="F85" s="11"/>
      <c r="G85" s="11">
        <v>-1241</v>
      </c>
      <c r="H85" s="11"/>
      <c r="I85" s="11"/>
      <c r="J85" s="11"/>
      <c r="K85" s="11"/>
      <c r="L85" s="11"/>
      <c r="M85" s="11"/>
      <c r="N85" s="11"/>
      <c r="O85" s="11">
        <v>-2916</v>
      </c>
      <c r="P85" s="11">
        <v>-2264</v>
      </c>
      <c r="Q85" s="11"/>
      <c r="R85" s="11">
        <v>-2079</v>
      </c>
      <c r="S85" s="11">
        <v>-1989</v>
      </c>
      <c r="T85" s="11">
        <f>-4725-S85</f>
        <v>-2736</v>
      </c>
      <c r="U85" s="11">
        <v>-2432</v>
      </c>
      <c r="V85" s="11">
        <v>-2680</v>
      </c>
      <c r="W85" s="11"/>
      <c r="X85" s="11"/>
      <c r="Y85" s="11"/>
      <c r="Z85" s="11"/>
    </row>
    <row r="86" spans="2:26" s="3" customFormat="1" x14ac:dyDescent="0.15">
      <c r="B86" s="3" t="s">
        <v>93</v>
      </c>
      <c r="C86" s="11">
        <v>-3025</v>
      </c>
      <c r="D86" s="11"/>
      <c r="E86" s="11"/>
      <c r="F86" s="11"/>
      <c r="G86" s="11">
        <v>-8496</v>
      </c>
      <c r="H86" s="11"/>
      <c r="I86" s="11"/>
      <c r="J86" s="11"/>
      <c r="K86" s="11"/>
      <c r="L86" s="11"/>
      <c r="M86" s="11"/>
      <c r="N86" s="11"/>
      <c r="O86" s="11">
        <v>-13300</v>
      </c>
      <c r="P86" s="11">
        <v>-15197</v>
      </c>
      <c r="Q86" s="11"/>
      <c r="R86" s="11">
        <v>-15407</v>
      </c>
      <c r="S86" s="11">
        <v>-14557</v>
      </c>
      <c r="T86" s="11">
        <f>-29526-S86</f>
        <v>-14969</v>
      </c>
      <c r="U86" s="11">
        <v>-15787</v>
      </c>
      <c r="V86" s="11">
        <v>-16191</v>
      </c>
      <c r="W86" s="11"/>
      <c r="X86" s="11"/>
      <c r="Y86" s="11"/>
      <c r="Z86" s="11"/>
    </row>
    <row r="87" spans="2:26" s="3" customFormat="1" x14ac:dyDescent="0.15">
      <c r="B87" s="3" t="s">
        <v>4</v>
      </c>
      <c r="C87" s="11">
        <f>315-345</f>
        <v>-30</v>
      </c>
      <c r="D87" s="11"/>
      <c r="E87" s="11"/>
      <c r="F87" s="11"/>
      <c r="G87" s="11">
        <f>1898-1947</f>
        <v>-49</v>
      </c>
      <c r="H87" s="11"/>
      <c r="I87" s="11"/>
      <c r="J87" s="11"/>
      <c r="K87" s="11"/>
      <c r="L87" s="11"/>
      <c r="M87" s="11"/>
      <c r="N87" s="11"/>
      <c r="O87" s="11">
        <f>16422-16420</f>
        <v>2</v>
      </c>
      <c r="P87" s="11">
        <f>12806-13162</f>
        <v>-356</v>
      </c>
      <c r="Q87" s="11"/>
      <c r="R87" s="11">
        <f>8550-8718</f>
        <v>-168</v>
      </c>
      <c r="S87" s="11">
        <f>6927-6952</f>
        <v>-25</v>
      </c>
      <c r="T87" s="11">
        <f>8050-8207-S87</f>
        <v>-132</v>
      </c>
      <c r="U87" s="11">
        <f>1248-1414</f>
        <v>-166</v>
      </c>
      <c r="V87" s="11">
        <f>1492-1929</f>
        <v>-437</v>
      </c>
      <c r="W87" s="11"/>
      <c r="X87" s="11"/>
      <c r="Y87" s="11"/>
      <c r="Z87" s="11"/>
    </row>
    <row r="88" spans="2:26" s="3" customFormat="1" x14ac:dyDescent="0.15">
      <c r="B88" s="3" t="s">
        <v>94</v>
      </c>
      <c r="C88" s="11">
        <v>47</v>
      </c>
      <c r="D88" s="11"/>
      <c r="E88" s="11"/>
      <c r="F88" s="11"/>
      <c r="G88" s="11">
        <v>1600</v>
      </c>
      <c r="H88" s="11"/>
      <c r="I88" s="11"/>
      <c r="J88" s="11"/>
      <c r="K88" s="11"/>
      <c r="L88" s="11"/>
      <c r="M88" s="11"/>
      <c r="N88" s="11"/>
      <c r="O88" s="11">
        <v>0</v>
      </c>
      <c r="P88" s="11">
        <v>0</v>
      </c>
      <c r="Q88" s="11"/>
      <c r="R88" s="11">
        <v>25</v>
      </c>
      <c r="S88" s="11">
        <v>3</v>
      </c>
      <c r="T88" s="11">
        <f>5-S88</f>
        <v>2</v>
      </c>
      <c r="U88" s="11">
        <v>3</v>
      </c>
      <c r="V88" s="11">
        <v>0</v>
      </c>
      <c r="W88" s="11"/>
      <c r="X88" s="11"/>
      <c r="Y88" s="11"/>
      <c r="Z88" s="11"/>
    </row>
    <row r="89" spans="2:26" s="3" customFormat="1" x14ac:dyDescent="0.15">
      <c r="B89" s="3" t="s">
        <v>90</v>
      </c>
      <c r="C89" s="11">
        <f>SUM(C85:C88)</f>
        <v>-4183</v>
      </c>
      <c r="D89" s="11"/>
      <c r="E89" s="11"/>
      <c r="F89" s="11"/>
      <c r="G89" s="11">
        <f>SUM(G85:G88)</f>
        <v>-8186</v>
      </c>
      <c r="H89" s="11"/>
      <c r="I89" s="11"/>
      <c r="J89" s="11"/>
      <c r="K89" s="11"/>
      <c r="L89" s="11"/>
      <c r="M89" s="11"/>
      <c r="N89" s="11"/>
      <c r="O89" s="11">
        <f>SUM(O85:O88)</f>
        <v>-16214</v>
      </c>
      <c r="P89" s="11">
        <f>SUM(P85:P88)</f>
        <v>-17817</v>
      </c>
      <c r="Q89" s="11"/>
      <c r="R89" s="11">
        <f>SUM(R85:R88)</f>
        <v>-17629</v>
      </c>
      <c r="S89" s="11">
        <f>SUM(S85:S88)</f>
        <v>-16568</v>
      </c>
      <c r="T89" s="11">
        <f>SUM(T85:T88)</f>
        <v>-17835</v>
      </c>
      <c r="U89" s="11">
        <f>SUM(U85:U88)</f>
        <v>-18382</v>
      </c>
      <c r="V89" s="11">
        <f>SUM(V85:V88)</f>
        <v>-19308</v>
      </c>
      <c r="W89" s="11"/>
      <c r="X89" s="11"/>
      <c r="Y89" s="11"/>
      <c r="Z89" s="11"/>
    </row>
    <row r="90" spans="2:26" s="3" customFormat="1" x14ac:dyDescent="0.15">
      <c r="B90" s="3" t="s">
        <v>41</v>
      </c>
      <c r="C90" s="11">
        <v>18</v>
      </c>
      <c r="D90" s="11"/>
      <c r="E90" s="11"/>
      <c r="F90" s="11"/>
      <c r="G90" s="11">
        <v>-272</v>
      </c>
      <c r="H90" s="11"/>
      <c r="I90" s="11"/>
      <c r="J90" s="11"/>
      <c r="K90" s="11"/>
      <c r="L90" s="11"/>
      <c r="M90" s="11"/>
      <c r="N90" s="11"/>
      <c r="O90" s="11">
        <v>100</v>
      </c>
      <c r="P90" s="11">
        <v>-368</v>
      </c>
      <c r="Q90" s="11"/>
      <c r="R90" s="11">
        <v>137</v>
      </c>
      <c r="S90" s="11">
        <v>50</v>
      </c>
      <c r="T90" s="11">
        <f>24-S90</f>
        <v>-26</v>
      </c>
      <c r="U90" s="11">
        <v>-351</v>
      </c>
      <c r="V90" s="11">
        <v>-94</v>
      </c>
      <c r="W90" s="11"/>
      <c r="X90" s="11"/>
      <c r="Y90" s="11"/>
      <c r="Z90" s="11"/>
    </row>
    <row r="91" spans="2:26" s="3" customFormat="1" x14ac:dyDescent="0.15">
      <c r="B91" s="3" t="s">
        <v>95</v>
      </c>
      <c r="C91" s="11">
        <f>+C90+C89+C83+C77</f>
        <v>2447</v>
      </c>
      <c r="D91" s="11"/>
      <c r="E91" s="11"/>
      <c r="F91" s="11"/>
      <c r="G91" s="11">
        <f>+G90+G89+G83+G77</f>
        <v>1146</v>
      </c>
      <c r="H91" s="11"/>
      <c r="I91" s="11"/>
      <c r="J91" s="11"/>
      <c r="K91" s="11"/>
      <c r="L91" s="11"/>
      <c r="M91" s="11"/>
      <c r="N91" s="11"/>
      <c r="O91" s="11">
        <f>+O90+O89+O83+O77</f>
        <v>-59</v>
      </c>
      <c r="P91" s="11">
        <f>+P90+P89+P83+P77</f>
        <v>-2950</v>
      </c>
      <c r="Q91" s="11"/>
      <c r="R91" s="11">
        <f>+R90+R89+R83+R77</f>
        <v>-105</v>
      </c>
      <c r="S91" s="11">
        <f>+S90+S89+S83+S77</f>
        <v>4045</v>
      </c>
      <c r="T91" s="11">
        <f>+T90+T89+T83+T77</f>
        <v>5</v>
      </c>
      <c r="U91" s="11">
        <f>+U90+U89+U83+U77</f>
        <v>4773</v>
      </c>
      <c r="V91" s="11">
        <f>+V90+V89+V83+V77</f>
        <v>-6654</v>
      </c>
      <c r="W91" s="11"/>
      <c r="X91" s="11"/>
      <c r="Y91" s="11"/>
      <c r="Z91" s="11"/>
    </row>
    <row r="92" spans="2:26" s="3" customFormat="1" x14ac:dyDescent="0.15"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2:26" s="3" customFormat="1" x14ac:dyDescent="0.15">
      <c r="B93" s="3" t="s">
        <v>37</v>
      </c>
      <c r="C93" s="11"/>
      <c r="D93" s="11"/>
      <c r="E93" s="11"/>
      <c r="F93" s="11"/>
      <c r="G93" s="11"/>
      <c r="H93" s="11"/>
      <c r="I93" s="11"/>
      <c r="J93" s="11">
        <f>J77-J79</f>
        <v>28156</v>
      </c>
      <c r="K93" s="11">
        <f>K77-K79</f>
        <v>25231</v>
      </c>
      <c r="L93" s="11"/>
      <c r="M93" s="11">
        <f t="shared" ref="M93:N93" si="169">M77-M79</f>
        <v>32358</v>
      </c>
      <c r="N93" s="11">
        <f t="shared" si="169"/>
        <v>6383</v>
      </c>
      <c r="O93" s="11">
        <f>O77+O79</f>
        <v>15320</v>
      </c>
      <c r="P93" s="11">
        <f t="shared" ref="P93:S93" si="170">P77+P79</f>
        <v>12594</v>
      </c>
      <c r="Q93" s="11">
        <f t="shared" si="170"/>
        <v>16077</v>
      </c>
      <c r="R93" s="11">
        <f t="shared" si="170"/>
        <v>16019</v>
      </c>
      <c r="S93" s="11">
        <f t="shared" si="170"/>
        <v>17220</v>
      </c>
      <c r="T93" s="11">
        <f>T77+T79</f>
        <v>21778</v>
      </c>
      <c r="U93" s="11">
        <f>U77+U79</f>
        <v>22601</v>
      </c>
      <c r="V93" s="11">
        <f>V77+V79</f>
        <v>7896</v>
      </c>
      <c r="W93" s="11"/>
      <c r="X93" s="11"/>
      <c r="Y93" s="11"/>
      <c r="Z93" s="11"/>
    </row>
    <row r="94" spans="2:26" x14ac:dyDescent="0.15">
      <c r="R94" s="11"/>
    </row>
    <row r="95" spans="2:26" s="3" customFormat="1" x14ac:dyDescent="0.15">
      <c r="B95" s="3" t="s">
        <v>52</v>
      </c>
      <c r="C95" s="11">
        <v>103459</v>
      </c>
      <c r="D95" s="11"/>
      <c r="E95" s="11"/>
      <c r="F95" s="11"/>
      <c r="G95" s="11">
        <v>123048</v>
      </c>
      <c r="H95" s="11"/>
      <c r="I95" s="11"/>
      <c r="J95" s="11"/>
      <c r="K95" s="11">
        <v>139995</v>
      </c>
      <c r="L95" s="11">
        <v>144056</v>
      </c>
      <c r="M95" s="11">
        <v>150028</v>
      </c>
      <c r="N95" s="11">
        <v>156500</v>
      </c>
      <c r="O95" s="11">
        <v>163906</v>
      </c>
      <c r="P95" s="11">
        <v>174014</v>
      </c>
      <c r="Q95" s="11">
        <v>186779</v>
      </c>
      <c r="R95" s="11">
        <v>190234</v>
      </c>
      <c r="S95" s="11">
        <v>190711</v>
      </c>
      <c r="T95" s="11">
        <v>181798</v>
      </c>
      <c r="U95" s="11">
        <v>182381</v>
      </c>
      <c r="V95" s="11">
        <v>182502</v>
      </c>
      <c r="W95" s="11"/>
      <c r="X95" s="11"/>
      <c r="Y95" s="11"/>
      <c r="Z95" s="11"/>
    </row>
    <row r="96" spans="2:26" x14ac:dyDescent="0.15">
      <c r="B96" s="3" t="s">
        <v>81</v>
      </c>
      <c r="O96" s="15">
        <f t="shared" ref="O96:V96" si="171">+O95/K95-1</f>
        <v>0.17079895710561099</v>
      </c>
      <c r="P96" s="15">
        <f t="shared" si="171"/>
        <v>0.20796079302493475</v>
      </c>
      <c r="Q96" s="15">
        <f t="shared" si="171"/>
        <v>0.24496094062441687</v>
      </c>
      <c r="R96" s="15">
        <f t="shared" si="171"/>
        <v>0.21555271565495215</v>
      </c>
      <c r="S96" s="15">
        <f t="shared" si="171"/>
        <v>0.16353885763791443</v>
      </c>
      <c r="T96" s="15">
        <f t="shared" si="171"/>
        <v>4.4732033054811771E-2</v>
      </c>
      <c r="U96" s="15">
        <f t="shared" si="171"/>
        <v>-2.3546544311726647E-2</v>
      </c>
      <c r="V96" s="15">
        <f t="shared" si="171"/>
        <v>-4.0644679710251541E-2</v>
      </c>
    </row>
    <row r="97" spans="2:40" x14ac:dyDescent="0.15">
      <c r="B97" s="3" t="s">
        <v>100</v>
      </c>
      <c r="G97" s="11">
        <f>+G16/G95*1000</f>
        <v>334.49548143813797</v>
      </c>
      <c r="K97" s="11">
        <f>+K16/K95*1000</f>
        <v>395.11411121825779</v>
      </c>
      <c r="L97" s="11">
        <f>+L16/L95*1000</f>
        <v>429.55517298828232</v>
      </c>
      <c r="M97" s="11">
        <f>+M16/M95*1000</f>
        <v>434.03897939051376</v>
      </c>
      <c r="N97" s="11">
        <f>+N16/N95*1000</f>
        <v>481.30990415335464</v>
      </c>
      <c r="O97" s="11">
        <f>+O16/O95*1000</f>
        <v>414.93905043134475</v>
      </c>
      <c r="P97" s="11">
        <f>+P16/P95*1000</f>
        <v>400.45628512648409</v>
      </c>
      <c r="Q97" s="11">
        <f>+Q16/Q95*1000</f>
        <v>369.91310586307884</v>
      </c>
      <c r="R97" s="11">
        <f>+R16/R95*1000</f>
        <v>399.76029521536634</v>
      </c>
      <c r="S97" s="11">
        <f>+S16/S95*1000</f>
        <v>365.93064899245451</v>
      </c>
      <c r="T97" s="11">
        <f>+T16/T95*1000</f>
        <v>410.36755079813861</v>
      </c>
      <c r="U97" s="11">
        <f>+U16/U95*1000</f>
        <v>420.50981187733373</v>
      </c>
      <c r="V97" s="11">
        <f>+V16/V95*1000</f>
        <v>472.92632409507837</v>
      </c>
    </row>
    <row r="100" spans="2:40" x14ac:dyDescent="0.15">
      <c r="B100" s="3" t="s">
        <v>105</v>
      </c>
      <c r="AG100">
        <v>37.94</v>
      </c>
      <c r="AH100">
        <v>38.590000000000003</v>
      </c>
      <c r="AI100">
        <v>52.32</v>
      </c>
      <c r="AJ100">
        <v>51.78</v>
      </c>
      <c r="AK100">
        <v>66.849999999999994</v>
      </c>
      <c r="AL100">
        <v>87.59</v>
      </c>
      <c r="AM100">
        <v>144.68</v>
      </c>
      <c r="AN100">
        <v>88.73</v>
      </c>
    </row>
    <row r="101" spans="2:40" x14ac:dyDescent="0.15">
      <c r="AN101" s="5">
        <f>AN100/AG100-1</f>
        <v>1.3386926726410122</v>
      </c>
    </row>
    <row r="103" spans="2:40" x14ac:dyDescent="0.15">
      <c r="B103" t="s">
        <v>106</v>
      </c>
      <c r="AG103" s="3">
        <v>5007.41</v>
      </c>
      <c r="AH103" s="3">
        <v>5383.12</v>
      </c>
      <c r="AI103" s="3">
        <v>6903.39</v>
      </c>
      <c r="AJ103" s="3">
        <v>6635.28</v>
      </c>
      <c r="AK103" s="3">
        <v>8972.6</v>
      </c>
      <c r="AL103" s="3">
        <v>12888.28</v>
      </c>
      <c r="AM103" s="3">
        <v>15644.97</v>
      </c>
      <c r="AN103" s="3">
        <v>10466.48</v>
      </c>
    </row>
    <row r="104" spans="2:40" x14ac:dyDescent="0.15">
      <c r="AN104" s="5">
        <f>AN103/AG103-1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2024-02-11T02:11:26Z</dcterms:modified>
</cp:coreProperties>
</file>