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DBE3168B-1D99-0848-ABD8-E6D84E0F6213}" xr6:coauthVersionLast="47" xr6:coauthVersionMax="47" xr10:uidLastSave="{00000000-0000-0000-0000-000000000000}"/>
  <bookViews>
    <workbookView xWindow="-17460" yWindow="1880" windowWidth="16760" windowHeight="18380" xr2:uid="{EA2824C1-1697-4288-88B1-60A32E5E15B0}"/>
  </bookViews>
  <sheets>
    <sheet name="Model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1" l="1"/>
  <c r="D8" i="2"/>
  <c r="E10" i="2"/>
  <c r="E9" i="2"/>
  <c r="F7" i="2"/>
  <c r="P32" i="1"/>
  <c r="M26" i="1"/>
  <c r="M24" i="1"/>
  <c r="S24" i="1"/>
  <c r="R24" i="1"/>
  <c r="Q24" i="1"/>
  <c r="P24" i="1"/>
  <c r="O24" i="1"/>
  <c r="N24" i="1"/>
  <c r="N26" i="1" l="1"/>
  <c r="S34" i="1"/>
  <c r="R34" i="1"/>
  <c r="Q34" i="1"/>
  <c r="P34" i="1"/>
  <c r="R2" i="1"/>
  <c r="P2" i="1"/>
  <c r="G48" i="1"/>
  <c r="H48" i="1"/>
  <c r="I48" i="1"/>
  <c r="K48" i="1"/>
  <c r="N48" i="1"/>
  <c r="D49" i="1"/>
  <c r="E49" i="1"/>
  <c r="F49" i="1"/>
  <c r="G49" i="1"/>
  <c r="H49" i="1"/>
  <c r="I49" i="1"/>
  <c r="M50" i="1"/>
  <c r="O2" i="1"/>
  <c r="S2" i="1" s="1"/>
  <c r="E50" i="1"/>
  <c r="F50" i="1"/>
  <c r="G50" i="1"/>
  <c r="H50" i="1"/>
  <c r="I50" i="1"/>
  <c r="J50" i="1"/>
  <c r="K50" i="1"/>
  <c r="L50" i="1"/>
  <c r="N50" i="1"/>
  <c r="O29" i="1"/>
  <c r="N34" i="1"/>
  <c r="N97" i="1" s="1"/>
  <c r="J34" i="1"/>
  <c r="J52" i="1" s="1"/>
  <c r="N68" i="1"/>
  <c r="N72" i="1" s="1"/>
  <c r="N61" i="1"/>
  <c r="N55" i="1"/>
  <c r="J39" i="1"/>
  <c r="N41" i="1"/>
  <c r="N39" i="1"/>
  <c r="M90" i="1"/>
  <c r="N90" i="1" s="1"/>
  <c r="M91" i="1"/>
  <c r="N91" i="1" s="1"/>
  <c r="M92" i="1"/>
  <c r="N92" i="1" s="1"/>
  <c r="M93" i="1"/>
  <c r="N93" i="1" s="1"/>
  <c r="M89" i="1"/>
  <c r="N89" i="1" s="1"/>
  <c r="M84" i="1"/>
  <c r="N84" i="1" s="1"/>
  <c r="M85" i="1"/>
  <c r="N85" i="1" s="1"/>
  <c r="M79" i="1"/>
  <c r="N79" i="1" s="1"/>
  <c r="M78" i="1"/>
  <c r="N78" i="1" s="1"/>
  <c r="M77" i="1"/>
  <c r="N77" i="1" s="1"/>
  <c r="M76" i="1"/>
  <c r="N76" i="1" s="1"/>
  <c r="M75" i="1"/>
  <c r="N75" i="1" s="1"/>
  <c r="L34" i="1"/>
  <c r="L36" i="1" s="1"/>
  <c r="L88" i="1"/>
  <c r="L94" i="1" s="1"/>
  <c r="L83" i="1"/>
  <c r="L86" i="1" s="1"/>
  <c r="L80" i="1"/>
  <c r="M80" i="1" s="1"/>
  <c r="N80" i="1" s="1"/>
  <c r="L69" i="1"/>
  <c r="L68" i="1"/>
  <c r="L72" i="1" s="1"/>
  <c r="L61" i="1"/>
  <c r="L55" i="1"/>
  <c r="M34" i="1"/>
  <c r="M97" i="1" s="1"/>
  <c r="M68" i="1"/>
  <c r="M72" i="1" s="1"/>
  <c r="M61" i="1"/>
  <c r="M55" i="1"/>
  <c r="M41" i="1"/>
  <c r="M39" i="1"/>
  <c r="E39" i="1"/>
  <c r="E36" i="1"/>
  <c r="E51" i="1" s="1"/>
  <c r="I39" i="1"/>
  <c r="I36" i="1"/>
  <c r="I51" i="1" s="1"/>
  <c r="D39" i="1"/>
  <c r="D36" i="1"/>
  <c r="D51" i="1" s="1"/>
  <c r="H52" i="1"/>
  <c r="G52" i="1"/>
  <c r="F52" i="1"/>
  <c r="E52" i="1"/>
  <c r="D52" i="1"/>
  <c r="C52" i="1"/>
  <c r="C39" i="1"/>
  <c r="C36" i="1"/>
  <c r="C51" i="1" s="1"/>
  <c r="G39" i="1"/>
  <c r="G36" i="1"/>
  <c r="G51" i="1" s="1"/>
  <c r="I2" i="1"/>
  <c r="M2" i="1" s="1"/>
  <c r="Q2" i="1" s="1"/>
  <c r="E2" i="1"/>
  <c r="K52" i="1"/>
  <c r="I52" i="1"/>
  <c r="H41" i="1"/>
  <c r="L41" i="1"/>
  <c r="L39" i="1"/>
  <c r="H39" i="1"/>
  <c r="H36" i="1"/>
  <c r="H51" i="1" s="1"/>
  <c r="L64" i="1" l="1"/>
  <c r="O39" i="1"/>
  <c r="L48" i="1"/>
  <c r="M88" i="1"/>
  <c r="N88" i="1" s="1"/>
  <c r="N94" i="1" s="1"/>
  <c r="K49" i="1"/>
  <c r="M48" i="1"/>
  <c r="N49" i="1"/>
  <c r="M49" i="1"/>
  <c r="L49" i="1"/>
  <c r="J48" i="1"/>
  <c r="J49" i="1"/>
  <c r="M64" i="1"/>
  <c r="N64" i="1"/>
  <c r="M52" i="1"/>
  <c r="N52" i="1"/>
  <c r="L97" i="1"/>
  <c r="N36" i="1"/>
  <c r="N40" i="1" s="1"/>
  <c r="N42" i="1" s="1"/>
  <c r="M83" i="1"/>
  <c r="L52" i="1"/>
  <c r="J36" i="1"/>
  <c r="L40" i="1"/>
  <c r="L42" i="1" s="1"/>
  <c r="L44" i="1" s="1"/>
  <c r="L51" i="1"/>
  <c r="M94" i="1"/>
  <c r="M36" i="1"/>
  <c r="M40" i="1" s="1"/>
  <c r="M42" i="1" s="1"/>
  <c r="M44" i="1" s="1"/>
  <c r="E40" i="1"/>
  <c r="E42" i="1" s="1"/>
  <c r="E44" i="1" s="1"/>
  <c r="E45" i="1" s="1"/>
  <c r="C40" i="1"/>
  <c r="C42" i="1" s="1"/>
  <c r="C44" i="1" s="1"/>
  <c r="C45" i="1" s="1"/>
  <c r="I40" i="1"/>
  <c r="I42" i="1" s="1"/>
  <c r="I44" i="1" s="1"/>
  <c r="I45" i="1" s="1"/>
  <c r="D40" i="1"/>
  <c r="D42" i="1" s="1"/>
  <c r="D44" i="1" s="1"/>
  <c r="D45" i="1" s="1"/>
  <c r="G40" i="1"/>
  <c r="G42" i="1" s="1"/>
  <c r="G44" i="1" s="1"/>
  <c r="G45" i="1" s="1"/>
  <c r="H40" i="1"/>
  <c r="H42" i="1" s="1"/>
  <c r="H44" i="1" s="1"/>
  <c r="H45" i="1" s="1"/>
  <c r="N51" i="1" l="1"/>
  <c r="M51" i="1"/>
  <c r="J40" i="1"/>
  <c r="J42" i="1" s="1"/>
  <c r="J44" i="1" s="1"/>
  <c r="J45" i="1" s="1"/>
  <c r="J51" i="1"/>
  <c r="M86" i="1"/>
  <c r="N83" i="1"/>
  <c r="N86" i="1" s="1"/>
  <c r="N44" i="1"/>
  <c r="M45" i="1"/>
  <c r="M74" i="1"/>
  <c r="M81" i="1" s="1"/>
  <c r="L45" i="1"/>
  <c r="L74" i="1"/>
  <c r="L81" i="1" s="1"/>
  <c r="L95" i="1" s="1"/>
  <c r="M95" i="1" l="1"/>
  <c r="N45" i="1"/>
  <c r="N74" i="1"/>
  <c r="N81" i="1" s="1"/>
  <c r="N95" i="1" s="1"/>
  <c r="O34" i="1" l="1"/>
  <c r="O48" i="1" s="1"/>
  <c r="O50" i="1"/>
  <c r="O49" i="1" l="1"/>
  <c r="O52" i="1"/>
  <c r="O40" i="1" l="1"/>
  <c r="O42" i="1" s="1"/>
  <c r="O44" i="1" s="1"/>
  <c r="O45" i="1" s="1"/>
  <c r="O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tc={E320785E-9BCE-AC4E-B37C-7EB104B6CF82}</author>
    <author>tc={3CFE94FA-5EAC-7E47-B7D3-031052D60B7C}</author>
    <author>tc={23E40331-82EE-794B-BF71-362AABD49EB0}</author>
    <author>tc={7661685F-D234-EE4D-9EE3-823EB4FBA0E2}</author>
    <author>tc={195B7556-9D37-2C4A-AE00-5F1730A1F989}</author>
  </authors>
  <commentList>
    <comment ref="L32" authorId="0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L34" authorId="1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M34" authorId="2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N34" authorId="3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P34" authorId="4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</t>
      </text>
    </comment>
  </commentList>
</comments>
</file>

<file path=xl/sharedStrings.xml><?xml version="1.0" encoding="utf-8"?>
<sst xmlns="http://schemas.openxmlformats.org/spreadsheetml/2006/main" count="106" uniqueCount="100">
  <si>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</si>
  <si>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</si>
  <si>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</si>
  <si>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</si>
  <si>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</si>
  <si>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</si>
  <si>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</si>
  <si>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</si>
  <si>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</si>
  <si>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</si>
  <si>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</si>
  <si>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</si>
  <si>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</si>
  <si>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</si>
  <si>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</si>
  <si>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</si>
  <si>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</si>
  <si>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</si>
  <si>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</si>
  <si>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</si>
  <si>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</si>
  <si>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</si>
  <si>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</si>
  <si>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</si>
  <si>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</si>
  <si>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</si>
  <si>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</si>
  <si>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</si>
  <si>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</si>
  <si>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</si>
  <si>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</si>
  <si>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</si>
  <si>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</si>
  <si>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</si>
  <si>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</si>
  <si>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</si>
  <si>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</si>
  <si>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</si>
  <si>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</si>
  <si>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</si>
  <si>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</si>
  <si>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</si>
  <si>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</si>
  <si>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</si>
  <si>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</si>
  <si>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</si>
  <si>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</si>
  <si>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</si>
  <si>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</si>
  <si>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</si>
  <si>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</si>
  <si>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</si>
  <si>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</si>
  <si>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</si>
  <si>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</si>
  <si>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</si>
  <si>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</si>
  <si>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</si>
  <si>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</si>
  <si>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</si>
  <si>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</si>
  <si>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</si>
  <si>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</si>
  <si>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</si>
  <si>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</si>
  <si>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</si>
  <si>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</si>
  <si>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</si>
  <si>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</si>
  <si>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</si>
  <si>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</si>
  <si>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</si>
  <si>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</si>
  <si>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</si>
  <si>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</si>
  <si>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</si>
  <si>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</si>
  <si>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</si>
  <si>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</si>
  <si>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</si>
  <si>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</si>
  <si>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</si>
  <si>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</si>
  <si>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</si>
  <si>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Tesla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</si>
  <si>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</si>
  <si>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</si>
  <si>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</si>
  <si>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</si>
  <si>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</si>
  <si>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</si>
  <si>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</si>
  <si>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</si>
  <si>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</si>
  <si>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</si>
  <si>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</si>
  <si>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</si>
  <si>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MARCH</t>
  </si>
  <si>
    <t>CALLS</t>
  </si>
  <si>
    <t>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</si>
</sst>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666372</xdr:colOff>
      <xdr:row>0</xdr:row>
      <xdr:rowOff>0</xdr:rowOff>
    </xdr:from>
    <xdr:to>
      <xdr:col>14</xdr:col>
      <xdr:colOff>666372</xdr:colOff>
      <xdr:row>103</xdr:row>
      <xdr:rowOff>99785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0808229" y="0"/>
          <a:ext cx="0" cy="169182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2" dT="2024-02-21T20:05:44.73" personId="{C526F2C0-66C0-534F-AADF-50BFCB37FCD4}" id="{E320785E-9BCE-AC4E-B37C-7EB104B6CF82}">
    <text>H100 started shipping</text>
  </threadedComment>
  <threadedComment ref="L34" dT="2024-02-21T20:05:14.08" personId="{C526F2C0-66C0-534F-AADF-50BFCB37FCD4}" id="{3CFE94FA-5EAC-7E47-B7D3-031052D60B7C}">
    <text>6.5B guidance</text>
  </threadedComment>
  <threadedComment ref="M34" dT="2024-02-21T19:58:52.64" personId="{C526F2C0-66C0-534F-AADF-50BFCB37FCD4}" id="{23E40331-82EE-794B-BF71-362AABD49EB0}">
    <text>Guidance was 11B</text>
  </threadedComment>
  <threadedComment ref="N34" dT="2024-02-21T19:55:06.51" personId="{C526F2C0-66C0-534F-AADF-50BFCB37FCD4}" id="{7661685F-D234-EE4D-9EE3-823EB4FBA0E2}">
    <text>Guidance was 16B</text>
  </threadedComment>
  <threadedComment ref="P34" dT="2024-02-21T20:21:53.11" personId="{C526F2C0-66C0-534F-AADF-50BFCB37FCD4}" id="{195B7556-9D37-2C4A-AE00-5F1730A1F989}">
    <text>Consensus 20.570B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T97"/>
  <sheetViews>
    <sheetView tabSelected="1" zoomScale="140" zoomScaleNormal="140" workbookViewId="0">
      <pane xSplit="2" ySplit="3" topLeftCell="L4" activePane="bottomRight" state="frozen"/>
      <selection pane="topRight" activeCell="C1" sqref="C1"/>
      <selection pane="bottomLeft" activeCell="A4" sqref="A4"/>
      <selection pane="bottomRight" activeCell="P11" sqref="P11"/>
    </sheetView>
  </sheetViews>
  <sheetFormatPr baseColWidth="10" defaultColWidth="8.83203125" defaultRowHeight="13" x14ac:dyDescent="0.15"/>
  <cols>
    <col min="1" max="1" width="5" bestFit="1" customWidth="1"/>
    <col min="2" max="2" width="18.1640625" bestFit="1" customWidth="1"/>
    <col min="3" max="5" width="9.1640625" style="3"/>
    <col min="6" max="6" width="8.83203125" style="3" customWidth="1"/>
    <col min="7" max="9" width="9.1640625" style="3"/>
    <col min="10" max="10" width="10.1640625" style="3" bestFit="1" customWidth="1"/>
    <col min="11" max="12" width="9.1640625" style="3"/>
  </cols>
  <sheetData>
    <row r="1" spans="1:20" x14ac:dyDescent="0.15">
      <c r="A1" t="s">
        <v>0</v>
      </c>
    </row>
    <row r="2" spans="1:20" x14ac:dyDescent="0.15">
      <c r="C2" s="4">
        <v>44227</v>
      </c>
      <c r="D2" s="4">
        <v>44318</v>
      </c>
      <c r="E2" s="4">
        <f>+F2-92</f>
        <v>44408</v>
      </c>
      <c r="F2" s="4">
        <v>44500</v>
      </c>
      <c r="G2" s="4">
        <v>44591</v>
      </c>
      <c r="H2" s="4">
        <v>44682</v>
      </c>
      <c r="I2" s="4">
        <f>+J2-91</f>
        <v>44773</v>
      </c>
      <c r="J2" s="4">
        <v>44864</v>
      </c>
      <c r="K2" s="4">
        <v>44955</v>
      </c>
      <c r="L2" s="4">
        <v>45046</v>
      </c>
      <c r="M2" s="1">
        <f>+I2+365</f>
        <v>45138</v>
      </c>
      <c r="N2" s="1">
        <v>45228</v>
      </c>
      <c r="O2" s="1">
        <f>+K2+365</f>
        <v>45320</v>
      </c>
      <c r="P2" s="1">
        <f>+L2+366</f>
        <v>45412</v>
      </c>
      <c r="Q2" s="1">
        <f>+M2+366</f>
        <v>45504</v>
      </c>
      <c r="R2" s="1">
        <f>+N2+366</f>
        <v>45594</v>
      </c>
      <c r="S2" s="1">
        <f>+O2+366</f>
        <v>45686</v>
      </c>
    </row>
    <row r="3" spans="1:20" x14ac:dyDescent="0.15">
      <c r="C3" s="4" t="s">
        <v>29</v>
      </c>
      <c r="D3" s="4" t="s">
        <v>26</v>
      </c>
      <c r="E3" s="4" t="s">
        <v>27</v>
      </c>
      <c r="F3" s="4" t="s">
        <v>28</v>
      </c>
      <c r="G3" s="4" t="s">
        <v>23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25</v>
      </c>
      <c r="N3" s="4" t="s">
        <v>47</v>
      </c>
      <c r="O3" s="4" t="s">
        <v>48</v>
      </c>
      <c r="P3" s="4" t="s">
        <v>49</v>
      </c>
      <c r="Q3" s="4" t="s">
        <v>50</v>
      </c>
      <c r="R3" s="4" t="s">
        <v>51</v>
      </c>
      <c r="S3" s="4" t="s">
        <v>52</v>
      </c>
    </row>
    <row r="4" spans="1:20" x14ac:dyDescent="0.15">
      <c r="B4" t="s">
        <v>76</v>
      </c>
      <c r="C4" s="4"/>
      <c r="D4" s="4"/>
      <c r="E4" s="4"/>
      <c r="F4" s="4"/>
      <c r="G4" s="4"/>
      <c r="H4" s="4"/>
      <c r="I4" s="4"/>
      <c r="J4" s="4"/>
      <c r="K4" s="4"/>
      <c r="L4" s="4"/>
      <c r="M4" s="5">
        <v>16</v>
      </c>
      <c r="N4" s="5">
        <v>25</v>
      </c>
      <c r="O4" s="5">
        <v>75</v>
      </c>
      <c r="P4" s="5">
        <v>75</v>
      </c>
      <c r="Q4" s="5">
        <v>60</v>
      </c>
      <c r="R4" s="5">
        <v>50</v>
      </c>
      <c r="S4" s="5">
        <v>50</v>
      </c>
    </row>
    <row r="5" spans="1:20" x14ac:dyDescent="0.15">
      <c r="B5" t="s">
        <v>77</v>
      </c>
      <c r="C5" s="4"/>
      <c r="D5" s="4"/>
      <c r="E5" s="4"/>
      <c r="F5" s="4"/>
      <c r="G5" s="4"/>
      <c r="H5" s="4"/>
      <c r="I5" s="4"/>
      <c r="J5" s="4"/>
      <c r="K5" s="4"/>
      <c r="L5" s="4"/>
      <c r="M5" s="5">
        <v>15</v>
      </c>
      <c r="N5" s="5">
        <v>25</v>
      </c>
      <c r="O5" s="5">
        <v>25</v>
      </c>
      <c r="P5" s="5">
        <v>25</v>
      </c>
      <c r="Q5" s="5">
        <v>25</v>
      </c>
      <c r="R5" s="5">
        <v>25</v>
      </c>
      <c r="S5" s="5">
        <v>25</v>
      </c>
    </row>
    <row r="6" spans="1:20" x14ac:dyDescent="0.15">
      <c r="B6" t="s">
        <v>88</v>
      </c>
      <c r="C6" s="4"/>
      <c r="D6" s="4"/>
      <c r="E6" s="4"/>
      <c r="F6" s="4"/>
      <c r="G6" s="4"/>
      <c r="H6" s="4"/>
      <c r="I6" s="4"/>
      <c r="J6" s="4"/>
      <c r="K6" s="4"/>
      <c r="L6" s="4"/>
      <c r="M6" s="5">
        <v>15</v>
      </c>
      <c r="N6" s="5">
        <v>25</v>
      </c>
      <c r="O6" s="5">
        <v>50</v>
      </c>
      <c r="P6" s="5">
        <v>50</v>
      </c>
      <c r="Q6" s="5">
        <v>50</v>
      </c>
      <c r="R6" s="5">
        <v>50</v>
      </c>
      <c r="S6" s="5">
        <v>50</v>
      </c>
    </row>
    <row r="7" spans="1:20" x14ac:dyDescent="0.15">
      <c r="B7" t="s">
        <v>78</v>
      </c>
      <c r="C7" s="4"/>
      <c r="D7" s="4"/>
      <c r="E7" s="4"/>
      <c r="F7" s="4"/>
      <c r="G7" s="4"/>
      <c r="H7" s="4"/>
      <c r="I7" s="4"/>
      <c r="J7" s="4"/>
      <c r="K7" s="4"/>
      <c r="L7" s="4"/>
      <c r="M7" s="5">
        <v>25</v>
      </c>
      <c r="N7" s="5">
        <v>25</v>
      </c>
      <c r="O7" s="5">
        <v>50</v>
      </c>
      <c r="P7" s="5">
        <v>50</v>
      </c>
      <c r="Q7" s="5">
        <v>50</v>
      </c>
      <c r="R7" s="5">
        <v>50</v>
      </c>
      <c r="S7" s="5">
        <v>50</v>
      </c>
    </row>
    <row r="8" spans="1:20" x14ac:dyDescent="0.15">
      <c r="B8" t="s">
        <v>79</v>
      </c>
      <c r="C8" s="4"/>
      <c r="D8" s="4"/>
      <c r="E8" s="4"/>
      <c r="F8" s="4"/>
      <c r="G8" s="4"/>
      <c r="H8" s="4"/>
      <c r="I8" s="4"/>
      <c r="J8" s="4"/>
      <c r="K8" s="4"/>
      <c r="L8" s="4"/>
      <c r="M8" s="5">
        <v>16</v>
      </c>
      <c r="N8" s="5">
        <v>20</v>
      </c>
      <c r="O8" s="5">
        <v>25</v>
      </c>
      <c r="P8" s="5">
        <v>25</v>
      </c>
      <c r="Q8" s="5">
        <v>25</v>
      </c>
      <c r="R8" s="5">
        <v>25</v>
      </c>
      <c r="S8" s="5">
        <v>25</v>
      </c>
    </row>
    <row r="9" spans="1:20" x14ac:dyDescent="0.15">
      <c r="B9" t="s">
        <v>89</v>
      </c>
      <c r="C9" s="4"/>
      <c r="D9" s="4"/>
      <c r="E9" s="4"/>
      <c r="F9" s="4"/>
      <c r="G9" s="4"/>
      <c r="H9" s="4"/>
      <c r="I9" s="4"/>
      <c r="J9" s="4"/>
      <c r="K9" s="4"/>
      <c r="L9" s="4"/>
      <c r="M9" s="5">
        <v>25</v>
      </c>
      <c r="N9" s="5">
        <v>30</v>
      </c>
      <c r="O9" s="5">
        <v>75</v>
      </c>
      <c r="P9" s="5">
        <v>100</v>
      </c>
      <c r="Q9" s="5">
        <v>100</v>
      </c>
      <c r="R9" s="5">
        <v>100</v>
      </c>
      <c r="S9" s="5">
        <v>100</v>
      </c>
    </row>
    <row r="10" spans="1:20" x14ac:dyDescent="0.15">
      <c r="B10" t="s">
        <v>80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5">
        <v>6</v>
      </c>
      <c r="N10" s="5">
        <v>5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/>
    </row>
    <row r="11" spans="1:20" x14ac:dyDescent="0.15">
      <c r="B11" t="s">
        <v>81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5">
        <v>15</v>
      </c>
      <c r="N11" s="5">
        <v>30</v>
      </c>
      <c r="O11" s="5">
        <v>40</v>
      </c>
      <c r="P11" s="5">
        <v>100</v>
      </c>
      <c r="Q11" s="5">
        <v>100</v>
      </c>
      <c r="R11" s="5">
        <v>100</v>
      </c>
      <c r="S11" s="5">
        <v>100</v>
      </c>
    </row>
    <row r="12" spans="1:20" x14ac:dyDescent="0.15">
      <c r="B12" t="s">
        <v>90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5">
        <v>7</v>
      </c>
      <c r="N12" s="5">
        <v>25</v>
      </c>
      <c r="O12" s="5">
        <v>25</v>
      </c>
      <c r="P12" s="5">
        <v>25</v>
      </c>
      <c r="Q12" s="5">
        <v>25</v>
      </c>
      <c r="R12" s="5">
        <v>25</v>
      </c>
      <c r="S12" s="5">
        <v>25</v>
      </c>
    </row>
    <row r="13" spans="1:20" x14ac:dyDescent="0.15">
      <c r="B13" s="13" t="s">
        <v>82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5">
        <v>10</v>
      </c>
      <c r="N13" s="5">
        <v>20</v>
      </c>
      <c r="O13" s="5">
        <v>20</v>
      </c>
      <c r="P13" s="5">
        <v>25</v>
      </c>
      <c r="Q13" s="5">
        <v>25</v>
      </c>
      <c r="R13" s="5">
        <v>25</v>
      </c>
      <c r="S13" s="5">
        <v>25</v>
      </c>
    </row>
    <row r="14" spans="1:20" x14ac:dyDescent="0.15">
      <c r="B14" t="s">
        <v>83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5">
        <v>10</v>
      </c>
      <c r="N14" s="5">
        <v>20</v>
      </c>
      <c r="O14" s="5">
        <v>20</v>
      </c>
      <c r="P14" s="5">
        <v>25</v>
      </c>
      <c r="Q14" s="5">
        <v>25</v>
      </c>
      <c r="R14" s="5">
        <v>25</v>
      </c>
      <c r="S14" s="5">
        <v>25</v>
      </c>
    </row>
    <row r="15" spans="1:20" x14ac:dyDescent="0.15">
      <c r="B15" t="s">
        <v>84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5">
        <v>6</v>
      </c>
      <c r="N15" s="5">
        <v>5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</row>
    <row r="16" spans="1:20" x14ac:dyDescent="0.15">
      <c r="B16" t="s">
        <v>85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5">
        <v>5</v>
      </c>
      <c r="N16" s="5">
        <v>5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</row>
    <row r="17" spans="2:19" x14ac:dyDescent="0.15">
      <c r="B17" t="s">
        <v>86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5">
        <v>25</v>
      </c>
      <c r="N17" s="5">
        <v>30</v>
      </c>
      <c r="O17" s="5">
        <v>35</v>
      </c>
      <c r="P17" s="5">
        <v>50</v>
      </c>
      <c r="Q17" s="5">
        <v>50</v>
      </c>
      <c r="R17" s="5">
        <v>50</v>
      </c>
      <c r="S17" s="5">
        <v>50</v>
      </c>
    </row>
    <row r="18" spans="2:19" x14ac:dyDescent="0.15">
      <c r="B18" t="s">
        <v>87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5">
        <v>25</v>
      </c>
      <c r="N18" s="5">
        <v>30</v>
      </c>
      <c r="O18" s="5">
        <v>35</v>
      </c>
      <c r="P18" s="5">
        <v>50</v>
      </c>
      <c r="Q18" s="5">
        <v>50</v>
      </c>
      <c r="R18" s="5">
        <v>50</v>
      </c>
      <c r="S18" s="5">
        <v>50</v>
      </c>
    </row>
    <row r="19" spans="2:19" x14ac:dyDescent="0.15">
      <c r="B19" t="s">
        <v>91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5">
        <v>5</v>
      </c>
      <c r="N19" s="5">
        <v>5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</row>
    <row r="20" spans="2:19" x14ac:dyDescent="0.15">
      <c r="B20" t="s">
        <v>94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5">
        <v>15</v>
      </c>
      <c r="N20" s="5">
        <v>20</v>
      </c>
      <c r="O20" s="5">
        <v>20</v>
      </c>
      <c r="P20" s="5">
        <v>50</v>
      </c>
      <c r="Q20" s="5">
        <v>50</v>
      </c>
      <c r="R20" s="5">
        <v>50</v>
      </c>
      <c r="S20" s="5">
        <v>50</v>
      </c>
    </row>
    <row r="21" spans="2:19" x14ac:dyDescent="0.15">
      <c r="B21" t="s">
        <v>95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5">
        <v>5</v>
      </c>
      <c r="N21" s="5">
        <v>5</v>
      </c>
      <c r="O21" s="5">
        <v>5</v>
      </c>
      <c r="P21" s="5">
        <v>50</v>
      </c>
      <c r="Q21" s="5">
        <v>50</v>
      </c>
      <c r="R21" s="5">
        <v>50</v>
      </c>
      <c r="S21" s="5">
        <v>50</v>
      </c>
    </row>
    <row r="22" spans="2:19" x14ac:dyDescent="0.15">
      <c r="B22" t="s">
        <v>92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5">
        <v>6</v>
      </c>
      <c r="N22" s="5">
        <v>5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</row>
    <row r="23" spans="2:19" x14ac:dyDescent="0.15">
      <c r="B23" t="s">
        <v>93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5">
        <v>6</v>
      </c>
      <c r="N23" s="5">
        <v>5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</row>
    <row r="24" spans="2:19" s="13" customFormat="1" x14ac:dyDescent="0.15">
      <c r="B24" s="13" t="s">
        <v>96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9">
        <f>SUM(M4:M23)</f>
        <v>258</v>
      </c>
      <c r="N24" s="9">
        <f>SUM(N4:N23)</f>
        <v>360</v>
      </c>
      <c r="O24" s="9">
        <f t="shared" ref="O24:S24" si="0">SUM(O4:O23)</f>
        <v>500</v>
      </c>
      <c r="P24" s="9">
        <f t="shared" si="0"/>
        <v>700</v>
      </c>
      <c r="Q24" s="9">
        <f t="shared" si="0"/>
        <v>685</v>
      </c>
      <c r="R24" s="9">
        <f t="shared" si="0"/>
        <v>675</v>
      </c>
      <c r="S24" s="9">
        <f t="shared" si="0"/>
        <v>675</v>
      </c>
    </row>
    <row r="25" spans="2:19" x14ac:dyDescent="0.1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2:19" s="13" customFormat="1" x14ac:dyDescent="0.15">
      <c r="B26" s="13" t="s">
        <v>74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9">
        <f>+M32/M27</f>
        <v>258.07499999999999</v>
      </c>
      <c r="N26" s="9">
        <f>+N32/N27</f>
        <v>362.85</v>
      </c>
      <c r="O26" s="9">
        <v>450</v>
      </c>
      <c r="P26" s="14"/>
      <c r="Q26" s="14"/>
      <c r="R26" s="14"/>
      <c r="S26" s="14"/>
    </row>
    <row r="27" spans="2:19" x14ac:dyDescent="0.15">
      <c r="B27" t="s">
        <v>75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5">
        <v>40</v>
      </c>
      <c r="N27" s="5">
        <v>40</v>
      </c>
      <c r="O27" s="5">
        <v>40</v>
      </c>
      <c r="P27" s="5">
        <v>40</v>
      </c>
      <c r="Q27" s="4"/>
      <c r="R27" s="4"/>
      <c r="S27" s="4"/>
    </row>
    <row r="28" spans="2:19" x14ac:dyDescent="0.1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2:19" x14ac:dyDescent="0.15">
      <c r="B29" t="s">
        <v>46</v>
      </c>
      <c r="C29" s="4"/>
      <c r="D29" s="4"/>
      <c r="E29" s="4"/>
      <c r="F29" s="4"/>
      <c r="G29" s="4"/>
      <c r="H29" s="4"/>
      <c r="I29" s="4"/>
      <c r="J29" s="5">
        <v>73</v>
      </c>
      <c r="K29" s="4"/>
      <c r="L29" s="5">
        <v>77</v>
      </c>
      <c r="M29" s="5">
        <v>66</v>
      </c>
      <c r="N29">
        <v>73</v>
      </c>
      <c r="O29">
        <f>+N29</f>
        <v>73</v>
      </c>
    </row>
    <row r="30" spans="2:19" x14ac:dyDescent="0.15">
      <c r="B30" t="s">
        <v>20</v>
      </c>
      <c r="C30" s="5"/>
      <c r="D30" s="5">
        <v>372</v>
      </c>
      <c r="E30" s="5"/>
      <c r="F30" s="5"/>
      <c r="G30" s="5">
        <v>643</v>
      </c>
      <c r="H30" s="5">
        <v>622</v>
      </c>
      <c r="I30" s="5">
        <v>496</v>
      </c>
      <c r="J30" s="5">
        <v>200</v>
      </c>
      <c r="K30" s="5">
        <v>226</v>
      </c>
      <c r="L30" s="5">
        <v>295</v>
      </c>
      <c r="M30" s="5">
        <v>379</v>
      </c>
      <c r="N30" s="2">
        <v>416</v>
      </c>
      <c r="O30">
        <v>463</v>
      </c>
    </row>
    <row r="31" spans="2:19" x14ac:dyDescent="0.15">
      <c r="B31" t="s">
        <v>21</v>
      </c>
      <c r="C31" s="5"/>
      <c r="D31" s="5">
        <v>154</v>
      </c>
      <c r="E31" s="5"/>
      <c r="F31" s="5"/>
      <c r="G31" s="5">
        <v>125</v>
      </c>
      <c r="H31" s="5">
        <v>138</v>
      </c>
      <c r="I31" s="5">
        <v>220</v>
      </c>
      <c r="J31" s="5">
        <v>251</v>
      </c>
      <c r="K31" s="5">
        <v>294</v>
      </c>
      <c r="L31" s="5">
        <v>296</v>
      </c>
      <c r="M31" s="5">
        <v>253</v>
      </c>
      <c r="N31" s="2">
        <v>261</v>
      </c>
      <c r="O31" s="2">
        <v>281</v>
      </c>
    </row>
    <row r="32" spans="2:19" x14ac:dyDescent="0.15">
      <c r="B32" t="s">
        <v>22</v>
      </c>
      <c r="C32" s="5"/>
      <c r="D32" s="5">
        <v>2050</v>
      </c>
      <c r="E32" s="5">
        <v>2370</v>
      </c>
      <c r="F32" s="5">
        <v>2940</v>
      </c>
      <c r="G32" s="5">
        <v>3260</v>
      </c>
      <c r="H32" s="5">
        <v>3750</v>
      </c>
      <c r="I32" s="5">
        <v>3810</v>
      </c>
      <c r="J32" s="5">
        <v>3833</v>
      </c>
      <c r="K32" s="5">
        <v>3620</v>
      </c>
      <c r="L32" s="5">
        <v>4284</v>
      </c>
      <c r="M32" s="2">
        <v>10323</v>
      </c>
      <c r="N32" s="2">
        <v>14514</v>
      </c>
      <c r="O32" s="5">
        <v>18386</v>
      </c>
      <c r="P32" s="2">
        <f>+P24*P27</f>
        <v>28000</v>
      </c>
    </row>
    <row r="33" spans="2:19" x14ac:dyDescent="0.15">
      <c r="B33" t="s">
        <v>19</v>
      </c>
      <c r="C33" s="5"/>
      <c r="D33" s="5">
        <v>2760</v>
      </c>
      <c r="E33" s="5"/>
      <c r="F33" s="5"/>
      <c r="G33" s="5">
        <v>3420</v>
      </c>
      <c r="H33" s="5">
        <v>3620</v>
      </c>
      <c r="I33" s="5">
        <v>2040</v>
      </c>
      <c r="J33" s="5">
        <v>1574</v>
      </c>
      <c r="K33" s="5">
        <v>1830</v>
      </c>
      <c r="L33" s="5">
        <v>2240</v>
      </c>
      <c r="M33" s="5">
        <v>2486</v>
      </c>
      <c r="N33" s="2">
        <v>2856</v>
      </c>
      <c r="O33" s="2">
        <v>2900</v>
      </c>
    </row>
    <row r="34" spans="2:19" s="8" customFormat="1" x14ac:dyDescent="0.15">
      <c r="B34" s="8" t="s">
        <v>1</v>
      </c>
      <c r="C34" s="9">
        <v>5003</v>
      </c>
      <c r="D34" s="9">
        <v>5661</v>
      </c>
      <c r="E34" s="9">
        <v>6507</v>
      </c>
      <c r="F34" s="9">
        <v>7103</v>
      </c>
      <c r="G34" s="9">
        <v>7643</v>
      </c>
      <c r="H34" s="9">
        <v>8288</v>
      </c>
      <c r="I34" s="9">
        <v>6704</v>
      </c>
      <c r="J34" s="9">
        <f>SUM(J29:J33)</f>
        <v>5931</v>
      </c>
      <c r="K34" s="9">
        <v>6051</v>
      </c>
      <c r="L34" s="8">
        <f>SUM(L29:L33)</f>
        <v>7192</v>
      </c>
      <c r="M34" s="8">
        <f>SUM(M29:M33)</f>
        <v>13507</v>
      </c>
      <c r="N34" s="9">
        <f>SUM(N29:N33)</f>
        <v>18120</v>
      </c>
      <c r="O34" s="9">
        <f>SUM(O29:O33)</f>
        <v>22103</v>
      </c>
      <c r="P34" s="15">
        <f t="shared" ref="P34:S34" si="1">SUM(P29:P33)</f>
        <v>28000</v>
      </c>
      <c r="Q34" s="9">
        <f t="shared" si="1"/>
        <v>0</v>
      </c>
      <c r="R34" s="9">
        <f t="shared" si="1"/>
        <v>0</v>
      </c>
      <c r="S34" s="9">
        <f t="shared" si="1"/>
        <v>0</v>
      </c>
    </row>
    <row r="35" spans="2:19" s="2" customFormat="1" x14ac:dyDescent="0.15">
      <c r="B35" s="2" t="s">
        <v>4</v>
      </c>
      <c r="C35" s="5">
        <v>1846</v>
      </c>
      <c r="D35" s="5">
        <v>2032</v>
      </c>
      <c r="E35" s="5">
        <v>2292</v>
      </c>
      <c r="F35" s="5"/>
      <c r="G35" s="5">
        <v>2644</v>
      </c>
      <c r="H35" s="5">
        <v>2857</v>
      </c>
      <c r="I35" s="5">
        <v>3789</v>
      </c>
      <c r="J35" s="5">
        <v>2754</v>
      </c>
      <c r="K35" s="5"/>
      <c r="L35" s="5">
        <v>2544</v>
      </c>
      <c r="M35" s="2">
        <v>4045</v>
      </c>
      <c r="N35" s="2">
        <v>4720</v>
      </c>
      <c r="O35" s="2">
        <v>5312</v>
      </c>
    </row>
    <row r="36" spans="2:19" s="2" customFormat="1" x14ac:dyDescent="0.15">
      <c r="B36" s="2" t="s">
        <v>5</v>
      </c>
      <c r="C36" s="5">
        <f>+C34-C35</f>
        <v>3157</v>
      </c>
      <c r="D36" s="5">
        <f>+D34-D35</f>
        <v>3629</v>
      </c>
      <c r="E36" s="5">
        <f>+E34-E35</f>
        <v>4215</v>
      </c>
      <c r="F36" s="5"/>
      <c r="G36" s="5">
        <f>+G34-G35</f>
        <v>4999</v>
      </c>
      <c r="H36" s="5">
        <f>+H34-H35</f>
        <v>5431</v>
      </c>
      <c r="I36" s="5">
        <f>+I34-I35</f>
        <v>2915</v>
      </c>
      <c r="J36" s="5">
        <f>+J34-J35</f>
        <v>3177</v>
      </c>
      <c r="K36" s="5"/>
      <c r="L36" s="5">
        <f>+L34-L35</f>
        <v>4648</v>
      </c>
      <c r="M36" s="2">
        <f>M34-M35</f>
        <v>9462</v>
      </c>
      <c r="N36" s="2">
        <f>+N34-N35</f>
        <v>13400</v>
      </c>
      <c r="O36" s="2">
        <f>+O34-O35</f>
        <v>16791</v>
      </c>
    </row>
    <row r="37" spans="2:19" s="2" customFormat="1" x14ac:dyDescent="0.15">
      <c r="B37" s="2" t="s">
        <v>6</v>
      </c>
      <c r="C37" s="5">
        <v>1147</v>
      </c>
      <c r="D37" s="5">
        <v>1153</v>
      </c>
      <c r="E37" s="5">
        <v>1245</v>
      </c>
      <c r="F37" s="5"/>
      <c r="G37" s="5">
        <v>1466</v>
      </c>
      <c r="H37" s="5">
        <v>1618</v>
      </c>
      <c r="I37" s="5">
        <v>1824</v>
      </c>
      <c r="J37" s="5">
        <v>1945</v>
      </c>
      <c r="K37" s="5"/>
      <c r="L37" s="5">
        <v>1875</v>
      </c>
      <c r="M37" s="2">
        <v>2040</v>
      </c>
      <c r="N37" s="2">
        <v>2294</v>
      </c>
      <c r="O37" s="2">
        <v>2465</v>
      </c>
    </row>
    <row r="38" spans="2:19" s="2" customFormat="1" x14ac:dyDescent="0.15">
      <c r="B38" s="2" t="s">
        <v>7</v>
      </c>
      <c r="C38" s="5">
        <v>503</v>
      </c>
      <c r="D38" s="5">
        <v>520</v>
      </c>
      <c r="E38" s="5">
        <v>526</v>
      </c>
      <c r="F38" s="5"/>
      <c r="G38" s="5">
        <v>563</v>
      </c>
      <c r="H38" s="5">
        <v>592</v>
      </c>
      <c r="I38" s="5">
        <v>592</v>
      </c>
      <c r="J38" s="5">
        <v>631</v>
      </c>
      <c r="K38" s="5"/>
      <c r="L38" s="5">
        <v>633</v>
      </c>
      <c r="M38" s="2">
        <v>622</v>
      </c>
      <c r="N38" s="2">
        <v>689</v>
      </c>
      <c r="O38" s="2">
        <v>711</v>
      </c>
    </row>
    <row r="39" spans="2:19" s="2" customFormat="1" x14ac:dyDescent="0.15">
      <c r="B39" s="2" t="s">
        <v>3</v>
      </c>
      <c r="C39" s="5">
        <f t="shared" ref="C39" si="2">+C37+C38</f>
        <v>1650</v>
      </c>
      <c r="D39" s="5">
        <f t="shared" ref="D39:E39" si="3">+D37+D38</f>
        <v>1673</v>
      </c>
      <c r="E39" s="5">
        <f t="shared" si="3"/>
        <v>1771</v>
      </c>
      <c r="F39" s="5"/>
      <c r="G39" s="5">
        <f t="shared" ref="G39" si="4">+G37+G38</f>
        <v>2029</v>
      </c>
      <c r="H39" s="5">
        <f>+H37+H38</f>
        <v>2210</v>
      </c>
      <c r="I39" s="5">
        <f t="shared" ref="I39" si="5">+I37+I38</f>
        <v>2416</v>
      </c>
      <c r="J39" s="5">
        <f>+J37+J38</f>
        <v>2576</v>
      </c>
      <c r="K39" s="5"/>
      <c r="L39" s="5">
        <f>+L37+L38</f>
        <v>2508</v>
      </c>
      <c r="M39" s="5">
        <f>+M37+M38</f>
        <v>2662</v>
      </c>
      <c r="N39" s="5">
        <f t="shared" ref="N39:O39" si="6">+N37+N38</f>
        <v>2983</v>
      </c>
      <c r="O39" s="5">
        <f t="shared" si="6"/>
        <v>3176</v>
      </c>
    </row>
    <row r="40" spans="2:19" s="2" customFormat="1" x14ac:dyDescent="0.15">
      <c r="B40" s="2" t="s">
        <v>2</v>
      </c>
      <c r="C40" s="5">
        <f t="shared" ref="C40" si="7">+C36-C39</f>
        <v>1507</v>
      </c>
      <c r="D40" s="5">
        <f t="shared" ref="D40:E40" si="8">+D36-D39</f>
        <v>1956</v>
      </c>
      <c r="E40" s="5">
        <f t="shared" si="8"/>
        <v>2444</v>
      </c>
      <c r="F40" s="5"/>
      <c r="G40" s="5">
        <f t="shared" ref="G40" si="9">+G36-G39</f>
        <v>2970</v>
      </c>
      <c r="H40" s="5">
        <f>+H36-H39</f>
        <v>3221</v>
      </c>
      <c r="I40" s="5">
        <f t="shared" ref="I40" si="10">+I36-I39</f>
        <v>499</v>
      </c>
      <c r="J40" s="5">
        <f>+J36-J39</f>
        <v>601</v>
      </c>
      <c r="K40" s="5"/>
      <c r="L40" s="5">
        <f>+L36-L39</f>
        <v>2140</v>
      </c>
      <c r="M40" s="5">
        <f>+M36-M39</f>
        <v>6800</v>
      </c>
      <c r="N40" s="5">
        <f t="shared" ref="N40:O40" si="11">+N36-N39</f>
        <v>10417</v>
      </c>
      <c r="O40" s="5">
        <f t="shared" si="11"/>
        <v>13615</v>
      </c>
    </row>
    <row r="41" spans="2:19" s="2" customFormat="1" x14ac:dyDescent="0.15">
      <c r="B41" s="2" t="s">
        <v>11</v>
      </c>
      <c r="C41" s="5">
        <v>-37</v>
      </c>
      <c r="D41" s="5">
        <v>88</v>
      </c>
      <c r="E41" s="5">
        <v>-50</v>
      </c>
      <c r="F41" s="5"/>
      <c r="G41" s="5">
        <v>-105</v>
      </c>
      <c r="H41" s="5">
        <f>18-68-13</f>
        <v>-63</v>
      </c>
      <c r="I41" s="5">
        <v>-24</v>
      </c>
      <c r="J41" s="5">
        <v>12</v>
      </c>
      <c r="K41" s="5"/>
      <c r="L41" s="5">
        <f>150-66-15</f>
        <v>69</v>
      </c>
      <c r="M41" s="2">
        <f>187-65+59</f>
        <v>181</v>
      </c>
      <c r="N41" s="2">
        <f>234-63-66</f>
        <v>105</v>
      </c>
      <c r="O41" s="2">
        <v>491</v>
      </c>
    </row>
    <row r="42" spans="2:19" s="2" customFormat="1" x14ac:dyDescent="0.15">
      <c r="B42" s="2" t="s">
        <v>10</v>
      </c>
      <c r="C42" s="5">
        <f>+C40+C41</f>
        <v>1470</v>
      </c>
      <c r="D42" s="5">
        <f>+D40+D41</f>
        <v>2044</v>
      </c>
      <c r="E42" s="5">
        <f>+E40+E41</f>
        <v>2394</v>
      </c>
      <c r="F42" s="5"/>
      <c r="G42" s="5">
        <f>+G40+G41</f>
        <v>2865</v>
      </c>
      <c r="H42" s="5">
        <f>+H40+H41</f>
        <v>3158</v>
      </c>
      <c r="I42" s="5">
        <f>+I40+I41</f>
        <v>475</v>
      </c>
      <c r="J42" s="5">
        <f>+J40+J41</f>
        <v>613</v>
      </c>
      <c r="K42" s="5"/>
      <c r="L42" s="5">
        <f>+L40+L41</f>
        <v>2209</v>
      </c>
      <c r="M42" s="5">
        <f>+M40+M41</f>
        <v>6981</v>
      </c>
      <c r="N42" s="5">
        <f t="shared" ref="N42:O42" si="12">+N40+N41</f>
        <v>10522</v>
      </c>
      <c r="O42" s="5">
        <f t="shared" si="12"/>
        <v>14106</v>
      </c>
    </row>
    <row r="43" spans="2:19" s="2" customFormat="1" x14ac:dyDescent="0.15">
      <c r="B43" s="2" t="s">
        <v>9</v>
      </c>
      <c r="C43" s="5">
        <v>13</v>
      </c>
      <c r="D43" s="5">
        <v>132</v>
      </c>
      <c r="E43" s="5">
        <v>20</v>
      </c>
      <c r="F43" s="5"/>
      <c r="G43" s="5">
        <v>-138</v>
      </c>
      <c r="H43" s="5">
        <v>187</v>
      </c>
      <c r="I43" s="5">
        <v>-181</v>
      </c>
      <c r="J43" s="5">
        <v>-67</v>
      </c>
      <c r="K43" s="5"/>
      <c r="L43" s="5">
        <v>166</v>
      </c>
      <c r="M43" s="2">
        <v>793</v>
      </c>
      <c r="N43" s="2">
        <v>1279</v>
      </c>
      <c r="O43" s="2">
        <v>1821</v>
      </c>
    </row>
    <row r="44" spans="2:19" s="2" customFormat="1" x14ac:dyDescent="0.15">
      <c r="B44" s="2" t="s">
        <v>8</v>
      </c>
      <c r="C44" s="5">
        <f>+C42-C43</f>
        <v>1457</v>
      </c>
      <c r="D44" s="5">
        <f>+D42-D43</f>
        <v>1912</v>
      </c>
      <c r="E44" s="5">
        <f>+E42-E43</f>
        <v>2374</v>
      </c>
      <c r="F44" s="5"/>
      <c r="G44" s="5">
        <f>+G42-G43</f>
        <v>3003</v>
      </c>
      <c r="H44" s="5">
        <f>+H42-H43</f>
        <v>2971</v>
      </c>
      <c r="I44" s="5">
        <f>+I42-I43</f>
        <v>656</v>
      </c>
      <c r="J44" s="5">
        <f>+J42-J43</f>
        <v>680</v>
      </c>
      <c r="K44" s="5"/>
      <c r="L44" s="5">
        <f>+L42-L43</f>
        <v>2043</v>
      </c>
      <c r="M44" s="2">
        <f>M42-M43</f>
        <v>6188</v>
      </c>
      <c r="N44" s="2">
        <f t="shared" ref="N44" si="13">N42-N43</f>
        <v>9243</v>
      </c>
      <c r="O44" s="2">
        <f>+O42-O43</f>
        <v>12285</v>
      </c>
    </row>
    <row r="45" spans="2:19" x14ac:dyDescent="0.15">
      <c r="B45" t="s">
        <v>12</v>
      </c>
      <c r="C45" s="6">
        <f>+C44/C46</f>
        <v>0.57725832012678291</v>
      </c>
      <c r="D45" s="6">
        <f>+D44/D46</f>
        <v>0.75632911392405067</v>
      </c>
      <c r="E45" s="6">
        <f>+E44/E46</f>
        <v>0.93759873617693523</v>
      </c>
      <c r="F45" s="6"/>
      <c r="G45" s="6">
        <f>+G44/G46</f>
        <v>1.1799607072691551</v>
      </c>
      <c r="H45" s="6">
        <f>+H44/H46</f>
        <v>1.1710681907765077</v>
      </c>
      <c r="I45" s="6">
        <f>+I44/I46</f>
        <v>0.26073131955484896</v>
      </c>
      <c r="J45" s="6">
        <f>+J44/J46</f>
        <v>0.27210884353741499</v>
      </c>
      <c r="K45" s="6"/>
      <c r="L45" s="6">
        <f>+L44/L46</f>
        <v>0.82048192771084338</v>
      </c>
      <c r="M45" s="6">
        <f>+M44/M46</f>
        <v>2.4761904761904763</v>
      </c>
      <c r="N45" s="6">
        <f t="shared" ref="N45:O45" si="14">+N44/N46</f>
        <v>3.7060946271050521</v>
      </c>
      <c r="O45" s="6">
        <f t="shared" si="14"/>
        <v>4.9337349397590362</v>
      </c>
    </row>
    <row r="46" spans="2:19" x14ac:dyDescent="0.15">
      <c r="B46" t="s">
        <v>13</v>
      </c>
      <c r="C46" s="5">
        <v>2524</v>
      </c>
      <c r="D46" s="5">
        <v>2528</v>
      </c>
      <c r="E46" s="5">
        <v>2532</v>
      </c>
      <c r="G46" s="5">
        <v>2545</v>
      </c>
      <c r="H46" s="5">
        <v>2537</v>
      </c>
      <c r="I46" s="5">
        <v>2516</v>
      </c>
      <c r="J46" s="5">
        <v>2499</v>
      </c>
      <c r="K46" s="5"/>
      <c r="L46" s="5">
        <v>2490</v>
      </c>
      <c r="M46" s="5">
        <v>2499</v>
      </c>
      <c r="N46" s="5">
        <v>2494</v>
      </c>
      <c r="O46" s="2">
        <v>2490</v>
      </c>
    </row>
    <row r="48" spans="2:19" x14ac:dyDescent="0.15">
      <c r="B48" t="s">
        <v>71</v>
      </c>
      <c r="F48" s="12"/>
      <c r="G48" s="12">
        <f>+G34/C34-1</f>
        <v>0.52768338996602049</v>
      </c>
      <c r="H48" s="12">
        <f>+H34/D34-1</f>
        <v>0.46405228758169925</v>
      </c>
      <c r="I48" s="12">
        <f>+I34/E34-1</f>
        <v>3.0275088366374714E-2</v>
      </c>
      <c r="J48" s="12">
        <f>+J34/F34-1</f>
        <v>-0.16500070392791777</v>
      </c>
      <c r="K48" s="12">
        <f>+K34/G34-1</f>
        <v>-0.20829517205285886</v>
      </c>
      <c r="L48" s="12">
        <f>+L34/H34-1</f>
        <v>-0.13223938223938225</v>
      </c>
      <c r="M48" s="12">
        <f>+M34/I34-1</f>
        <v>1.0147673031026252</v>
      </c>
      <c r="N48" s="12">
        <f>+N34/J34-1</f>
        <v>2.0551340414769852</v>
      </c>
      <c r="O48" s="12">
        <f>+O34/K34-1</f>
        <v>2.6527846636919516</v>
      </c>
    </row>
    <row r="49" spans="2:15" x14ac:dyDescent="0.15">
      <c r="B49" t="s">
        <v>72</v>
      </c>
      <c r="D49" s="12">
        <f>+D34/C34-1</f>
        <v>0.13152108734759138</v>
      </c>
      <c r="E49" s="12">
        <f>+E34/D34-1</f>
        <v>0.14944356120826718</v>
      </c>
      <c r="F49" s="12">
        <f>+F34/E34-1</f>
        <v>9.1593668357153879E-2</v>
      </c>
      <c r="G49" s="12">
        <f>+G34/F34-1</f>
        <v>7.6024215120371608E-2</v>
      </c>
      <c r="H49" s="12">
        <f>+H34/G34-1</f>
        <v>8.4390945963626951E-2</v>
      </c>
      <c r="I49" s="12">
        <f>+I34/H34-1</f>
        <v>-0.19111969111969107</v>
      </c>
      <c r="J49" s="12">
        <f>+J34/I34-1</f>
        <v>-0.11530429594272074</v>
      </c>
      <c r="K49" s="12">
        <f>+K34/J34-1</f>
        <v>2.0232675771370667E-2</v>
      </c>
      <c r="L49" s="12">
        <f>+L34/K34-1</f>
        <v>0.1885638737398776</v>
      </c>
      <c r="M49" s="12">
        <f>+M34/L34-1</f>
        <v>0.87805895439377091</v>
      </c>
      <c r="N49" s="12">
        <f>+N34/M34-1</f>
        <v>0.34152661582882948</v>
      </c>
      <c r="O49" s="12">
        <f>+O34/N34-1</f>
        <v>0.21981236203090515</v>
      </c>
    </row>
    <row r="50" spans="2:15" x14ac:dyDescent="0.15">
      <c r="B50" t="s">
        <v>73</v>
      </c>
      <c r="E50" s="12">
        <f>+E32/D32-1</f>
        <v>0.15609756097560967</v>
      </c>
      <c r="F50" s="12">
        <f>+F32/E32-1</f>
        <v>0.240506329113924</v>
      </c>
      <c r="G50" s="12">
        <f>+G32/F32-1</f>
        <v>0.10884353741496589</v>
      </c>
      <c r="H50" s="12">
        <f>+H32/G32-1</f>
        <v>0.15030674846625769</v>
      </c>
      <c r="I50" s="12">
        <f>+I32/H32-1</f>
        <v>1.6000000000000014E-2</v>
      </c>
      <c r="J50" s="12">
        <f>+J32/I32-1</f>
        <v>6.0367454068241955E-3</v>
      </c>
      <c r="K50" s="12">
        <f>+K32/J32-1</f>
        <v>-5.5570049569527824E-2</v>
      </c>
      <c r="L50" s="12">
        <f>+L32/K32-1</f>
        <v>0.18342541436464099</v>
      </c>
      <c r="M50" s="12">
        <f>+M32/L32-1</f>
        <v>1.4096638655462184</v>
      </c>
      <c r="N50" s="12">
        <f>+N32/M32-1</f>
        <v>0.40598663179308336</v>
      </c>
      <c r="O50" s="12">
        <f>+O32/N32-1</f>
        <v>0.26677690505718621</v>
      </c>
    </row>
    <row r="51" spans="2:15" x14ac:dyDescent="0.15">
      <c r="B51" t="s">
        <v>5</v>
      </c>
      <c r="C51" s="7">
        <f>C36/C34</f>
        <v>0.6310213871676994</v>
      </c>
      <c r="D51" s="7">
        <f>D36/D34</f>
        <v>0.6410528175234057</v>
      </c>
      <c r="E51" s="7">
        <f>E36/E34</f>
        <v>0.64776394651913327</v>
      </c>
      <c r="F51" s="7"/>
      <c r="G51" s="7">
        <f>G36/G34</f>
        <v>0.65406254088708626</v>
      </c>
      <c r="H51" s="7">
        <f>H36/H34</f>
        <v>0.65528474903474898</v>
      </c>
      <c r="I51" s="7">
        <f>I36/I34</f>
        <v>0.43481503579952269</v>
      </c>
      <c r="J51" s="7">
        <f>J36/J34</f>
        <v>0.53566009104704093</v>
      </c>
      <c r="K51" s="7"/>
      <c r="L51" s="7">
        <f>L36/L34</f>
        <v>0.64627363737486099</v>
      </c>
      <c r="M51" s="7">
        <f>M36/M34</f>
        <v>0.7005256533649219</v>
      </c>
      <c r="N51" s="7">
        <f>N36/N34</f>
        <v>0.73951434878587197</v>
      </c>
      <c r="O51" s="7">
        <f>O36/O34</f>
        <v>0.75967063294575399</v>
      </c>
    </row>
    <row r="52" spans="2:15" x14ac:dyDescent="0.15">
      <c r="B52" t="s">
        <v>24</v>
      </c>
      <c r="C52" s="7">
        <f t="shared" ref="C52:H52" si="15">C32/C34</f>
        <v>0</v>
      </c>
      <c r="D52" s="7">
        <f t="shared" si="15"/>
        <v>0.36212683271506801</v>
      </c>
      <c r="E52" s="7">
        <f t="shared" si="15"/>
        <v>0.36422314430613184</v>
      </c>
      <c r="F52" s="7">
        <f t="shared" si="15"/>
        <v>0.41390961565535689</v>
      </c>
      <c r="G52" s="7">
        <f t="shared" si="15"/>
        <v>0.42653408347507521</v>
      </c>
      <c r="H52" s="7">
        <f t="shared" si="15"/>
        <v>0.45246138996138996</v>
      </c>
      <c r="I52" s="7">
        <f>I32/I34</f>
        <v>0.56831742243436756</v>
      </c>
      <c r="J52" s="7">
        <f>J32/J34</f>
        <v>0.64626538526386779</v>
      </c>
      <c r="K52" s="7">
        <f>K32/K34</f>
        <v>0.59824822343414308</v>
      </c>
      <c r="L52" s="7">
        <f>L32/L34</f>
        <v>0.59566184649610676</v>
      </c>
      <c r="M52" s="7">
        <f>M32/M34</f>
        <v>0.76427037832235134</v>
      </c>
      <c r="N52" s="7">
        <f>N32/N34</f>
        <v>0.80099337748344368</v>
      </c>
      <c r="O52" s="7">
        <f t="shared" ref="O52" si="16">O32/O34</f>
        <v>0.83183278288015206</v>
      </c>
    </row>
    <row r="55" spans="2:15" s="2" customFormat="1" x14ac:dyDescent="0.15">
      <c r="B55" s="2" t="s">
        <v>38</v>
      </c>
      <c r="C55" s="5"/>
      <c r="D55" s="5"/>
      <c r="E55" s="5"/>
      <c r="F55" s="5"/>
      <c r="G55" s="5"/>
      <c r="H55" s="5"/>
      <c r="I55" s="5"/>
      <c r="J55" s="5"/>
      <c r="K55" s="5"/>
      <c r="L55" s="2">
        <f>5079+10241</f>
        <v>15320</v>
      </c>
      <c r="M55" s="2">
        <f>5783+10240</f>
        <v>16023</v>
      </c>
      <c r="N55" s="2">
        <f>5519+12762</f>
        <v>18281</v>
      </c>
    </row>
    <row r="56" spans="2:15" s="2" customFormat="1" x14ac:dyDescent="0.15">
      <c r="B56" s="2" t="s">
        <v>39</v>
      </c>
      <c r="C56" s="5"/>
      <c r="D56" s="5"/>
      <c r="E56" s="5"/>
      <c r="F56" s="5"/>
      <c r="G56" s="5"/>
      <c r="H56" s="5"/>
      <c r="I56" s="5"/>
      <c r="J56" s="5"/>
      <c r="K56" s="5"/>
      <c r="L56" s="2">
        <v>4080</v>
      </c>
      <c r="M56" s="2">
        <v>7066</v>
      </c>
      <c r="N56" s="2">
        <v>8309</v>
      </c>
    </row>
    <row r="57" spans="2:15" s="2" customFormat="1" x14ac:dyDescent="0.15">
      <c r="B57" s="2" t="s">
        <v>40</v>
      </c>
      <c r="C57" s="5"/>
      <c r="D57" s="5"/>
      <c r="E57" s="5"/>
      <c r="F57" s="5"/>
      <c r="G57" s="5"/>
      <c r="H57" s="5"/>
      <c r="I57" s="5"/>
      <c r="J57" s="5"/>
      <c r="K57" s="5"/>
      <c r="L57" s="2">
        <v>4611</v>
      </c>
      <c r="M57" s="2">
        <v>4319</v>
      </c>
      <c r="N57" s="2">
        <v>4779</v>
      </c>
    </row>
    <row r="58" spans="2:15" s="2" customFormat="1" x14ac:dyDescent="0.15">
      <c r="B58" s="2" t="s">
        <v>41</v>
      </c>
      <c r="C58" s="5"/>
      <c r="D58" s="5"/>
      <c r="E58" s="5"/>
      <c r="F58" s="5"/>
      <c r="G58" s="5"/>
      <c r="H58" s="5"/>
      <c r="I58" s="5"/>
      <c r="J58" s="5"/>
      <c r="K58" s="5"/>
      <c r="L58" s="2">
        <v>872</v>
      </c>
      <c r="M58" s="2">
        <v>1389</v>
      </c>
      <c r="N58" s="2">
        <v>1289</v>
      </c>
    </row>
    <row r="59" spans="2:15" s="2" customFormat="1" x14ac:dyDescent="0.15">
      <c r="B59" s="2" t="s">
        <v>42</v>
      </c>
      <c r="C59" s="5"/>
      <c r="D59" s="5"/>
      <c r="E59" s="5"/>
      <c r="F59" s="5"/>
      <c r="G59" s="5"/>
      <c r="H59" s="5"/>
      <c r="I59" s="5"/>
      <c r="J59" s="5"/>
      <c r="K59" s="5"/>
      <c r="L59" s="2">
        <v>3740</v>
      </c>
      <c r="M59" s="2">
        <v>3799</v>
      </c>
      <c r="N59" s="2">
        <v>3844</v>
      </c>
    </row>
    <row r="60" spans="2:15" s="2" customFormat="1" x14ac:dyDescent="0.15">
      <c r="B60" s="2" t="s">
        <v>43</v>
      </c>
      <c r="C60" s="5"/>
      <c r="D60" s="5"/>
      <c r="E60" s="5"/>
      <c r="F60" s="5"/>
      <c r="G60" s="5"/>
      <c r="H60" s="5"/>
      <c r="I60" s="5"/>
      <c r="J60" s="5"/>
      <c r="K60" s="5"/>
      <c r="L60" s="2">
        <v>1094</v>
      </c>
      <c r="M60" s="2">
        <v>1235</v>
      </c>
      <c r="N60" s="2">
        <v>1316</v>
      </c>
    </row>
    <row r="61" spans="2:15" s="2" customFormat="1" x14ac:dyDescent="0.15">
      <c r="B61" s="2" t="s">
        <v>44</v>
      </c>
      <c r="C61" s="5"/>
      <c r="D61" s="5"/>
      <c r="E61" s="5"/>
      <c r="F61" s="5"/>
      <c r="G61" s="5"/>
      <c r="H61" s="5"/>
      <c r="I61" s="5"/>
      <c r="J61" s="5"/>
      <c r="K61" s="5"/>
      <c r="L61" s="2">
        <f>4430+1541</f>
        <v>5971</v>
      </c>
      <c r="M61" s="2">
        <f>4430+1395</f>
        <v>5825</v>
      </c>
      <c r="N61" s="2">
        <f>4430+1251</f>
        <v>5681</v>
      </c>
    </row>
    <row r="62" spans="2:15" s="2" customFormat="1" x14ac:dyDescent="0.15">
      <c r="B62" s="2" t="s">
        <v>9</v>
      </c>
      <c r="C62" s="5"/>
      <c r="D62" s="5"/>
      <c r="E62" s="5"/>
      <c r="F62" s="5"/>
      <c r="G62" s="5"/>
      <c r="H62" s="5"/>
      <c r="I62" s="5"/>
      <c r="J62" s="5"/>
      <c r="K62" s="5"/>
      <c r="L62" s="2">
        <v>4568</v>
      </c>
      <c r="M62" s="2">
        <v>5398</v>
      </c>
      <c r="N62" s="2">
        <v>5982</v>
      </c>
    </row>
    <row r="63" spans="2:15" s="2" customFormat="1" x14ac:dyDescent="0.15">
      <c r="B63" s="2" t="s">
        <v>45</v>
      </c>
      <c r="C63" s="5"/>
      <c r="D63" s="5"/>
      <c r="E63" s="5"/>
      <c r="F63" s="5"/>
      <c r="G63" s="5"/>
      <c r="H63" s="5"/>
      <c r="I63" s="5"/>
      <c r="J63" s="5"/>
      <c r="K63" s="5"/>
      <c r="L63" s="2">
        <v>4204</v>
      </c>
      <c r="M63" s="2">
        <v>4501</v>
      </c>
      <c r="N63" s="2">
        <v>4667</v>
      </c>
    </row>
    <row r="64" spans="2:15" s="2" customFormat="1" x14ac:dyDescent="0.15">
      <c r="B64" s="2" t="s">
        <v>37</v>
      </c>
      <c r="C64" s="5"/>
      <c r="D64" s="5"/>
      <c r="E64" s="5"/>
      <c r="F64" s="5"/>
      <c r="G64" s="5"/>
      <c r="H64" s="5"/>
      <c r="I64" s="5"/>
      <c r="J64" s="5"/>
      <c r="K64" s="5"/>
      <c r="L64" s="2">
        <f t="shared" ref="L64" si="17">SUM(L55:L63)</f>
        <v>44460</v>
      </c>
      <c r="M64" s="2">
        <f>SUM(M55:M63)</f>
        <v>49555</v>
      </c>
      <c r="N64" s="2">
        <f>SUM(N55:N63)</f>
        <v>54148</v>
      </c>
    </row>
    <row r="65" spans="2:14" s="2" customFormat="1" x14ac:dyDescent="0.15">
      <c r="C65" s="5"/>
      <c r="D65" s="5"/>
      <c r="E65" s="5"/>
      <c r="F65" s="5"/>
      <c r="G65" s="5"/>
      <c r="H65" s="5"/>
      <c r="I65" s="5"/>
      <c r="J65" s="5"/>
      <c r="K65" s="5"/>
    </row>
    <row r="66" spans="2:14" s="2" customFormat="1" x14ac:dyDescent="0.15">
      <c r="B66" s="2" t="s">
        <v>36</v>
      </c>
      <c r="C66" s="5"/>
      <c r="D66" s="5"/>
      <c r="E66" s="5"/>
      <c r="F66" s="5"/>
      <c r="G66" s="5"/>
      <c r="H66" s="5"/>
      <c r="I66" s="5"/>
      <c r="J66" s="5"/>
      <c r="K66" s="5"/>
      <c r="L66" s="2">
        <v>1141</v>
      </c>
      <c r="M66" s="2">
        <v>1929</v>
      </c>
      <c r="N66" s="2">
        <v>2380</v>
      </c>
    </row>
    <row r="67" spans="2:14" s="2" customFormat="1" x14ac:dyDescent="0.15">
      <c r="B67" s="2" t="s">
        <v>35</v>
      </c>
      <c r="C67" s="5"/>
      <c r="D67" s="5"/>
      <c r="E67" s="5"/>
      <c r="F67" s="5"/>
      <c r="G67" s="5"/>
      <c r="H67" s="5"/>
      <c r="I67" s="5"/>
      <c r="J67" s="5"/>
      <c r="K67" s="5"/>
      <c r="L67" s="2">
        <v>4869</v>
      </c>
      <c r="M67" s="2">
        <v>7156</v>
      </c>
      <c r="N67" s="2">
        <v>5472</v>
      </c>
    </row>
    <row r="68" spans="2:14" s="2" customFormat="1" x14ac:dyDescent="0.15">
      <c r="B68" s="2" t="s">
        <v>34</v>
      </c>
      <c r="C68" s="5"/>
      <c r="D68" s="5"/>
      <c r="E68" s="5"/>
      <c r="F68" s="5"/>
      <c r="G68" s="5"/>
      <c r="H68" s="5"/>
      <c r="I68" s="5"/>
      <c r="J68" s="5"/>
      <c r="K68" s="5"/>
      <c r="L68" s="2">
        <f>1250+9704</f>
        <v>10954</v>
      </c>
      <c r="M68" s="2">
        <f>1249+8456</f>
        <v>9705</v>
      </c>
      <c r="N68" s="2">
        <f>1249+8457</f>
        <v>9706</v>
      </c>
    </row>
    <row r="69" spans="2:14" s="2" customFormat="1" x14ac:dyDescent="0.15">
      <c r="B69" s="2" t="s">
        <v>33</v>
      </c>
      <c r="C69" s="5"/>
      <c r="D69" s="5"/>
      <c r="E69" s="5"/>
      <c r="F69" s="5"/>
      <c r="G69" s="5"/>
      <c r="H69" s="5"/>
      <c r="I69" s="5"/>
      <c r="J69" s="5"/>
      <c r="K69" s="5"/>
      <c r="L69" s="2">
        <f>939</f>
        <v>939</v>
      </c>
      <c r="M69" s="2">
        <v>1041</v>
      </c>
      <c r="N69" s="2">
        <v>1091</v>
      </c>
    </row>
    <row r="70" spans="2:14" s="2" customFormat="1" x14ac:dyDescent="0.15">
      <c r="B70" s="2" t="s">
        <v>32</v>
      </c>
      <c r="C70" s="5"/>
      <c r="D70" s="5"/>
      <c r="E70" s="5"/>
      <c r="F70" s="5"/>
      <c r="G70" s="5"/>
      <c r="H70" s="5"/>
      <c r="I70" s="5"/>
      <c r="J70" s="5"/>
      <c r="K70" s="5"/>
      <c r="L70" s="2">
        <v>2037</v>
      </c>
      <c r="M70" s="2">
        <v>2223</v>
      </c>
      <c r="N70" s="2">
        <v>2234</v>
      </c>
    </row>
    <row r="71" spans="2:14" s="2" customFormat="1" x14ac:dyDescent="0.15">
      <c r="B71" s="2" t="s">
        <v>31</v>
      </c>
      <c r="C71" s="5"/>
      <c r="D71" s="5"/>
      <c r="E71" s="5"/>
      <c r="F71" s="5"/>
      <c r="G71" s="5"/>
      <c r="H71" s="5"/>
      <c r="I71" s="5"/>
      <c r="J71" s="5"/>
      <c r="K71" s="5"/>
      <c r="L71" s="2">
        <v>24520</v>
      </c>
      <c r="M71" s="2">
        <v>27501</v>
      </c>
      <c r="N71" s="2">
        <v>33265</v>
      </c>
    </row>
    <row r="72" spans="2:14" s="2" customFormat="1" x14ac:dyDescent="0.15">
      <c r="B72" s="2" t="s">
        <v>30</v>
      </c>
      <c r="C72" s="5"/>
      <c r="D72" s="5"/>
      <c r="E72" s="5"/>
      <c r="F72" s="5"/>
      <c r="G72" s="5"/>
      <c r="H72" s="5"/>
      <c r="I72" s="5"/>
      <c r="J72" s="5"/>
      <c r="K72" s="5"/>
      <c r="L72" s="2">
        <f t="shared" ref="L72" si="18">SUM(L66:L71)</f>
        <v>44460</v>
      </c>
      <c r="M72" s="2">
        <f>SUM(M66:M71)</f>
        <v>49555</v>
      </c>
      <c r="N72" s="2">
        <f>SUM(N66:N71)</f>
        <v>54148</v>
      </c>
    </row>
    <row r="73" spans="2:14" x14ac:dyDescent="0.15">
      <c r="L73" s="5"/>
      <c r="M73" s="2"/>
      <c r="N73" s="2"/>
    </row>
    <row r="74" spans="2:14" x14ac:dyDescent="0.15">
      <c r="B74" s="2" t="s">
        <v>8</v>
      </c>
      <c r="L74" s="5">
        <f>L44</f>
        <v>2043</v>
      </c>
      <c r="M74" s="5">
        <f>M44</f>
        <v>6188</v>
      </c>
      <c r="N74" s="5">
        <f>N44</f>
        <v>9243</v>
      </c>
    </row>
    <row r="75" spans="2:14" x14ac:dyDescent="0.15">
      <c r="B75" s="2" t="s">
        <v>53</v>
      </c>
      <c r="L75" s="5">
        <v>735</v>
      </c>
      <c r="M75" s="2">
        <f>1576-L75</f>
        <v>841</v>
      </c>
      <c r="N75" s="2">
        <f>2555-M75-L75</f>
        <v>979</v>
      </c>
    </row>
    <row r="76" spans="2:14" x14ac:dyDescent="0.15">
      <c r="B76" s="2" t="s">
        <v>55</v>
      </c>
      <c r="L76" s="5">
        <v>384</v>
      </c>
      <c r="M76" s="2">
        <f>749-L76</f>
        <v>365</v>
      </c>
      <c r="N76" s="2">
        <f>1121-M76-L76</f>
        <v>372</v>
      </c>
    </row>
    <row r="77" spans="2:14" x14ac:dyDescent="0.15">
      <c r="B77" s="2" t="s">
        <v>56</v>
      </c>
      <c r="L77" s="5">
        <v>14</v>
      </c>
      <c r="M77" s="2">
        <f>-45-L77</f>
        <v>-59</v>
      </c>
      <c r="N77" s="2">
        <f>24-M77-L77</f>
        <v>69</v>
      </c>
    </row>
    <row r="78" spans="2:14" x14ac:dyDescent="0.15">
      <c r="B78" s="2" t="s">
        <v>57</v>
      </c>
      <c r="L78" s="5">
        <v>-1135</v>
      </c>
      <c r="M78" s="2">
        <f>-1881-L78</f>
        <v>-746</v>
      </c>
      <c r="N78" s="2">
        <f>-2411-M78-L78</f>
        <v>-530</v>
      </c>
    </row>
    <row r="79" spans="2:14" x14ac:dyDescent="0.15">
      <c r="B79" s="2" t="s">
        <v>46</v>
      </c>
      <c r="L79" s="5">
        <v>-34</v>
      </c>
      <c r="M79" s="2">
        <f>-102-L79</f>
        <v>-68</v>
      </c>
      <c r="N79" s="2">
        <f>-170-M79-L79</f>
        <v>-68</v>
      </c>
    </row>
    <row r="80" spans="2:14" x14ac:dyDescent="0.15">
      <c r="B80" s="2" t="s">
        <v>58</v>
      </c>
      <c r="L80" s="11">
        <f>-252+566-215+11+689+105</f>
        <v>904</v>
      </c>
      <c r="M80" s="10">
        <f>-3239+861-592+789+2675+236-L80</f>
        <v>-174</v>
      </c>
      <c r="N80" s="10">
        <f>-4482+405-337+1250+953+208-M80-L80</f>
        <v>-2733</v>
      </c>
    </row>
    <row r="81" spans="2:14" x14ac:dyDescent="0.15">
      <c r="B81" t="s">
        <v>54</v>
      </c>
      <c r="L81" s="11">
        <f>SUM(L74:L80)</f>
        <v>2911</v>
      </c>
      <c r="M81" s="11">
        <f>SUM(M74:M80)</f>
        <v>6347</v>
      </c>
      <c r="N81" s="11">
        <f>SUM(N74:N80)</f>
        <v>7332</v>
      </c>
    </row>
    <row r="82" spans="2:14" x14ac:dyDescent="0.15">
      <c r="L82" s="5"/>
      <c r="M82" s="2"/>
      <c r="N82" s="2"/>
    </row>
    <row r="83" spans="2:14" x14ac:dyDescent="0.15">
      <c r="B83" s="2" t="s">
        <v>59</v>
      </c>
      <c r="L83" s="5">
        <f>2512-2801-221</f>
        <v>-510</v>
      </c>
      <c r="M83" s="2">
        <f>5111-5343-L83-435</f>
        <v>-157</v>
      </c>
      <c r="N83" s="2">
        <f>8001-10688-M83-L83-872</f>
        <v>-2892</v>
      </c>
    </row>
    <row r="84" spans="2:14" x14ac:dyDescent="0.15">
      <c r="B84" s="2" t="s">
        <v>60</v>
      </c>
      <c r="L84" s="5">
        <v>-248</v>
      </c>
      <c r="M84" s="2">
        <f>-537-L84</f>
        <v>-289</v>
      </c>
      <c r="N84" s="2">
        <f>-815-M84-L84</f>
        <v>-278</v>
      </c>
    </row>
    <row r="85" spans="2:14" x14ac:dyDescent="0.15">
      <c r="B85" s="2" t="s">
        <v>61</v>
      </c>
      <c r="L85" s="5">
        <v>-83</v>
      </c>
      <c r="M85" s="2">
        <f>-83-L85</f>
        <v>0</v>
      </c>
      <c r="N85" s="2">
        <f>-83-M85-L85</f>
        <v>0</v>
      </c>
    </row>
    <row r="86" spans="2:14" x14ac:dyDescent="0.15">
      <c r="B86" s="2" t="s">
        <v>62</v>
      </c>
      <c r="L86" s="5">
        <f>SUM(L83:L85)</f>
        <v>-841</v>
      </c>
      <c r="M86" s="5">
        <f>SUM(M83:M85)</f>
        <v>-446</v>
      </c>
      <c r="N86" s="5">
        <f>SUM(N83:N85)</f>
        <v>-3170</v>
      </c>
    </row>
    <row r="88" spans="2:14" x14ac:dyDescent="0.15">
      <c r="B88" s="2" t="s">
        <v>65</v>
      </c>
      <c r="L88" s="5">
        <f>246</f>
        <v>246</v>
      </c>
      <c r="M88" s="2">
        <f>247-L88</f>
        <v>1</v>
      </c>
      <c r="N88" s="2">
        <f>403-M88-L88</f>
        <v>156</v>
      </c>
    </row>
    <row r="89" spans="2:14" x14ac:dyDescent="0.15">
      <c r="B89" s="2" t="s">
        <v>66</v>
      </c>
      <c r="L89" s="5">
        <v>-507</v>
      </c>
      <c r="M89" s="2">
        <f>-1179-L89</f>
        <v>-672</v>
      </c>
      <c r="N89" s="2">
        <f>-1942-M89-L89</f>
        <v>-763</v>
      </c>
    </row>
    <row r="90" spans="2:14" x14ac:dyDescent="0.15">
      <c r="B90" s="2" t="s">
        <v>67</v>
      </c>
      <c r="L90" s="5">
        <v>-99</v>
      </c>
      <c r="M90" s="2">
        <f>-199-L90</f>
        <v>-100</v>
      </c>
      <c r="N90" s="2">
        <f>-296-M90-L90</f>
        <v>-97</v>
      </c>
    </row>
    <row r="91" spans="2:14" x14ac:dyDescent="0.15">
      <c r="B91" s="2" t="s">
        <v>69</v>
      </c>
      <c r="L91" s="5">
        <v>0</v>
      </c>
      <c r="M91" s="2">
        <f>-3067-L91</f>
        <v>-3067</v>
      </c>
      <c r="N91" s="2">
        <f>-6874-M91-L91</f>
        <v>-3807</v>
      </c>
    </row>
    <row r="92" spans="2:14" x14ac:dyDescent="0.15">
      <c r="B92" s="2" t="s">
        <v>34</v>
      </c>
      <c r="L92" s="5">
        <v>0</v>
      </c>
      <c r="M92" s="2">
        <f>-1250-L92</f>
        <v>-1250</v>
      </c>
      <c r="N92" s="2">
        <f>-1250-M92-L92</f>
        <v>0</v>
      </c>
    </row>
    <row r="93" spans="2:14" x14ac:dyDescent="0.15">
      <c r="B93" s="2" t="s">
        <v>68</v>
      </c>
      <c r="L93" s="5">
        <v>-20</v>
      </c>
      <c r="M93" s="2">
        <f>-31-L93</f>
        <v>-11</v>
      </c>
      <c r="N93" s="2">
        <f>-44-M93-L93</f>
        <v>-13</v>
      </c>
    </row>
    <row r="94" spans="2:14" x14ac:dyDescent="0.15">
      <c r="B94" t="s">
        <v>64</v>
      </c>
      <c r="L94" s="5">
        <f>SUM(L88:L93)</f>
        <v>-380</v>
      </c>
      <c r="M94" s="5">
        <f>SUM(M88:M93)</f>
        <v>-5099</v>
      </c>
      <c r="N94" s="5">
        <f>SUM(N88:N93)</f>
        <v>-4524</v>
      </c>
    </row>
    <row r="95" spans="2:14" x14ac:dyDescent="0.15">
      <c r="B95" t="s">
        <v>63</v>
      </c>
      <c r="L95" s="5">
        <f>L94+L86+L81</f>
        <v>1690</v>
      </c>
      <c r="M95" s="5">
        <f>M94+M86+M81</f>
        <v>802</v>
      </c>
      <c r="N95" s="5">
        <f>N94+N86+N81</f>
        <v>-362</v>
      </c>
    </row>
    <row r="97" spans="2:14" x14ac:dyDescent="0.15">
      <c r="B97" t="s">
        <v>70</v>
      </c>
      <c r="L97" s="5">
        <f>(L56/L34)*90</f>
        <v>51.056729699666299</v>
      </c>
      <c r="M97" s="5">
        <f>(M56/M34)*90</f>
        <v>47.082253646257499</v>
      </c>
      <c r="N97" s="5">
        <f>(N56/N34)*90</f>
        <v>41.269867549668874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F3AAC-01AB-4B45-833B-91B200A793E2}">
  <dimension ref="C4:F10"/>
  <sheetViews>
    <sheetView zoomScale="160" zoomScaleNormal="160" workbookViewId="0">
      <selection activeCell="F9" sqref="F9"/>
    </sheetView>
  </sheetViews>
  <sheetFormatPr baseColWidth="10" defaultRowHeight="13" x14ac:dyDescent="0.15"/>
  <sheetData>
    <row r="4" spans="3:6" x14ac:dyDescent="0.15">
      <c r="C4" t="s">
        <v>97</v>
      </c>
      <c r="D4">
        <v>665</v>
      </c>
      <c r="E4" t="s">
        <v>98</v>
      </c>
      <c r="F4">
        <v>43</v>
      </c>
    </row>
    <row r="5" spans="3:6" x14ac:dyDescent="0.15">
      <c r="C5" t="s">
        <v>97</v>
      </c>
      <c r="D5">
        <v>665</v>
      </c>
      <c r="E5" t="s">
        <v>99</v>
      </c>
      <c r="F5">
        <v>42</v>
      </c>
    </row>
    <row r="7" spans="3:6" x14ac:dyDescent="0.15">
      <c r="F7">
        <f>+F4+F5</f>
        <v>85</v>
      </c>
    </row>
    <row r="8" spans="3:6" x14ac:dyDescent="0.15">
      <c r="D8" s="12">
        <f>+F7/D9</f>
        <v>0.12762762762762764</v>
      </c>
    </row>
    <row r="9" spans="3:6" x14ac:dyDescent="0.15">
      <c r="D9">
        <v>666</v>
      </c>
      <c r="E9" s="13">
        <f>+D9-85</f>
        <v>581</v>
      </c>
    </row>
    <row r="10" spans="3:6" x14ac:dyDescent="0.15">
      <c r="E10" s="13">
        <f>+D9+85</f>
        <v>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2024-02-21T21:27:14Z</dcterms:modified>
</cp:coreProperties>
</file>