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A9F3DB7-1970-4698-8DAD-A4A8C532368B}" xr6:coauthVersionLast="47" xr6:coauthVersionMax="47" xr10:uidLastSave="{00000000-0000-0000-0000-000000000000}"/>
  <bookViews>
    <workbookView xWindow="-51615" yWindow="1650" windowWidth="30150" windowHeight="17955" activeTab="2" xr2:uid="{00000000-000D-0000-FFFF-FFFF00000000}"/>
  </bookViews>
  <sheets>
    <sheet name="Master" sheetId="41" r:id="rId1"/>
    <sheet name="Main" sheetId="1" r:id="rId2"/>
    <sheet name="Model" sheetId="2" r:id="rId3"/>
    <sheet name="Biktarvy" sheetId="43" r:id="rId4"/>
    <sheet name="Descovy" sheetId="44" r:id="rId5"/>
    <sheet name="Genvoya" sheetId="45" r:id="rId6"/>
    <sheet name="Veklury" sheetId="46" r:id="rId7"/>
    <sheet name="Stribild" sheetId="34" r:id="rId8"/>
    <sheet name="Trodelvy" sheetId="47" r:id="rId9"/>
    <sheet name="Truvada" sheetId="15" r:id="rId10"/>
    <sheet name="Viread" sheetId="16" r:id="rId11"/>
    <sheet name="Ranexa" sheetId="40" r:id="rId12"/>
    <sheet name="Atripla" sheetId="18" r:id="rId13"/>
    <sheet name="Harvoni" sheetId="42" r:id="rId14"/>
    <sheet name="IMS Monthly" sheetId="33" r:id="rId15"/>
    <sheet name="IMS" sheetId="6" r:id="rId16"/>
    <sheet name="Rx" sheetId="23" r:id="rId17"/>
    <sheet name="HBV" sheetId="7" r:id="rId18"/>
    <sheet name="darusentan" sheetId="30" r:id="rId19"/>
    <sheet name="Letairis" sheetId="27" r:id="rId20"/>
    <sheet name="Hepsera" sheetId="17" r:id="rId21"/>
    <sheet name="HIV" sheetId="14" r:id="rId22"/>
    <sheet name="GS 9137" sheetId="8" r:id="rId23"/>
    <sheet name="GS 9132" sheetId="9" r:id="rId24"/>
    <sheet name="GS9190" sheetId="31" r:id="rId25"/>
    <sheet name="sofosbuvir" sheetId="37" r:id="rId26"/>
    <sheet name="idelasilib" sheetId="38" r:id="rId27"/>
    <sheet name="GS 9451" sheetId="35" r:id="rId28"/>
    <sheet name="Cayston" sheetId="19" r:id="rId29"/>
    <sheet name="Tamiflu" sheetId="10" r:id="rId30"/>
  </sheets>
  <calcPr calcId="191029" calcMode="autoNoTable"/>
  <customWorkbookViews>
    <customWorkbookView name="David Zheng - Personal View" guid="{242E8787-30C2-4AAB-B25A-4ABD2B9A9CA6}" mergeInterval="0" personalView="1" maximized="1" windowWidth="1276" windowHeight="628" activeSheetId="4"/>
    <customWorkbookView name="Martin Shkreli - Personal View" guid="{4186580B-64C2-4B0C-BB3D-D214EFB8989E}" mergeInterval="0" personalView="1" maximized="1" windowWidth="1250" windowHeight="882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37" i="2" l="1"/>
  <c r="BK37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S56" i="2" l="1"/>
  <c r="AR56" i="2"/>
  <c r="AQ56" i="2"/>
  <c r="AP56" i="2"/>
  <c r="AO56" i="2"/>
  <c r="AN56" i="2"/>
  <c r="AM56" i="2"/>
  <c r="AL56" i="2"/>
  <c r="AK56" i="2"/>
  <c r="AJ56" i="2"/>
  <c r="BD56" i="2"/>
  <c r="BB56" i="2"/>
  <c r="BA56" i="2"/>
  <c r="AZ56" i="2"/>
  <c r="AX56" i="2"/>
  <c r="AW56" i="2"/>
  <c r="AV56" i="2"/>
  <c r="AU56" i="2"/>
  <c r="AT56" i="2"/>
  <c r="BE46" i="2"/>
  <c r="BE48" i="2"/>
  <c r="BE44" i="2"/>
  <c r="BQ56" i="2"/>
  <c r="BM56" i="2"/>
  <c r="BA37" i="2"/>
  <c r="BE37" i="2"/>
  <c r="BE39" i="2" s="1"/>
  <c r="BE41" i="2" s="1"/>
  <c r="BB48" i="2"/>
  <c r="BB46" i="2"/>
  <c r="BF48" i="2"/>
  <c r="BF46" i="2"/>
  <c r="BF44" i="2"/>
  <c r="BF39" i="2"/>
  <c r="BF41" i="2" s="1"/>
  <c r="BF53" i="2" s="1"/>
  <c r="BB37" i="2"/>
  <c r="BF37" i="2"/>
  <c r="BC46" i="2"/>
  <c r="BG48" i="2"/>
  <c r="BG46" i="2"/>
  <c r="BG44" i="2"/>
  <c r="BC39" i="2"/>
  <c r="BG39" i="2"/>
  <c r="BG41" i="2" s="1"/>
  <c r="BG53" i="2" s="1"/>
  <c r="BC37" i="2"/>
  <c r="BG37" i="2"/>
  <c r="BI46" i="2"/>
  <c r="BM46" i="2"/>
  <c r="BM44" i="2"/>
  <c r="BM41" i="2"/>
  <c r="BM53" i="2" s="1"/>
  <c r="BH46" i="2"/>
  <c r="BI44" i="2"/>
  <c r="BH44" i="2"/>
  <c r="BL46" i="2"/>
  <c r="BL44" i="2"/>
  <c r="BH39" i="2"/>
  <c r="BH41" i="2" s="1"/>
  <c r="BH53" i="2" s="1"/>
  <c r="BH37" i="2"/>
  <c r="BL39" i="2"/>
  <c r="BL41" i="2" s="1"/>
  <c r="BI37" i="2"/>
  <c r="BM37" i="2"/>
  <c r="BM39" i="2" s="1"/>
  <c r="BI39" i="2"/>
  <c r="BI41" i="2" s="1"/>
  <c r="BI53" i="2" s="1"/>
  <c r="BN3" i="2"/>
  <c r="BR58" i="2" s="1"/>
  <c r="BR56" i="2"/>
  <c r="BJ48" i="2"/>
  <c r="BJ46" i="2"/>
  <c r="BJ44" i="2"/>
  <c r="BN46" i="2"/>
  <c r="BN44" i="2"/>
  <c r="BN41" i="2"/>
  <c r="BJ37" i="2"/>
  <c r="BN37" i="2"/>
  <c r="BN39" i="2"/>
  <c r="BJ39" i="2"/>
  <c r="BJ41" i="2" s="1"/>
  <c r="BJ53" i="2" s="1"/>
  <c r="BS59" i="2"/>
  <c r="BS58" i="2"/>
  <c r="BS56" i="2"/>
  <c r="BO46" i="2"/>
  <c r="BK48" i="2"/>
  <c r="BK46" i="2"/>
  <c r="BK44" i="2"/>
  <c r="BO48" i="2"/>
  <c r="BO44" i="2"/>
  <c r="BO41" i="2"/>
  <c r="BO53" i="2" s="1"/>
  <c r="BO37" i="2"/>
  <c r="BO3" i="2"/>
  <c r="BK39" i="2"/>
  <c r="BK41" i="2" s="1"/>
  <c r="BO39" i="2"/>
  <c r="BX59" i="2"/>
  <c r="BW59" i="2"/>
  <c r="BV59" i="2"/>
  <c r="BU59" i="2"/>
  <c r="BT59" i="2"/>
  <c r="BX58" i="2"/>
  <c r="BW58" i="2"/>
  <c r="BV58" i="2"/>
  <c r="BU58" i="2"/>
  <c r="BT58" i="2"/>
  <c r="BX56" i="2"/>
  <c r="BW56" i="2"/>
  <c r="BV56" i="2"/>
  <c r="BU56" i="2"/>
  <c r="BT54" i="2"/>
  <c r="BT53" i="2"/>
  <c r="BP46" i="2"/>
  <c r="BT46" i="2"/>
  <c r="BP48" i="2"/>
  <c r="BP44" i="2"/>
  <c r="BT48" i="2"/>
  <c r="BT44" i="2"/>
  <c r="BT41" i="2"/>
  <c r="BP37" i="2"/>
  <c r="BT37" i="2"/>
  <c r="BT39" i="2" s="1"/>
  <c r="BP39" i="2"/>
  <c r="BT56" i="2" s="1"/>
  <c r="BP3" i="2"/>
  <c r="CT39" i="2"/>
  <c r="CS39" i="2"/>
  <c r="CR39" i="2"/>
  <c r="CQ39" i="2"/>
  <c r="CP39" i="2"/>
  <c r="CO39" i="2"/>
  <c r="BD37" i="2"/>
  <c r="BD48" i="2"/>
  <c r="BD46" i="2"/>
  <c r="BD44" i="2"/>
  <c r="BC44" i="2"/>
  <c r="BD39" i="2"/>
  <c r="BD41" i="2" s="1"/>
  <c r="CN61" i="2"/>
  <c r="CI61" i="2"/>
  <c r="CN91" i="2"/>
  <c r="CN84" i="2"/>
  <c r="CN82" i="2"/>
  <c r="CN74" i="2"/>
  <c r="CM74" i="2"/>
  <c r="CL74" i="2"/>
  <c r="CK74" i="2"/>
  <c r="CJ74" i="2"/>
  <c r="CN72" i="2"/>
  <c r="CJ37" i="2"/>
  <c r="CK37" i="2"/>
  <c r="CN3" i="2"/>
  <c r="CM3" i="2"/>
  <c r="CL37" i="2"/>
  <c r="CM37" i="2"/>
  <c r="CN39" i="2"/>
  <c r="CM39" i="2"/>
  <c r="CN37" i="2"/>
  <c r="CH83" i="2"/>
  <c r="CH82" i="2"/>
  <c r="CH62" i="2"/>
  <c r="CH72" i="2"/>
  <c r="CG48" i="2"/>
  <c r="CG46" i="2"/>
  <c r="CG37" i="2"/>
  <c r="CH48" i="2"/>
  <c r="CH46" i="2"/>
  <c r="CH37" i="2"/>
  <c r="CI83" i="2"/>
  <c r="CI82" i="2"/>
  <c r="CI91" i="2" s="1"/>
  <c r="CI62" i="2"/>
  <c r="CI72" i="2"/>
  <c r="CI74" i="2" s="1"/>
  <c r="CI48" i="2"/>
  <c r="CI46" i="2"/>
  <c r="CI37" i="2"/>
  <c r="CG83" i="2"/>
  <c r="CG82" i="2"/>
  <c r="CG72" i="2"/>
  <c r="CG62" i="2"/>
  <c r="CG59" i="2"/>
  <c r="CF59" i="2"/>
  <c r="CG3" i="2"/>
  <c r="BV48" i="2"/>
  <c r="BV46" i="2"/>
  <c r="BZ48" i="2"/>
  <c r="BZ46" i="2"/>
  <c r="BZ37" i="2"/>
  <c r="BY59" i="2"/>
  <c r="BQ48" i="2"/>
  <c r="BQ46" i="2"/>
  <c r="BQ44" i="2"/>
  <c r="BU48" i="2"/>
  <c r="BU46" i="2"/>
  <c r="BU44" i="2"/>
  <c r="BQ37" i="2"/>
  <c r="BQ39" i="2" s="1"/>
  <c r="BQ41" i="2" s="1"/>
  <c r="BU37" i="2"/>
  <c r="BU39" i="2" s="1"/>
  <c r="BU41" i="2" s="1"/>
  <c r="BU53" i="2" s="1"/>
  <c r="BQ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R48" i="2"/>
  <c r="BR46" i="2"/>
  <c r="BZ59" i="2"/>
  <c r="BR44" i="2"/>
  <c r="BV44" i="2"/>
  <c r="BR37" i="2"/>
  <c r="BV37" i="2"/>
  <c r="BV39" i="2" s="1"/>
  <c r="BV41" i="2" s="1"/>
  <c r="BV53" i="2" s="1"/>
  <c r="BR39" i="2"/>
  <c r="BR41" i="2" s="1"/>
  <c r="BR45" i="2" s="1"/>
  <c r="DP3" i="2"/>
  <c r="DO3" i="2"/>
  <c r="DN3" i="2"/>
  <c r="DT23" i="2"/>
  <c r="DQ23" i="2"/>
  <c r="DR23" i="2"/>
  <c r="DS23" i="2"/>
  <c r="DS15" i="2"/>
  <c r="DQ9" i="2"/>
  <c r="BS48" i="2"/>
  <c r="BW48" i="2"/>
  <c r="BS46" i="2"/>
  <c r="BW46" i="2"/>
  <c r="CA59" i="2"/>
  <c r="BS44" i="2"/>
  <c r="BW44" i="2"/>
  <c r="BS37" i="2"/>
  <c r="BW37" i="2"/>
  <c r="BS39" i="2"/>
  <c r="BS41" i="2" s="1"/>
  <c r="BS53" i="2" s="1"/>
  <c r="BP56" i="2" l="1"/>
  <c r="BP41" i="2"/>
  <c r="BP53" i="2" s="1"/>
  <c r="BE45" i="2"/>
  <c r="BE47" i="2" s="1"/>
  <c r="BE53" i="2"/>
  <c r="BF56" i="2"/>
  <c r="BH56" i="2"/>
  <c r="BJ56" i="2"/>
  <c r="BL56" i="2"/>
  <c r="BN56" i="2"/>
  <c r="BI56" i="2"/>
  <c r="BE56" i="2"/>
  <c r="BK56" i="2"/>
  <c r="BO56" i="2"/>
  <c r="BC41" i="2"/>
  <c r="BC53" i="2" s="1"/>
  <c r="BG56" i="2"/>
  <c r="BD45" i="2"/>
  <c r="BD47" i="2" s="1"/>
  <c r="BD54" i="2" s="1"/>
  <c r="BD53" i="2"/>
  <c r="BF45" i="2"/>
  <c r="BF47" i="2" s="1"/>
  <c r="BG45" i="2"/>
  <c r="BG47" i="2" s="1"/>
  <c r="BL45" i="2"/>
  <c r="BL47" i="2" s="1"/>
  <c r="BL53" i="2"/>
  <c r="BH45" i="2"/>
  <c r="BH47" i="2" s="1"/>
  <c r="BM45" i="2"/>
  <c r="BM47" i="2" s="1"/>
  <c r="BI45" i="2"/>
  <c r="BI47" i="2" s="1"/>
  <c r="BN45" i="2"/>
  <c r="BN47" i="2" s="1"/>
  <c r="BN49" i="2" s="1"/>
  <c r="BN50" i="2" s="1"/>
  <c r="BJ45" i="2"/>
  <c r="BJ47" i="2" s="1"/>
  <c r="BN53" i="2"/>
  <c r="BN54" i="2"/>
  <c r="BK45" i="2"/>
  <c r="BK47" i="2" s="1"/>
  <c r="BK49" i="2" s="1"/>
  <c r="BK50" i="2" s="1"/>
  <c r="BK53" i="2"/>
  <c r="BO45" i="2"/>
  <c r="BO47" i="2" s="1"/>
  <c r="BO49" i="2" s="1"/>
  <c r="BO50" i="2" s="1"/>
  <c r="BT45" i="2"/>
  <c r="BT47" i="2" s="1"/>
  <c r="BT49" i="2" s="1"/>
  <c r="BT50" i="2" s="1"/>
  <c r="BP45" i="2"/>
  <c r="BP47" i="2" s="1"/>
  <c r="BD49" i="2"/>
  <c r="BD50" i="2" s="1"/>
  <c r="CH61" i="2"/>
  <c r="CH74" i="2"/>
  <c r="BY58" i="2"/>
  <c r="CH91" i="2"/>
  <c r="BR47" i="2"/>
  <c r="BR49" i="2" s="1"/>
  <c r="BR50" i="2" s="1"/>
  <c r="CG91" i="2"/>
  <c r="BZ58" i="2"/>
  <c r="CG74" i="2"/>
  <c r="CG61" i="2"/>
  <c r="BR53" i="2"/>
  <c r="BQ45" i="2"/>
  <c r="BQ47" i="2" s="1"/>
  <c r="BQ54" i="2" s="1"/>
  <c r="BQ53" i="2"/>
  <c r="BU45" i="2"/>
  <c r="BU47" i="2" s="1"/>
  <c r="BU49" i="2" s="1"/>
  <c r="BU50" i="2" s="1"/>
  <c r="BV45" i="2"/>
  <c r="BV47" i="2" s="1"/>
  <c r="BV49" i="2" s="1"/>
  <c r="BS45" i="2"/>
  <c r="BS47" i="2" s="1"/>
  <c r="DT36" i="2"/>
  <c r="DT35" i="2"/>
  <c r="DT32" i="2"/>
  <c r="DT31" i="2"/>
  <c r="DT27" i="2"/>
  <c r="DT26" i="2"/>
  <c r="DT19" i="2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DT18" i="2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DT15" i="2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DS36" i="2"/>
  <c r="DS35" i="2"/>
  <c r="DS32" i="2"/>
  <c r="DS31" i="2"/>
  <c r="DS26" i="2"/>
  <c r="DS19" i="2"/>
  <c r="DS18" i="2"/>
  <c r="DS12" i="2"/>
  <c r="DS10" i="2"/>
  <c r="DS9" i="2"/>
  <c r="DR38" i="2"/>
  <c r="DR36" i="2"/>
  <c r="DR35" i="2"/>
  <c r="DR34" i="2"/>
  <c r="DR33" i="2"/>
  <c r="DR32" i="2"/>
  <c r="DR31" i="2"/>
  <c r="DR30" i="2"/>
  <c r="DR29" i="2"/>
  <c r="DR28" i="2"/>
  <c r="DR27" i="2"/>
  <c r="DR26" i="2"/>
  <c r="DR25" i="2"/>
  <c r="DR24" i="2"/>
  <c r="DR22" i="2"/>
  <c r="DR21" i="2"/>
  <c r="DR20" i="2"/>
  <c r="DR19" i="2"/>
  <c r="DR18" i="2"/>
  <c r="DR17" i="2"/>
  <c r="DR16" i="2"/>
  <c r="DR15" i="2"/>
  <c r="DR14" i="2"/>
  <c r="DR13" i="2"/>
  <c r="DR12" i="2"/>
  <c r="DR11" i="2"/>
  <c r="DR10" i="2"/>
  <c r="DR9" i="2"/>
  <c r="DQ38" i="2"/>
  <c r="DQ36" i="2"/>
  <c r="DQ35" i="2"/>
  <c r="DQ34" i="2"/>
  <c r="DQ33" i="2"/>
  <c r="DQ32" i="2"/>
  <c r="DQ31" i="2"/>
  <c r="DQ30" i="2"/>
  <c r="DQ29" i="2"/>
  <c r="DQ28" i="2"/>
  <c r="DQ27" i="2"/>
  <c r="DQ26" i="2"/>
  <c r="DQ25" i="2"/>
  <c r="DQ24" i="2"/>
  <c r="DQ22" i="2"/>
  <c r="DQ21" i="2"/>
  <c r="DQ20" i="2"/>
  <c r="DQ19" i="2"/>
  <c r="DQ18" i="2"/>
  <c r="DQ17" i="2"/>
  <c r="DQ16" i="2"/>
  <c r="DQ15" i="2"/>
  <c r="DQ14" i="2"/>
  <c r="DQ13" i="2"/>
  <c r="DQ12" i="2"/>
  <c r="DQ11" i="2"/>
  <c r="DQ10" i="2"/>
  <c r="DW2" i="2"/>
  <c r="DX2" i="2" s="1"/>
  <c r="DY2" i="2" s="1"/>
  <c r="DZ2" i="2" s="1"/>
  <c r="EA2" i="2" s="1"/>
  <c r="EB2" i="2" s="1"/>
  <c r="EC2" i="2" s="1"/>
  <c r="ED2" i="2" s="1"/>
  <c r="EE2" i="2" s="1"/>
  <c r="EF2" i="2" s="1"/>
  <c r="CF83" i="2"/>
  <c r="CF82" i="2"/>
  <c r="CF62" i="2"/>
  <c r="CF61" i="2" s="1"/>
  <c r="CF72" i="2"/>
  <c r="CJ42" i="2"/>
  <c r="CL42" i="2"/>
  <c r="CK42" i="2"/>
  <c r="CJ43" i="2"/>
  <c r="CL43" i="2"/>
  <c r="CK43" i="2"/>
  <c r="CE59" i="2"/>
  <c r="CD59" i="2"/>
  <c r="CC59" i="2"/>
  <c r="CB59" i="2"/>
  <c r="DS11" i="2"/>
  <c r="DT10" i="2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EF10" i="2" s="1"/>
  <c r="CJ59" i="2"/>
  <c r="CI59" i="2"/>
  <c r="CL59" i="2"/>
  <c r="CA58" i="2"/>
  <c r="CF46" i="2"/>
  <c r="CF44" i="2"/>
  <c r="CF37" i="2"/>
  <c r="CF39" i="2" s="1"/>
  <c r="CF41" i="2" s="1"/>
  <c r="CF53" i="2" s="1"/>
  <c r="BX37" i="2"/>
  <c r="BX39" i="2" s="1"/>
  <c r="BX46" i="2"/>
  <c r="CB46" i="2"/>
  <c r="BX44" i="2"/>
  <c r="CB37" i="2"/>
  <c r="CB39" i="2" s="1"/>
  <c r="CB41" i="2" s="1"/>
  <c r="CB53" i="2" s="1"/>
  <c r="CC46" i="2"/>
  <c r="BY46" i="2"/>
  <c r="BY44" i="2"/>
  <c r="BY37" i="2"/>
  <c r="BY39" i="2" s="1"/>
  <c r="CC37" i="2"/>
  <c r="CC39" i="2" s="1"/>
  <c r="CC41" i="2" s="1"/>
  <c r="CC53" i="2" s="1"/>
  <c r="CD46" i="2"/>
  <c r="BZ44" i="2"/>
  <c r="CD37" i="2"/>
  <c r="CD39" i="2" s="1"/>
  <c r="CD41" i="2" s="1"/>
  <c r="CD53" i="2" s="1"/>
  <c r="CE37" i="2"/>
  <c r="CE39" i="2" s="1"/>
  <c r="CE41" i="2" s="1"/>
  <c r="CA37" i="2"/>
  <c r="DR37" i="2" s="1"/>
  <c r="BW39" i="2"/>
  <c r="BW41" i="2" s="1"/>
  <c r="BW53" i="2" s="1"/>
  <c r="CA46" i="2"/>
  <c r="CE46" i="2"/>
  <c r="CE44" i="2"/>
  <c r="CD44" i="2"/>
  <c r="CC44" i="2"/>
  <c r="CB44" i="2"/>
  <c r="CA44" i="2"/>
  <c r="DK51" i="2"/>
  <c r="DJ43" i="2"/>
  <c r="DK38" i="2"/>
  <c r="DK36" i="2"/>
  <c r="DK32" i="2"/>
  <c r="DK17" i="2"/>
  <c r="DK19" i="2"/>
  <c r="DK18" i="2"/>
  <c r="DC16" i="2"/>
  <c r="DJ38" i="2"/>
  <c r="DI38" i="2"/>
  <c r="DJ37" i="2"/>
  <c r="DI37" i="2"/>
  <c r="DH37" i="2"/>
  <c r="DJ36" i="2"/>
  <c r="DI36" i="2"/>
  <c r="DH36" i="2"/>
  <c r="DJ35" i="2"/>
  <c r="DI35" i="2"/>
  <c r="DH35" i="2"/>
  <c r="DJ34" i="2"/>
  <c r="DI34" i="2"/>
  <c r="DH34" i="2"/>
  <c r="DJ33" i="2"/>
  <c r="DI33" i="2"/>
  <c r="DH33" i="2"/>
  <c r="DJ32" i="2"/>
  <c r="DI32" i="2"/>
  <c r="DH32" i="2"/>
  <c r="DJ31" i="2"/>
  <c r="DI31" i="2"/>
  <c r="DH31" i="2"/>
  <c r="DJ27" i="2"/>
  <c r="DI27" i="2"/>
  <c r="DH27" i="2"/>
  <c r="DJ26" i="2"/>
  <c r="DI26" i="2"/>
  <c r="DH26" i="2"/>
  <c r="DJ17" i="2"/>
  <c r="DI17" i="2"/>
  <c r="DH17" i="2"/>
  <c r="DJ16" i="2"/>
  <c r="DI16" i="2"/>
  <c r="DH16" i="2"/>
  <c r="DJ15" i="2"/>
  <c r="DI15" i="2"/>
  <c r="DH15" i="2"/>
  <c r="DJ19" i="2"/>
  <c r="DJ18" i="2"/>
  <c r="DI19" i="2"/>
  <c r="DI18" i="2"/>
  <c r="DH18" i="2"/>
  <c r="DH19" i="2"/>
  <c r="DH14" i="2"/>
  <c r="AM44" i="2"/>
  <c r="AL44" i="2"/>
  <c r="AK44" i="2"/>
  <c r="AJ44" i="2"/>
  <c r="AI44" i="2"/>
  <c r="AH44" i="2"/>
  <c r="AG44" i="2"/>
  <c r="AF44" i="2"/>
  <c r="AE44" i="2"/>
  <c r="AN46" i="2"/>
  <c r="AN44" i="2"/>
  <c r="AP46" i="2"/>
  <c r="AP44" i="2"/>
  <c r="DI14" i="2"/>
  <c r="DJ14" i="2"/>
  <c r="AY44" i="2"/>
  <c r="AY46" i="2"/>
  <c r="AY39" i="2"/>
  <c r="AY56" i="2" s="1"/>
  <c r="AZ48" i="2"/>
  <c r="AZ46" i="2"/>
  <c r="AZ44" i="2"/>
  <c r="AZ39" i="2"/>
  <c r="AZ41" i="2" s="1"/>
  <c r="J4" i="1"/>
  <c r="BG49" i="2" l="1"/>
  <c r="BG50" i="2" s="1"/>
  <c r="BG54" i="2"/>
  <c r="BE49" i="2"/>
  <c r="BE50" i="2" s="1"/>
  <c r="BE54" i="2"/>
  <c r="BC56" i="2"/>
  <c r="BC45" i="2"/>
  <c r="BC47" i="2" s="1"/>
  <c r="BC54" i="2" s="1"/>
  <c r="BF49" i="2"/>
  <c r="BF50" i="2" s="1"/>
  <c r="BF54" i="2"/>
  <c r="BM49" i="2"/>
  <c r="BM50" i="2" s="1"/>
  <c r="BM54" i="2"/>
  <c r="BI49" i="2"/>
  <c r="BI50" i="2" s="1"/>
  <c r="BI54" i="2"/>
  <c r="BL54" i="2"/>
  <c r="BL49" i="2"/>
  <c r="BL50" i="2" s="1"/>
  <c r="BH49" i="2"/>
  <c r="BH50" i="2" s="1"/>
  <c r="BH54" i="2"/>
  <c r="BJ49" i="2"/>
  <c r="BJ50" i="2" s="1"/>
  <c r="BJ54" i="2"/>
  <c r="BK54" i="2"/>
  <c r="BO54" i="2"/>
  <c r="BP49" i="2"/>
  <c r="BP50" i="2" s="1"/>
  <c r="BP54" i="2"/>
  <c r="BR54" i="2"/>
  <c r="BQ49" i="2"/>
  <c r="BQ50" i="2" s="1"/>
  <c r="DJ3" i="2"/>
  <c r="BY41" i="2"/>
  <c r="BY53" i="2" s="1"/>
  <c r="BY56" i="2"/>
  <c r="DH3" i="2"/>
  <c r="DI3" i="2"/>
  <c r="DR3" i="2"/>
  <c r="BU54" i="2"/>
  <c r="CF74" i="2"/>
  <c r="DQ3" i="2"/>
  <c r="DT28" i="2"/>
  <c r="DT30" i="2"/>
  <c r="DT14" i="2"/>
  <c r="DU14" i="2" s="1"/>
  <c r="DV14" i="2" s="1"/>
  <c r="DW14" i="2" s="1"/>
  <c r="DT12" i="2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CH3" i="2"/>
  <c r="CH58" i="2" s="1"/>
  <c r="CK59" i="2"/>
  <c r="BV50" i="2"/>
  <c r="BV54" i="2"/>
  <c r="BS49" i="2"/>
  <c r="BS50" i="2" s="1"/>
  <c r="BS54" i="2"/>
  <c r="CJ44" i="2"/>
  <c r="CF91" i="2"/>
  <c r="DS16" i="2"/>
  <c r="DS17" i="2"/>
  <c r="DT33" i="2"/>
  <c r="DS20" i="2"/>
  <c r="DT38" i="2"/>
  <c r="DS14" i="2"/>
  <c r="CI44" i="2"/>
  <c r="DS33" i="2"/>
  <c r="DT13" i="2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DS34" i="2"/>
  <c r="BW45" i="2"/>
  <c r="BW47" i="2" s="1"/>
  <c r="DS13" i="2"/>
  <c r="DS24" i="2"/>
  <c r="DS38" i="2"/>
  <c r="DS25" i="2"/>
  <c r="DT20" i="2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DS21" i="2"/>
  <c r="DQ37" i="2"/>
  <c r="DS27" i="2"/>
  <c r="DT21" i="2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DT34" i="2"/>
  <c r="DS22" i="2"/>
  <c r="DS28" i="2"/>
  <c r="DT22" i="2"/>
  <c r="DT24" i="2"/>
  <c r="DS30" i="2"/>
  <c r="DT25" i="2"/>
  <c r="DT9" i="2"/>
  <c r="CG44" i="2"/>
  <c r="CH44" i="2"/>
  <c r="CF58" i="2"/>
  <c r="CD58" i="2"/>
  <c r="CH59" i="2"/>
  <c r="CK44" i="2"/>
  <c r="CL44" i="2"/>
  <c r="CJ51" i="2"/>
  <c r="CV39" i="2"/>
  <c r="CX39" i="2"/>
  <c r="CY39" i="2"/>
  <c r="CF56" i="2"/>
  <c r="CC58" i="2"/>
  <c r="CE58" i="2"/>
  <c r="CB58" i="2"/>
  <c r="CF45" i="2"/>
  <c r="CF47" i="2" s="1"/>
  <c r="CC56" i="2"/>
  <c r="CB45" i="2"/>
  <c r="CB47" i="2" s="1"/>
  <c r="CB56" i="2"/>
  <c r="BX41" i="2"/>
  <c r="BX53" i="2" s="1"/>
  <c r="CE45" i="2"/>
  <c r="CE47" i="2" s="1"/>
  <c r="CE53" i="2"/>
  <c r="CC45" i="2"/>
  <c r="CC47" i="2" s="1"/>
  <c r="CD45" i="2"/>
  <c r="CD47" i="2" s="1"/>
  <c r="CA39" i="2"/>
  <c r="CA56" i="2" s="1"/>
  <c r="DK14" i="2"/>
  <c r="AZ53" i="2"/>
  <c r="AZ45" i="2"/>
  <c r="AZ47" i="2" s="1"/>
  <c r="AZ83" i="2"/>
  <c r="AZ82" i="2"/>
  <c r="AZ72" i="2"/>
  <c r="AZ62" i="2"/>
  <c r="BA43" i="2"/>
  <c r="BA42" i="2"/>
  <c r="AK39" i="2"/>
  <c r="AK41" i="2" s="1"/>
  <c r="AK45" i="2" s="1"/>
  <c r="AJ39" i="2"/>
  <c r="AJ41" i="2" s="1"/>
  <c r="AJ45" i="2" s="1"/>
  <c r="AI39" i="2"/>
  <c r="AI41" i="2" s="1"/>
  <c r="AI45" i="2" s="1"/>
  <c r="AH39" i="2"/>
  <c r="AH41" i="2" s="1"/>
  <c r="AH45" i="2" s="1"/>
  <c r="AG39" i="2"/>
  <c r="AG41" i="2" s="1"/>
  <c r="AG45" i="2" s="1"/>
  <c r="AF39" i="2"/>
  <c r="AE39" i="2"/>
  <c r="AL39" i="2"/>
  <c r="AL41" i="2" s="1"/>
  <c r="AL45" i="2" s="1"/>
  <c r="AR39" i="2"/>
  <c r="AP39" i="2"/>
  <c r="AP41" i="2" s="1"/>
  <c r="AP45" i="2" s="1"/>
  <c r="AM39" i="2"/>
  <c r="AM41" i="2" s="1"/>
  <c r="AM45" i="2" s="1"/>
  <c r="AX39" i="2"/>
  <c r="AW39" i="2"/>
  <c r="AV39" i="2"/>
  <c r="AU39" i="2"/>
  <c r="AT39" i="2"/>
  <c r="AS39" i="2"/>
  <c r="AQ39" i="2"/>
  <c r="J7" i="1"/>
  <c r="BC49" i="2" l="1"/>
  <c r="BC50" i="2" s="1"/>
  <c r="BY45" i="2"/>
  <c r="BY47" i="2" s="1"/>
  <c r="BY54" i="2" s="1"/>
  <c r="DS3" i="2"/>
  <c r="CI3" i="2"/>
  <c r="CI58" i="2" s="1"/>
  <c r="DU9" i="2"/>
  <c r="DX14" i="2"/>
  <c r="BW49" i="2"/>
  <c r="BW50" i="2" s="1"/>
  <c r="BW54" i="2"/>
  <c r="CI39" i="2"/>
  <c r="DS29" i="2"/>
  <c r="CG39" i="2"/>
  <c r="CG41" i="2" s="1"/>
  <c r="CK51" i="2"/>
  <c r="CG58" i="2"/>
  <c r="CW39" i="2"/>
  <c r="DB39" i="2"/>
  <c r="CZ39" i="2"/>
  <c r="CF54" i="2"/>
  <c r="CF49" i="2"/>
  <c r="CF50" i="2" s="1"/>
  <c r="CB49" i="2"/>
  <c r="CB50" i="2" s="1"/>
  <c r="CB54" i="2"/>
  <c r="AZ61" i="2"/>
  <c r="CA41" i="2"/>
  <c r="CA53" i="2" s="1"/>
  <c r="CE56" i="2"/>
  <c r="BX45" i="2"/>
  <c r="BX47" i="2" s="1"/>
  <c r="CE49" i="2"/>
  <c r="CE50" i="2" s="1"/>
  <c r="CE54" i="2"/>
  <c r="CD54" i="2"/>
  <c r="CD49" i="2"/>
  <c r="CD50" i="2" s="1"/>
  <c r="CC49" i="2"/>
  <c r="CC50" i="2" s="1"/>
  <c r="CC54" i="2"/>
  <c r="AZ85" i="2"/>
  <c r="AZ74" i="2"/>
  <c r="DL14" i="2"/>
  <c r="DK43" i="2"/>
  <c r="AZ49" i="2"/>
  <c r="AZ50" i="2" s="1"/>
  <c r="AZ54" i="2"/>
  <c r="BY49" i="2" l="1"/>
  <c r="BY50" i="2" s="1"/>
  <c r="CA45" i="2"/>
  <c r="CA47" i="2" s="1"/>
  <c r="CA49" i="2" s="1"/>
  <c r="CA50" i="2" s="1"/>
  <c r="CI56" i="2"/>
  <c r="CI41" i="2"/>
  <c r="DT17" i="2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DS37" i="2"/>
  <c r="CJ3" i="2"/>
  <c r="CJ58" i="2" s="1"/>
  <c r="DV9" i="2"/>
  <c r="DY14" i="2"/>
  <c r="DT16" i="2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CH39" i="2"/>
  <c r="CH41" i="2" s="1"/>
  <c r="DT29" i="2"/>
  <c r="CG56" i="2"/>
  <c r="CL51" i="2"/>
  <c r="DA39" i="2"/>
  <c r="BX49" i="2"/>
  <c r="BX50" i="2" s="1"/>
  <c r="BX54" i="2"/>
  <c r="DK15" i="2"/>
  <c r="DL43" i="2"/>
  <c r="DM43" i="2" s="1"/>
  <c r="DN43" i="2" s="1"/>
  <c r="DO43" i="2" s="1"/>
  <c r="DP43" i="2" s="1"/>
  <c r="DQ43" i="2" s="1"/>
  <c r="DR43" i="2" s="1"/>
  <c r="DS43" i="2" s="1"/>
  <c r="DT43" i="2" s="1"/>
  <c r="DU43" i="2" s="1"/>
  <c r="DV43" i="2" s="1"/>
  <c r="DK44" i="2"/>
  <c r="DK16" i="2"/>
  <c r="DL16" i="2" s="1"/>
  <c r="DM16" i="2" s="1"/>
  <c r="DM14" i="2"/>
  <c r="AZ102" i="2"/>
  <c r="AZ100" i="2"/>
  <c r="AZ101" i="2"/>
  <c r="AZ99" i="2"/>
  <c r="DI51" i="2"/>
  <c r="DJ51" i="2"/>
  <c r="DI43" i="2"/>
  <c r="DI42" i="2"/>
  <c r="DI40" i="2"/>
  <c r="AQ46" i="2"/>
  <c r="AQ44" i="2"/>
  <c r="AQ41" i="2"/>
  <c r="AQ53" i="2" s="1"/>
  <c r="AR46" i="2"/>
  <c r="AR44" i="2"/>
  <c r="AR41" i="2"/>
  <c r="AR53" i="2" s="1"/>
  <c r="AS48" i="2"/>
  <c r="AS46" i="2"/>
  <c r="AS44" i="2"/>
  <c r="AT48" i="2"/>
  <c r="AT46" i="2"/>
  <c r="AT44" i="2"/>
  <c r="DJ42" i="2"/>
  <c r="DJ40" i="2"/>
  <c r="DL18" i="2"/>
  <c r="DM18" i="2" s="1"/>
  <c r="AU46" i="2"/>
  <c r="AU44" i="2"/>
  <c r="CA54" i="2" l="1"/>
  <c r="CK39" i="2"/>
  <c r="CK41" i="2" s="1"/>
  <c r="CK45" i="2" s="1"/>
  <c r="CK47" i="2" s="1"/>
  <c r="CJ39" i="2"/>
  <c r="CJ41" i="2" s="1"/>
  <c r="CJ45" i="2" s="1"/>
  <c r="CJ47" i="2" s="1"/>
  <c r="CJ48" i="2" s="1"/>
  <c r="CJ54" i="2" s="1"/>
  <c r="CK3" i="2"/>
  <c r="CK58" i="2" s="1"/>
  <c r="DW9" i="2"/>
  <c r="DZ14" i="2"/>
  <c r="CH56" i="2"/>
  <c r="DT37" i="2"/>
  <c r="CI45" i="2"/>
  <c r="CI47" i="2" s="1"/>
  <c r="CI53" i="2"/>
  <c r="CG45" i="2"/>
  <c r="CG47" i="2" s="1"/>
  <c r="CG53" i="2"/>
  <c r="DK34" i="2"/>
  <c r="DK35" i="2"/>
  <c r="DK37" i="2"/>
  <c r="DL37" i="2" s="1"/>
  <c r="DM37" i="2" s="1"/>
  <c r="DJ39" i="2"/>
  <c r="DJ41" i="2" s="1"/>
  <c r="DJ53" i="2" s="1"/>
  <c r="DJ44" i="2"/>
  <c r="DI39" i="2"/>
  <c r="DI41" i="2" s="1"/>
  <c r="DI53" i="2" s="1"/>
  <c r="DI48" i="2"/>
  <c r="DI46" i="2"/>
  <c r="AR45" i="2"/>
  <c r="AR47" i="2" s="1"/>
  <c r="DI44" i="2"/>
  <c r="AQ45" i="2"/>
  <c r="AQ47" i="2" s="1"/>
  <c r="CK56" i="2" l="1"/>
  <c r="CJ40" i="2"/>
  <c r="CJ53" i="2"/>
  <c r="CJ56" i="2"/>
  <c r="CK53" i="2"/>
  <c r="CL3" i="2"/>
  <c r="CL58" i="2" s="1"/>
  <c r="DT11" i="2"/>
  <c r="CL39" i="2"/>
  <c r="DX9" i="2"/>
  <c r="EA14" i="2"/>
  <c r="CH53" i="2"/>
  <c r="CH45" i="2"/>
  <c r="CH47" i="2" s="1"/>
  <c r="CJ49" i="2"/>
  <c r="CJ50" i="2" s="1"/>
  <c r="CI54" i="2"/>
  <c r="CK40" i="2"/>
  <c r="CG54" i="2"/>
  <c r="CK48" i="2"/>
  <c r="CK54" i="2" s="1"/>
  <c r="DK27" i="2"/>
  <c r="DL27" i="2" s="1"/>
  <c r="DM27" i="2" s="1"/>
  <c r="DI45" i="2"/>
  <c r="DJ45" i="2"/>
  <c r="AR49" i="2"/>
  <c r="AR50" i="2" s="1"/>
  <c r="AR54" i="2"/>
  <c r="AQ54" i="2"/>
  <c r="AQ49" i="2"/>
  <c r="AQ50" i="2" s="1"/>
  <c r="AV48" i="2"/>
  <c r="AV46" i="2"/>
  <c r="AV44" i="2"/>
  <c r="AO38" i="2"/>
  <c r="BA46" i="2"/>
  <c r="BB44" i="2"/>
  <c r="BA44" i="2"/>
  <c r="AW48" i="2"/>
  <c r="AW46" i="2"/>
  <c r="AW44" i="2"/>
  <c r="AV41" i="2"/>
  <c r="AU41" i="2"/>
  <c r="AT41" i="2"/>
  <c r="AS41" i="2"/>
  <c r="DU11" i="2" l="1"/>
  <c r="DT3" i="2"/>
  <c r="CL41" i="2"/>
  <c r="CL56" i="2"/>
  <c r="CK49" i="2"/>
  <c r="CK50" i="2" s="1"/>
  <c r="DY9" i="2"/>
  <c r="EB14" i="2"/>
  <c r="CG49" i="2"/>
  <c r="CI49" i="2"/>
  <c r="CI50" i="2" s="1"/>
  <c r="CH54" i="2"/>
  <c r="AO39" i="2"/>
  <c r="DH38" i="2"/>
  <c r="DK46" i="2"/>
  <c r="DK33" i="2"/>
  <c r="DJ48" i="2"/>
  <c r="AS53" i="2"/>
  <c r="AS45" i="2"/>
  <c r="AS47" i="2" s="1"/>
  <c r="AU45" i="2"/>
  <c r="AU47" i="2" s="1"/>
  <c r="AU53" i="2"/>
  <c r="AT53" i="2"/>
  <c r="AT45" i="2"/>
  <c r="AT47" i="2" s="1"/>
  <c r="AW41" i="2"/>
  <c r="AW53" i="2" s="1"/>
  <c r="AV53" i="2"/>
  <c r="AV45" i="2"/>
  <c r="AV47" i="2" s="1"/>
  <c r="DK26" i="2"/>
  <c r="DK3" i="2" s="1"/>
  <c r="AX46" i="2"/>
  <c r="DJ46" i="2" s="1"/>
  <c r="DJ47" i="2" s="1"/>
  <c r="AX44" i="2"/>
  <c r="CL45" i="2" l="1"/>
  <c r="CL47" i="2" s="1"/>
  <c r="CL53" i="2"/>
  <c r="CL40" i="2"/>
  <c r="DV11" i="2"/>
  <c r="DU3" i="2"/>
  <c r="CG50" i="2"/>
  <c r="DZ9" i="2"/>
  <c r="EC14" i="2"/>
  <c r="CH49" i="2"/>
  <c r="CH50" i="2" s="1"/>
  <c r="BA39" i="2"/>
  <c r="BA40" i="2" s="1"/>
  <c r="BA41" i="2" s="1"/>
  <c r="DJ49" i="2"/>
  <c r="DJ50" i="2" s="1"/>
  <c r="AW45" i="2"/>
  <c r="AW47" i="2" s="1"/>
  <c r="AW54" i="2" s="1"/>
  <c r="DJ54" i="2"/>
  <c r="AV49" i="2"/>
  <c r="AV50" i="2" s="1"/>
  <c r="AV54" i="2"/>
  <c r="AU49" i="2"/>
  <c r="AU50" i="2" s="1"/>
  <c r="AU54" i="2"/>
  <c r="AT54" i="2"/>
  <c r="AT49" i="2"/>
  <c r="AT50" i="2" s="1"/>
  <c r="AS49" i="2"/>
  <c r="AS50" i="2" s="1"/>
  <c r="AS54" i="2"/>
  <c r="DK31" i="2"/>
  <c r="DK39" i="2" s="1"/>
  <c r="AX41" i="2"/>
  <c r="DW11" i="2" l="1"/>
  <c r="DV3" i="2"/>
  <c r="CL48" i="2"/>
  <c r="CL54" i="2" s="1"/>
  <c r="EA9" i="2"/>
  <c r="ED14" i="2"/>
  <c r="AW49" i="2"/>
  <c r="AW50" i="2" s="1"/>
  <c r="DK41" i="2"/>
  <c r="DK45" i="2" s="1"/>
  <c r="DK47" i="2" s="1"/>
  <c r="BB39" i="2"/>
  <c r="AY41" i="2"/>
  <c r="AY45" i="2" s="1"/>
  <c r="AX53" i="2"/>
  <c r="AX45" i="2"/>
  <c r="AX47" i="2" s="1"/>
  <c r="AO46" i="2"/>
  <c r="AJ90" i="2"/>
  <c r="AK90" i="2"/>
  <c r="AL90" i="2"/>
  <c r="AM90" i="2"/>
  <c r="AN90" i="2"/>
  <c r="AO90" i="2"/>
  <c r="AI90" i="2"/>
  <c r="AL85" i="2"/>
  <c r="AN85" i="2"/>
  <c r="AO81" i="2"/>
  <c r="AO85" i="2" s="1"/>
  <c r="AN74" i="2"/>
  <c r="AO62" i="2"/>
  <c r="AO65" i="2"/>
  <c r="CL49" i="2" l="1"/>
  <c r="CL50" i="2" s="1"/>
  <c r="DX11" i="2"/>
  <c r="DW3" i="2"/>
  <c r="EB9" i="2"/>
  <c r="EE14" i="2"/>
  <c r="DK40" i="2"/>
  <c r="AX49" i="2"/>
  <c r="AX50" i="2" s="1"/>
  <c r="AX54" i="2"/>
  <c r="BB41" i="2"/>
  <c r="AY53" i="2"/>
  <c r="AL91" i="2"/>
  <c r="AO91" i="2"/>
  <c r="AN91" i="2"/>
  <c r="AO74" i="2"/>
  <c r="AM85" i="2"/>
  <c r="AM91" i="2" s="1"/>
  <c r="AM74" i="2"/>
  <c r="DY11" i="2" l="1"/>
  <c r="DX3" i="2"/>
  <c r="EC9" i="2"/>
  <c r="EF14" i="2"/>
  <c r="AY47" i="2"/>
  <c r="AY49" i="2" s="1"/>
  <c r="AY50" i="2" s="1"/>
  <c r="BB53" i="2"/>
  <c r="BB45" i="2"/>
  <c r="BB47" i="2" s="1"/>
  <c r="BB54" i="2" s="1"/>
  <c r="BA45" i="2"/>
  <c r="BA47" i="2" s="1"/>
  <c r="BA53" i="2"/>
  <c r="AM46" i="2"/>
  <c r="AM47" i="2" s="1"/>
  <c r="AM49" i="2" s="1"/>
  <c r="DZ11" i="2" l="1"/>
  <c r="DY3" i="2"/>
  <c r="ED9" i="2"/>
  <c r="AY54" i="2"/>
  <c r="BB49" i="2"/>
  <c r="BB50" i="2" s="1"/>
  <c r="BA48" i="2"/>
  <c r="DH43" i="2"/>
  <c r="AL46" i="2"/>
  <c r="AL47" i="2" s="1"/>
  <c r="AL49" i="2" s="1"/>
  <c r="EA11" i="2" l="1"/>
  <c r="DZ3" i="2"/>
  <c r="EE9" i="2"/>
  <c r="BA54" i="2"/>
  <c r="DK48" i="2"/>
  <c r="DK49" i="2" s="1"/>
  <c r="DK50" i="2" s="1"/>
  <c r="BA49" i="2"/>
  <c r="EB11" i="2" l="1"/>
  <c r="EA3" i="2"/>
  <c r="EF9" i="2"/>
  <c r="BA50" i="2"/>
  <c r="BA61" i="2"/>
  <c r="BB61" i="2" s="1"/>
  <c r="DK61" i="2" s="1"/>
  <c r="DL46" i="2" s="1"/>
  <c r="DD37" i="2"/>
  <c r="DD34" i="2"/>
  <c r="DD31" i="2"/>
  <c r="DD33" i="2"/>
  <c r="DD26" i="2"/>
  <c r="DD17" i="2"/>
  <c r="DE51" i="2"/>
  <c r="DE34" i="2"/>
  <c r="DE31" i="2"/>
  <c r="DE33" i="2"/>
  <c r="DE26" i="2"/>
  <c r="DE17" i="2"/>
  <c r="AA48" i="2"/>
  <c r="AA46" i="2"/>
  <c r="AA43" i="2"/>
  <c r="AA42" i="2"/>
  <c r="AA40" i="2"/>
  <c r="AB48" i="2"/>
  <c r="AB46" i="2"/>
  <c r="AC48" i="2"/>
  <c r="AC46" i="2"/>
  <c r="AC43" i="2"/>
  <c r="AC42" i="2"/>
  <c r="AC40" i="2"/>
  <c r="AD48" i="2"/>
  <c r="AD46" i="2"/>
  <c r="AE40" i="2"/>
  <c r="AE41" i="2" s="1"/>
  <c r="AE45" i="2" s="1"/>
  <c r="AF40" i="2"/>
  <c r="AF41" i="2" s="1"/>
  <c r="AF45" i="2" s="1"/>
  <c r="AG46" i="2"/>
  <c r="AG47" i="2" s="1"/>
  <c r="AG49" i="2" s="1"/>
  <c r="DG51" i="2"/>
  <c r="DF51" i="2"/>
  <c r="DF43" i="2"/>
  <c r="DF42" i="2"/>
  <c r="AN39" i="2"/>
  <c r="AN41" i="2" s="1"/>
  <c r="AN45" i="2" s="1"/>
  <c r="AN47" i="2" s="1"/>
  <c r="AN51" i="2"/>
  <c r="AK46" i="2"/>
  <c r="AK47" i="2" s="1"/>
  <c r="AK49" i="2" s="1"/>
  <c r="DH51" i="2"/>
  <c r="DL51" i="2" s="1"/>
  <c r="DM51" i="2" s="1"/>
  <c r="DN51" i="2" s="1"/>
  <c r="DO51" i="2" s="1"/>
  <c r="DP51" i="2" s="1"/>
  <c r="DQ51" i="2" s="1"/>
  <c r="DR51" i="2" s="1"/>
  <c r="DS51" i="2" s="1"/>
  <c r="DT51" i="2" s="1"/>
  <c r="DU51" i="2" s="1"/>
  <c r="DV51" i="2" s="1"/>
  <c r="AI74" i="2"/>
  <c r="AJ74" i="2"/>
  <c r="AK74" i="2"/>
  <c r="DG37" i="2"/>
  <c r="DG26" i="2"/>
  <c r="AJ46" i="2"/>
  <c r="AJ47" i="2" s="1"/>
  <c r="AJ49" i="2" s="1"/>
  <c r="DF38" i="2"/>
  <c r="DF37" i="2"/>
  <c r="DF35" i="2"/>
  <c r="DF34" i="2"/>
  <c r="DF31" i="2"/>
  <c r="DF33" i="2"/>
  <c r="DF26" i="2"/>
  <c r="DF17" i="2"/>
  <c r="AH46" i="2"/>
  <c r="AH47" i="2" s="1"/>
  <c r="AH49" i="2" s="1"/>
  <c r="AI46" i="2"/>
  <c r="AI47" i="2" s="1"/>
  <c r="AI49" i="2" s="1"/>
  <c r="AD16" i="2"/>
  <c r="AD15" i="2"/>
  <c r="AE46" i="2"/>
  <c r="AF46" i="2"/>
  <c r="AC15" i="2"/>
  <c r="AC16" i="2"/>
  <c r="Y38" i="2"/>
  <c r="DD38" i="2" s="1"/>
  <c r="Y44" i="2"/>
  <c r="Y46" i="2"/>
  <c r="AB15" i="2"/>
  <c r="AB16" i="2"/>
  <c r="W51" i="2"/>
  <c r="DD51" i="2" s="1"/>
  <c r="X16" i="2"/>
  <c r="X15" i="2"/>
  <c r="AB40" i="2"/>
  <c r="AB43" i="2"/>
  <c r="AB42" i="2"/>
  <c r="X40" i="2"/>
  <c r="X44" i="2"/>
  <c r="X46" i="2"/>
  <c r="X48" i="2"/>
  <c r="AA37" i="2"/>
  <c r="AA38" i="2"/>
  <c r="DE38" i="2" s="1"/>
  <c r="Z39" i="2"/>
  <c r="W39" i="2"/>
  <c r="V39" i="2"/>
  <c r="S39" i="2"/>
  <c r="R39" i="2"/>
  <c r="Q39" i="2"/>
  <c r="AD44" i="2"/>
  <c r="Z44" i="2"/>
  <c r="Z46" i="2"/>
  <c r="DC51" i="2"/>
  <c r="S40" i="2"/>
  <c r="S43" i="2"/>
  <c r="S42" i="2"/>
  <c r="S48" i="2"/>
  <c r="T38" i="2"/>
  <c r="DC38" i="2" s="1"/>
  <c r="T40" i="2"/>
  <c r="T43" i="2"/>
  <c r="T42" i="2"/>
  <c r="T46" i="2"/>
  <c r="T48" i="2"/>
  <c r="U40" i="2"/>
  <c r="U43" i="2"/>
  <c r="U42" i="2"/>
  <c r="U46" i="2"/>
  <c r="U48" i="2"/>
  <c r="V40" i="2"/>
  <c r="V43" i="2"/>
  <c r="V42" i="2"/>
  <c r="V46" i="2"/>
  <c r="V48" i="2"/>
  <c r="W40" i="2"/>
  <c r="W43" i="2"/>
  <c r="DD43" i="2" s="1"/>
  <c r="W42" i="2"/>
  <c r="DD42" i="2" s="1"/>
  <c r="W46" i="2"/>
  <c r="W48" i="2"/>
  <c r="AR133" i="6"/>
  <c r="U121" i="6"/>
  <c r="U108" i="6"/>
  <c r="H108" i="6"/>
  <c r="H121" i="6"/>
  <c r="F133" i="6"/>
  <c r="BA133" i="6"/>
  <c r="AR124" i="6"/>
  <c r="AR128" i="6"/>
  <c r="AR111" i="6"/>
  <c r="AR115" i="6"/>
  <c r="AR120" i="6"/>
  <c r="AW133" i="6"/>
  <c r="F124" i="6"/>
  <c r="F128" i="6"/>
  <c r="BA132" i="6"/>
  <c r="AW132" i="6"/>
  <c r="BA131" i="6"/>
  <c r="AW131" i="6"/>
  <c r="BA130" i="6"/>
  <c r="AR76" i="6"/>
  <c r="AR81" i="6"/>
  <c r="AW130" i="6"/>
  <c r="BA129" i="6"/>
  <c r="AW129" i="6"/>
  <c r="BA128" i="6"/>
  <c r="AW128" i="6"/>
  <c r="BA127" i="6"/>
  <c r="AW127" i="6"/>
  <c r="BA126" i="6"/>
  <c r="AR72" i="6"/>
  <c r="AS81" i="6" s="1"/>
  <c r="AU81" i="6" s="1"/>
  <c r="AW126" i="6"/>
  <c r="BA125" i="6"/>
  <c r="AW125" i="6"/>
  <c r="BA124" i="6"/>
  <c r="AW124" i="6"/>
  <c r="BA123" i="6"/>
  <c r="AW123" i="6"/>
  <c r="BA122" i="6"/>
  <c r="AR68" i="6"/>
  <c r="AW122" i="6"/>
  <c r="BA121" i="6"/>
  <c r="AW121" i="6"/>
  <c r="BA120" i="6"/>
  <c r="AR98" i="6"/>
  <c r="AX98" i="6" s="1"/>
  <c r="AR102" i="6"/>
  <c r="AR107" i="6"/>
  <c r="AW120" i="6"/>
  <c r="F111" i="6"/>
  <c r="L115" i="6" s="1"/>
  <c r="F115" i="6"/>
  <c r="F120" i="6"/>
  <c r="BA119" i="6"/>
  <c r="AW119" i="6"/>
  <c r="BA118" i="6"/>
  <c r="AW118" i="6"/>
  <c r="BA117" i="6"/>
  <c r="AR63" i="6"/>
  <c r="AW117" i="6"/>
  <c r="BA116" i="6"/>
  <c r="AW116" i="6"/>
  <c r="BA115" i="6"/>
  <c r="AW115" i="6"/>
  <c r="BA114" i="6"/>
  <c r="AW114" i="6"/>
  <c r="BA113" i="6"/>
  <c r="AR59" i="6"/>
  <c r="AW113" i="6"/>
  <c r="BA112" i="6"/>
  <c r="AW112" i="6"/>
  <c r="BA111" i="6"/>
  <c r="AW111" i="6"/>
  <c r="BA110" i="6"/>
  <c r="AW110" i="6"/>
  <c r="BA109" i="6"/>
  <c r="AR55" i="6"/>
  <c r="AW109" i="6"/>
  <c r="BA108" i="6"/>
  <c r="AW108" i="6"/>
  <c r="BA107" i="6"/>
  <c r="AR85" i="6"/>
  <c r="AX85" i="6" s="1"/>
  <c r="AR89" i="6"/>
  <c r="AR94" i="6"/>
  <c r="AW107" i="6"/>
  <c r="F98" i="6"/>
  <c r="F102" i="6"/>
  <c r="L102" i="6" s="1"/>
  <c r="F107" i="6"/>
  <c r="BA106" i="6"/>
  <c r="AW106" i="6"/>
  <c r="BA105" i="6"/>
  <c r="AR50" i="6"/>
  <c r="AW105" i="6"/>
  <c r="BA104" i="6"/>
  <c r="AW104" i="6"/>
  <c r="BA103" i="6"/>
  <c r="AW103" i="6"/>
  <c r="BA102" i="6"/>
  <c r="AW102" i="6"/>
  <c r="BA101" i="6"/>
  <c r="AW101" i="6"/>
  <c r="BA100" i="6"/>
  <c r="AR46" i="6"/>
  <c r="AW100" i="6"/>
  <c r="BA99" i="6"/>
  <c r="AW99" i="6"/>
  <c r="BA98" i="6"/>
  <c r="AW98" i="6"/>
  <c r="BA97" i="6"/>
  <c r="AW97" i="6"/>
  <c r="BA96" i="6"/>
  <c r="AR42" i="6"/>
  <c r="AW96" i="6"/>
  <c r="BA95" i="6"/>
  <c r="AW95" i="6"/>
  <c r="BA94" i="6"/>
  <c r="AW94" i="6"/>
  <c r="F85" i="6"/>
  <c r="F89" i="6"/>
  <c r="F94" i="6"/>
  <c r="BA93" i="6"/>
  <c r="AW93" i="6"/>
  <c r="BA92" i="6"/>
  <c r="AW92" i="6"/>
  <c r="BA91" i="6"/>
  <c r="AR37" i="6"/>
  <c r="AW91" i="6"/>
  <c r="BA90" i="6"/>
  <c r="AW90" i="6"/>
  <c r="BA89" i="6"/>
  <c r="AW89" i="6"/>
  <c r="BA88" i="6"/>
  <c r="AW88" i="6"/>
  <c r="BA87" i="6"/>
  <c r="AR33" i="6"/>
  <c r="AW87" i="6"/>
  <c r="BA86" i="6"/>
  <c r="AW86" i="6"/>
  <c r="BA85" i="6"/>
  <c r="AW85" i="6"/>
  <c r="BA84" i="6"/>
  <c r="AW84" i="6"/>
  <c r="BA83" i="6"/>
  <c r="AR28" i="6"/>
  <c r="AW83" i="6"/>
  <c r="BA82" i="6"/>
  <c r="AW82" i="6"/>
  <c r="BA81" i="6"/>
  <c r="AW81" i="6"/>
  <c r="F72" i="6"/>
  <c r="N70" i="6" s="1"/>
  <c r="F76" i="6"/>
  <c r="L76" i="6" s="1"/>
  <c r="F81" i="6"/>
  <c r="L81" i="6" s="1"/>
  <c r="BA80" i="6"/>
  <c r="AW80" i="6"/>
  <c r="BA79" i="6"/>
  <c r="AW79" i="6"/>
  <c r="BA78" i="6"/>
  <c r="AR24" i="6"/>
  <c r="AW78" i="6"/>
  <c r="BA77" i="6"/>
  <c r="AW77" i="6"/>
  <c r="BA76" i="6"/>
  <c r="AW76" i="6"/>
  <c r="BA75" i="6"/>
  <c r="AW75" i="6"/>
  <c r="BA74" i="6"/>
  <c r="AR20" i="6"/>
  <c r="AW74" i="6"/>
  <c r="BA73" i="6"/>
  <c r="AW73" i="6"/>
  <c r="BA72" i="6"/>
  <c r="AW72" i="6"/>
  <c r="BA71" i="6"/>
  <c r="AW71" i="6"/>
  <c r="BA70" i="6"/>
  <c r="AR15" i="6"/>
  <c r="AW70" i="6"/>
  <c r="BA69" i="6"/>
  <c r="AW69" i="6"/>
  <c r="BA68" i="6"/>
  <c r="AW68" i="6"/>
  <c r="F59" i="6"/>
  <c r="F63" i="6"/>
  <c r="L68" i="6" s="1"/>
  <c r="F68" i="6"/>
  <c r="BA67" i="6"/>
  <c r="AW67" i="6"/>
  <c r="BA66" i="6"/>
  <c r="AW66" i="6"/>
  <c r="BA65" i="6"/>
  <c r="AR11" i="6"/>
  <c r="AW65" i="6"/>
  <c r="BA64" i="6"/>
  <c r="AW64" i="6"/>
  <c r="BA63" i="6"/>
  <c r="AW63" i="6"/>
  <c r="BA62" i="6"/>
  <c r="AW62" i="6"/>
  <c r="BA61" i="6"/>
  <c r="AW61" i="6"/>
  <c r="BA60" i="6"/>
  <c r="AW60" i="6"/>
  <c r="BA59" i="6"/>
  <c r="AW59" i="6"/>
  <c r="BA58" i="6"/>
  <c r="AW58" i="6"/>
  <c r="BA57" i="6"/>
  <c r="AW57" i="6"/>
  <c r="BA56" i="6"/>
  <c r="AW56" i="6"/>
  <c r="AW55" i="6"/>
  <c r="F46" i="6"/>
  <c r="F50" i="6"/>
  <c r="F55" i="6"/>
  <c r="L55" i="6" s="1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F33" i="6"/>
  <c r="F37" i="6"/>
  <c r="F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R7" i="6"/>
  <c r="AW28" i="6"/>
  <c r="F20" i="6"/>
  <c r="F24" i="6"/>
  <c r="F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F7" i="6"/>
  <c r="F11" i="6"/>
  <c r="L11" i="6" s="1"/>
  <c r="F15" i="6"/>
  <c r="AW14" i="6"/>
  <c r="AW13" i="6"/>
  <c r="AW12" i="6"/>
  <c r="AW11" i="6"/>
  <c r="AW10" i="6"/>
  <c r="AW9" i="6"/>
  <c r="AW8" i="6"/>
  <c r="AW7" i="6"/>
  <c r="AW6" i="6"/>
  <c r="AW5" i="6"/>
  <c r="AN133" i="6"/>
  <c r="AE124" i="6"/>
  <c r="AE128" i="6"/>
  <c r="AE133" i="6"/>
  <c r="AK133" i="6" s="1"/>
  <c r="AE111" i="6"/>
  <c r="AE115" i="6"/>
  <c r="AE120" i="6"/>
  <c r="AJ133" i="6"/>
  <c r="AN132" i="6"/>
  <c r="AJ132" i="6"/>
  <c r="AN131" i="6"/>
  <c r="AJ131" i="6"/>
  <c r="AN130" i="6"/>
  <c r="AE76" i="6"/>
  <c r="AE81" i="6"/>
  <c r="AJ130" i="6"/>
  <c r="AN129" i="6"/>
  <c r="AJ129" i="6"/>
  <c r="AN128" i="6"/>
  <c r="AJ128" i="6"/>
  <c r="AN127" i="6"/>
  <c r="AJ127" i="6"/>
  <c r="AN126" i="6"/>
  <c r="AE72" i="6"/>
  <c r="AK76" i="6" s="1"/>
  <c r="AJ126" i="6"/>
  <c r="AN125" i="6"/>
  <c r="AJ125" i="6"/>
  <c r="AN124" i="6"/>
  <c r="AJ124" i="6"/>
  <c r="AN123" i="6"/>
  <c r="AJ123" i="6"/>
  <c r="AN122" i="6"/>
  <c r="AE68" i="6"/>
  <c r="AJ122" i="6"/>
  <c r="AN121" i="6"/>
  <c r="AJ121" i="6"/>
  <c r="AN120" i="6"/>
  <c r="AE98" i="6"/>
  <c r="AE102" i="6"/>
  <c r="AE107" i="6"/>
  <c r="AK111" i="6" s="1"/>
  <c r="AJ120" i="6"/>
  <c r="AN119" i="6"/>
  <c r="AJ119" i="6"/>
  <c r="AN118" i="6"/>
  <c r="AJ118" i="6"/>
  <c r="AN117" i="6"/>
  <c r="AE63" i="6"/>
  <c r="AJ117" i="6"/>
  <c r="AN116" i="6"/>
  <c r="AJ116" i="6"/>
  <c r="AN115" i="6"/>
  <c r="AJ115" i="6"/>
  <c r="AN114" i="6"/>
  <c r="AJ114" i="6"/>
  <c r="AN113" i="6"/>
  <c r="AE59" i="6"/>
  <c r="AJ113" i="6"/>
  <c r="AN112" i="6"/>
  <c r="AJ112" i="6"/>
  <c r="AN111" i="6"/>
  <c r="AJ111" i="6"/>
  <c r="AN110" i="6"/>
  <c r="AJ110" i="6"/>
  <c r="AN109" i="6"/>
  <c r="AE55" i="6"/>
  <c r="AK55" i="6" s="1"/>
  <c r="AJ109" i="6"/>
  <c r="AN108" i="6"/>
  <c r="AJ108" i="6"/>
  <c r="AN107" i="6"/>
  <c r="AE85" i="6"/>
  <c r="AE89" i="6"/>
  <c r="AK89" i="6" s="1"/>
  <c r="AE94" i="6"/>
  <c r="AJ107" i="6"/>
  <c r="AN106" i="6"/>
  <c r="AJ106" i="6"/>
  <c r="AN105" i="6"/>
  <c r="AE50" i="6"/>
  <c r="AJ105" i="6"/>
  <c r="AN104" i="6"/>
  <c r="AJ104" i="6"/>
  <c r="AN103" i="6"/>
  <c r="AJ103" i="6"/>
  <c r="AN102" i="6"/>
  <c r="AJ102" i="6"/>
  <c r="AN101" i="6"/>
  <c r="AJ101" i="6"/>
  <c r="AN100" i="6"/>
  <c r="AE46" i="6"/>
  <c r="AJ100" i="6"/>
  <c r="AN99" i="6"/>
  <c r="AJ99" i="6"/>
  <c r="AN98" i="6"/>
  <c r="AJ98" i="6"/>
  <c r="AN97" i="6"/>
  <c r="AJ97" i="6"/>
  <c r="AN96" i="6"/>
  <c r="AE42" i="6"/>
  <c r="AK42" i="6" s="1"/>
  <c r="AJ96" i="6"/>
  <c r="AN95" i="6"/>
  <c r="AJ95" i="6"/>
  <c r="AN94" i="6"/>
  <c r="AJ94" i="6"/>
  <c r="AN93" i="6"/>
  <c r="AJ93" i="6"/>
  <c r="AN92" i="6"/>
  <c r="AJ92" i="6"/>
  <c r="AN91" i="6"/>
  <c r="AE37" i="6"/>
  <c r="AJ91" i="6"/>
  <c r="AN90" i="6"/>
  <c r="AJ90" i="6"/>
  <c r="AN89" i="6"/>
  <c r="AJ89" i="6"/>
  <c r="AN88" i="6"/>
  <c r="AJ88" i="6"/>
  <c r="AN87" i="6"/>
  <c r="AE33" i="6"/>
  <c r="AJ87" i="6"/>
  <c r="AN86" i="6"/>
  <c r="AJ86" i="6"/>
  <c r="AN85" i="6"/>
  <c r="AJ85" i="6"/>
  <c r="AN84" i="6"/>
  <c r="AJ84" i="6"/>
  <c r="AN83" i="6"/>
  <c r="AE28" i="6"/>
  <c r="AJ83" i="6"/>
  <c r="AN82" i="6"/>
  <c r="AJ82" i="6"/>
  <c r="AN81" i="6"/>
  <c r="AJ81" i="6"/>
  <c r="AN80" i="6"/>
  <c r="AJ80" i="6"/>
  <c r="AN79" i="6"/>
  <c r="AJ79" i="6"/>
  <c r="AN78" i="6"/>
  <c r="AE24" i="6"/>
  <c r="AJ78" i="6"/>
  <c r="AN77" i="6"/>
  <c r="AJ77" i="6"/>
  <c r="AN76" i="6"/>
  <c r="AJ76" i="6"/>
  <c r="AN75" i="6"/>
  <c r="AJ75" i="6"/>
  <c r="AN74" i="6"/>
  <c r="AE20" i="6"/>
  <c r="AJ74" i="6"/>
  <c r="AN73" i="6"/>
  <c r="AJ73" i="6"/>
  <c r="AN72" i="6"/>
  <c r="AJ72" i="6"/>
  <c r="AN71" i="6"/>
  <c r="AJ71" i="6"/>
  <c r="AN70" i="6"/>
  <c r="AE15" i="6"/>
  <c r="AJ70" i="6"/>
  <c r="AN69" i="6"/>
  <c r="AJ69" i="6"/>
  <c r="AN68" i="6"/>
  <c r="AJ68" i="6"/>
  <c r="AN67" i="6"/>
  <c r="AJ67" i="6"/>
  <c r="AN66" i="6"/>
  <c r="AJ66" i="6"/>
  <c r="AN65" i="6"/>
  <c r="AE11" i="6"/>
  <c r="AK11" i="6" s="1"/>
  <c r="AJ65" i="6"/>
  <c r="AN64" i="6"/>
  <c r="AJ64" i="6"/>
  <c r="AN63" i="6"/>
  <c r="AJ63" i="6"/>
  <c r="AN62" i="6"/>
  <c r="AJ62" i="6"/>
  <c r="AN61" i="6"/>
  <c r="AJ61" i="6"/>
  <c r="AN60" i="6"/>
  <c r="AJ60" i="6"/>
  <c r="AN59" i="6"/>
  <c r="AJ59" i="6"/>
  <c r="AN58" i="6"/>
  <c r="AJ58" i="6"/>
  <c r="AN57" i="6"/>
  <c r="AJ57" i="6"/>
  <c r="AN56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E7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S124" i="6"/>
  <c r="S128" i="6"/>
  <c r="S133" i="6"/>
  <c r="S111" i="6"/>
  <c r="S115" i="6"/>
  <c r="S120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S98" i="6"/>
  <c r="S102" i="6"/>
  <c r="S107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S85" i="6"/>
  <c r="S89" i="6"/>
  <c r="S94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O133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5" i="6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E14" i="27"/>
  <c r="E16" i="27" s="1"/>
  <c r="E18" i="27" s="1"/>
  <c r="D16" i="27"/>
  <c r="D18" i="27" s="1"/>
  <c r="K12" i="18"/>
  <c r="J12" i="18"/>
  <c r="C18" i="18"/>
  <c r="D17" i="18" s="1"/>
  <c r="L39" i="2"/>
  <c r="M39" i="2"/>
  <c r="I39" i="2"/>
  <c r="J39" i="2"/>
  <c r="P46" i="2"/>
  <c r="C39" i="2"/>
  <c r="DC31" i="2"/>
  <c r="DC33" i="2"/>
  <c r="DC26" i="2"/>
  <c r="DC17" i="2"/>
  <c r="DC15" i="2"/>
  <c r="CV44" i="2"/>
  <c r="CV45" i="2" s="1"/>
  <c r="CW44" i="2"/>
  <c r="CW45" i="2" s="1"/>
  <c r="CW47" i="2" s="1"/>
  <c r="CW49" i="2" s="1"/>
  <c r="CX44" i="2"/>
  <c r="CX45" i="2" s="1"/>
  <c r="CX47" i="2" s="1"/>
  <c r="CY44" i="2"/>
  <c r="CY45" i="2" s="1"/>
  <c r="CZ44" i="2"/>
  <c r="CZ45" i="2" s="1"/>
  <c r="DA44" i="2"/>
  <c r="DA45" i="2" s="1"/>
  <c r="DA47" i="2" s="1"/>
  <c r="DB44" i="2"/>
  <c r="DB45" i="2" s="1"/>
  <c r="L20" i="6"/>
  <c r="AX28" i="6"/>
  <c r="AX11" i="6"/>
  <c r="AX107" i="6"/>
  <c r="AX115" i="6"/>
  <c r="L89" i="6"/>
  <c r="AX42" i="6"/>
  <c r="AX50" i="6"/>
  <c r="F14" i="27"/>
  <c r="F16" i="27" s="1"/>
  <c r="F18" i="27" s="1"/>
  <c r="DG31" i="2"/>
  <c r="DG42" i="2"/>
  <c r="DG35" i="2"/>
  <c r="DG38" i="2"/>
  <c r="DG34" i="2"/>
  <c r="DG33" i="2"/>
  <c r="DG43" i="2"/>
  <c r="EC11" i="2" l="1"/>
  <c r="EB3" i="2"/>
  <c r="AF47" i="2"/>
  <c r="AF49" i="2" s="1"/>
  <c r="DC39" i="2"/>
  <c r="L85" i="6"/>
  <c r="AF55" i="6"/>
  <c r="AH55" i="6" s="1"/>
  <c r="L15" i="6"/>
  <c r="G94" i="6"/>
  <c r="W91" i="6" s="1"/>
  <c r="AZ78" i="6"/>
  <c r="L72" i="6"/>
  <c r="Y89" i="6"/>
  <c r="AK59" i="6"/>
  <c r="DD39" i="2"/>
  <c r="AX46" i="6"/>
  <c r="Y128" i="6"/>
  <c r="AZ83" i="6"/>
  <c r="L63" i="6"/>
  <c r="AX24" i="6"/>
  <c r="N96" i="6"/>
  <c r="AS120" i="6"/>
  <c r="AU120" i="6" s="1"/>
  <c r="AE47" i="2"/>
  <c r="AE49" i="2" s="1"/>
  <c r="AK28" i="6"/>
  <c r="AM126" i="6"/>
  <c r="AX89" i="6"/>
  <c r="AZ65" i="6"/>
  <c r="J84" i="6"/>
  <c r="AZ96" i="6"/>
  <c r="AK124" i="6"/>
  <c r="AX33" i="6"/>
  <c r="AX120" i="6"/>
  <c r="AS94" i="6"/>
  <c r="AU94" i="6" s="1"/>
  <c r="Y94" i="6"/>
  <c r="AK50" i="6"/>
  <c r="T94" i="6"/>
  <c r="V94" i="6" s="1"/>
  <c r="G15" i="6"/>
  <c r="J8" i="6" s="1"/>
  <c r="N87" i="6"/>
  <c r="AZ100" i="6"/>
  <c r="AS42" i="6"/>
  <c r="AU42" i="6" s="1"/>
  <c r="AX102" i="6"/>
  <c r="AZ74" i="6"/>
  <c r="L107" i="6"/>
  <c r="Y107" i="6"/>
  <c r="L50" i="6"/>
  <c r="N113" i="6"/>
  <c r="AK20" i="6"/>
  <c r="AM96" i="6"/>
  <c r="AM78" i="6"/>
  <c r="AZ91" i="6"/>
  <c r="N105" i="6"/>
  <c r="L24" i="6"/>
  <c r="AX37" i="6"/>
  <c r="D16" i="18"/>
  <c r="L59" i="6"/>
  <c r="N109" i="6"/>
  <c r="Y124" i="6"/>
  <c r="T133" i="6"/>
  <c r="U133" i="6" s="1"/>
  <c r="U134" i="6" s="1"/>
  <c r="AK46" i="6"/>
  <c r="Y98" i="6"/>
  <c r="T107" i="6"/>
  <c r="AK120" i="6"/>
  <c r="AV7" i="6"/>
  <c r="AX124" i="6"/>
  <c r="AX128" i="6"/>
  <c r="AV92" i="6"/>
  <c r="AV88" i="6"/>
  <c r="W90" i="6"/>
  <c r="AM109" i="6"/>
  <c r="AF81" i="6"/>
  <c r="AH81" i="6" s="1"/>
  <c r="AK72" i="6"/>
  <c r="AX133" i="6"/>
  <c r="AZ130" i="6"/>
  <c r="J88" i="6"/>
  <c r="L28" i="6"/>
  <c r="AM74" i="6"/>
  <c r="AM91" i="6"/>
  <c r="AS133" i="6"/>
  <c r="AT133" i="6" s="1"/>
  <c r="AF94" i="6"/>
  <c r="AK98" i="6"/>
  <c r="AK115" i="6"/>
  <c r="AF120" i="6"/>
  <c r="AH120" i="6" s="1"/>
  <c r="AS107" i="6"/>
  <c r="AU107" i="6" s="1"/>
  <c r="AZ109" i="6"/>
  <c r="L133" i="6"/>
  <c r="G133" i="6"/>
  <c r="AV125" i="6" s="1"/>
  <c r="I94" i="6"/>
  <c r="W85" i="6"/>
  <c r="AZ105" i="6"/>
  <c r="AM70" i="6"/>
  <c r="AK94" i="6"/>
  <c r="AK15" i="6"/>
  <c r="G68" i="6"/>
  <c r="AI64" i="6" s="1"/>
  <c r="N65" i="6"/>
  <c r="AS28" i="6"/>
  <c r="AU28" i="6" s="1"/>
  <c r="AX20" i="6"/>
  <c r="N74" i="6"/>
  <c r="G81" i="6"/>
  <c r="AV75" i="6" s="1"/>
  <c r="L98" i="6"/>
  <c r="L94" i="6"/>
  <c r="AX111" i="6"/>
  <c r="AM87" i="6"/>
  <c r="Y133" i="6"/>
  <c r="AF15" i="6"/>
  <c r="AH15" i="6" s="1"/>
  <c r="AM113" i="6"/>
  <c r="AM100" i="6"/>
  <c r="AX55" i="6"/>
  <c r="L111" i="6"/>
  <c r="AX59" i="6"/>
  <c r="N122" i="6"/>
  <c r="AS55" i="6"/>
  <c r="AU55" i="6" s="1"/>
  <c r="G120" i="6"/>
  <c r="AV120" i="6" s="1"/>
  <c r="AZ126" i="6"/>
  <c r="AX76" i="6"/>
  <c r="AZ113" i="6"/>
  <c r="AX81" i="6"/>
  <c r="AZ87" i="6"/>
  <c r="AM122" i="6"/>
  <c r="Y102" i="6"/>
  <c r="Y115" i="6"/>
  <c r="AS15" i="6"/>
  <c r="AX15" i="6"/>
  <c r="AJ85" i="2"/>
  <c r="AJ91" i="2" s="1"/>
  <c r="AK85" i="2"/>
  <c r="AK91" i="2" s="1"/>
  <c r="AI85" i="2"/>
  <c r="AI91" i="2" s="1"/>
  <c r="AA39" i="2"/>
  <c r="S44" i="2"/>
  <c r="DC42" i="2"/>
  <c r="DA53" i="2"/>
  <c r="U44" i="2"/>
  <c r="DG46" i="2"/>
  <c r="DF44" i="2"/>
  <c r="E39" i="2"/>
  <c r="E41" i="2" s="1"/>
  <c r="E44" i="2" s="1"/>
  <c r="E45" i="2" s="1"/>
  <c r="P39" i="2"/>
  <c r="P41" i="2" s="1"/>
  <c r="P44" i="2" s="1"/>
  <c r="P45" i="2" s="1"/>
  <c r="P47" i="2" s="1"/>
  <c r="V44" i="2"/>
  <c r="DF46" i="2"/>
  <c r="DN44" i="2"/>
  <c r="DE43" i="2"/>
  <c r="T44" i="2"/>
  <c r="DF48" i="2"/>
  <c r="AC44" i="2"/>
  <c r="F39" i="2"/>
  <c r="F53" i="2" s="1"/>
  <c r="G39" i="2"/>
  <c r="G41" i="2" s="1"/>
  <c r="G44" i="2" s="1"/>
  <c r="G45" i="2" s="1"/>
  <c r="Y39" i="2"/>
  <c r="Y41" i="2" s="1"/>
  <c r="Y45" i="2" s="1"/>
  <c r="AA44" i="2"/>
  <c r="W44" i="2"/>
  <c r="W41" i="2"/>
  <c r="CW50" i="2"/>
  <c r="U39" i="2"/>
  <c r="CW54" i="2"/>
  <c r="N39" i="2"/>
  <c r="H39" i="2"/>
  <c r="I53" i="2"/>
  <c r="D39" i="2"/>
  <c r="D53" i="2" s="1"/>
  <c r="I41" i="2"/>
  <c r="I44" i="2" s="1"/>
  <c r="I45" i="2" s="1"/>
  <c r="DE37" i="2"/>
  <c r="DC43" i="2"/>
  <c r="L41" i="2"/>
  <c r="L44" i="2" s="1"/>
  <c r="L45" i="2" s="1"/>
  <c r="L47" i="2" s="1"/>
  <c r="L53" i="2"/>
  <c r="AV89" i="6"/>
  <c r="AV91" i="6"/>
  <c r="W86" i="6"/>
  <c r="AI91" i="6"/>
  <c r="J85" i="6"/>
  <c r="AI94" i="6"/>
  <c r="J94" i="6"/>
  <c r="AV93" i="6"/>
  <c r="AI88" i="6"/>
  <c r="AV133" i="6"/>
  <c r="AM130" i="6"/>
  <c r="AK128" i="6"/>
  <c r="L33" i="6"/>
  <c r="G28" i="6"/>
  <c r="AZ70" i="6"/>
  <c r="AZ122" i="6"/>
  <c r="AX68" i="6"/>
  <c r="AX72" i="6"/>
  <c r="Z41" i="2"/>
  <c r="G14" i="27"/>
  <c r="AI85" i="6"/>
  <c r="J93" i="6"/>
  <c r="AI87" i="6"/>
  <c r="J90" i="6"/>
  <c r="W88" i="6"/>
  <c r="J91" i="6"/>
  <c r="W84" i="6"/>
  <c r="J82" i="6"/>
  <c r="J92" i="6"/>
  <c r="AS68" i="6"/>
  <c r="AY81" i="6" s="1"/>
  <c r="AU15" i="6"/>
  <c r="AI123" i="6"/>
  <c r="AF68" i="6"/>
  <c r="AI84" i="6"/>
  <c r="AV84" i="6"/>
  <c r="J87" i="6"/>
  <c r="AI90" i="6"/>
  <c r="AI93" i="6"/>
  <c r="AV86" i="6"/>
  <c r="AV82" i="6"/>
  <c r="AI89" i="6"/>
  <c r="W87" i="6"/>
  <c r="AV94" i="6"/>
  <c r="AI86" i="6"/>
  <c r="AI82" i="6"/>
  <c r="J86" i="6"/>
  <c r="AV131" i="6"/>
  <c r="AV126" i="6"/>
  <c r="J132" i="6"/>
  <c r="W133" i="6"/>
  <c r="AV132" i="6"/>
  <c r="J131" i="6"/>
  <c r="W129" i="6"/>
  <c r="AI125" i="6"/>
  <c r="J133" i="6"/>
  <c r="J121" i="6"/>
  <c r="AV122" i="6"/>
  <c r="AV129" i="6"/>
  <c r="J124" i="6"/>
  <c r="W131" i="6"/>
  <c r="W121" i="6"/>
  <c r="W125" i="6"/>
  <c r="AV123" i="6"/>
  <c r="AK68" i="6"/>
  <c r="AK63" i="6"/>
  <c r="AM65" i="6"/>
  <c r="AM105" i="6"/>
  <c r="AK107" i="6"/>
  <c r="AF107" i="6"/>
  <c r="AK102" i="6"/>
  <c r="AM83" i="6"/>
  <c r="L128" i="6"/>
  <c r="L124" i="6"/>
  <c r="N126" i="6"/>
  <c r="T39" i="2"/>
  <c r="AB44" i="2"/>
  <c r="AV87" i="6"/>
  <c r="AV90" i="6"/>
  <c r="J89" i="6"/>
  <c r="AV85" i="6"/>
  <c r="W93" i="6"/>
  <c r="AI83" i="6"/>
  <c r="AV83" i="6"/>
  <c r="W89" i="6"/>
  <c r="W92" i="6"/>
  <c r="AK81" i="6"/>
  <c r="AF133" i="6"/>
  <c r="I81" i="6"/>
  <c r="AI69" i="6"/>
  <c r="AI73" i="6"/>
  <c r="AI81" i="6"/>
  <c r="AI75" i="6"/>
  <c r="AI72" i="6"/>
  <c r="AV70" i="6"/>
  <c r="AV80" i="6"/>
  <c r="AV79" i="6"/>
  <c r="AI126" i="6"/>
  <c r="W122" i="6"/>
  <c r="J128" i="6"/>
  <c r="AV127" i="6"/>
  <c r="V107" i="6"/>
  <c r="AM117" i="6"/>
  <c r="AI11" i="6"/>
  <c r="L46" i="6"/>
  <c r="G55" i="6"/>
  <c r="N78" i="6"/>
  <c r="N130" i="6"/>
  <c r="L120" i="6"/>
  <c r="N117" i="6"/>
  <c r="AK24" i="6"/>
  <c r="AF28" i="6"/>
  <c r="AK33" i="6"/>
  <c r="AK37" i="6"/>
  <c r="AF42" i="6"/>
  <c r="AK85" i="6"/>
  <c r="L42" i="6"/>
  <c r="G42" i="6"/>
  <c r="N91" i="6"/>
  <c r="L37" i="6"/>
  <c r="N100" i="6"/>
  <c r="G107" i="6"/>
  <c r="AX63" i="6"/>
  <c r="AZ117" i="6"/>
  <c r="J109" i="6"/>
  <c r="J115" i="6"/>
  <c r="AV118" i="6"/>
  <c r="AV112" i="6"/>
  <c r="DE48" i="2"/>
  <c r="Y120" i="6"/>
  <c r="N83" i="6"/>
  <c r="AV65" i="6"/>
  <c r="AV67" i="6"/>
  <c r="AI60" i="6"/>
  <c r="J60" i="6"/>
  <c r="Y111" i="6"/>
  <c r="T120" i="6"/>
  <c r="AX94" i="6"/>
  <c r="DH42" i="2"/>
  <c r="DH44" i="2" s="1"/>
  <c r="Q41" i="2"/>
  <c r="Q44" i="2" s="1"/>
  <c r="Q45" i="2" s="1"/>
  <c r="Q53" i="2"/>
  <c r="CY53" i="2"/>
  <c r="AO44" i="2"/>
  <c r="CY47" i="2"/>
  <c r="R41" i="2"/>
  <c r="R44" i="2" s="1"/>
  <c r="R45" i="2" s="1"/>
  <c r="R53" i="2"/>
  <c r="DM44" i="2"/>
  <c r="DG44" i="2"/>
  <c r="K39" i="2"/>
  <c r="DL38" i="2"/>
  <c r="DM38" i="2" s="1"/>
  <c r="DE42" i="2"/>
  <c r="DO44" i="2"/>
  <c r="O39" i="2"/>
  <c r="DL26" i="2"/>
  <c r="DM26" i="2" s="1"/>
  <c r="DL33" i="2"/>
  <c r="DM33" i="2" s="1"/>
  <c r="DL44" i="2"/>
  <c r="DE46" i="2"/>
  <c r="CZ47" i="2"/>
  <c r="S41" i="2"/>
  <c r="DB53" i="2"/>
  <c r="M53" i="2"/>
  <c r="M41" i="2"/>
  <c r="M44" i="2" s="1"/>
  <c r="M45" i="2" s="1"/>
  <c r="DD44" i="2"/>
  <c r="DB47" i="2"/>
  <c r="CV47" i="2"/>
  <c r="C41" i="2"/>
  <c r="C44" i="2" s="1"/>
  <c r="C45" i="2" s="1"/>
  <c r="C53" i="2"/>
  <c r="V41" i="2"/>
  <c r="DF15" i="2"/>
  <c r="DF16" i="2"/>
  <c r="DA54" i="2"/>
  <c r="DA49" i="2"/>
  <c r="CX49" i="2"/>
  <c r="CX54" i="2"/>
  <c r="J41" i="2"/>
  <c r="J44" i="2" s="1"/>
  <c r="J45" i="2" s="1"/>
  <c r="J53" i="2"/>
  <c r="DG16" i="2"/>
  <c r="ED11" i="2" l="1"/>
  <c r="EC3" i="2"/>
  <c r="AI67" i="6"/>
  <c r="AI110" i="6"/>
  <c r="AV113" i="6"/>
  <c r="AV128" i="6"/>
  <c r="AI132" i="6"/>
  <c r="H133" i="6"/>
  <c r="AY120" i="6"/>
  <c r="J126" i="6"/>
  <c r="J130" i="6"/>
  <c r="W126" i="6"/>
  <c r="AI129" i="6"/>
  <c r="J125" i="6"/>
  <c r="W94" i="6"/>
  <c r="AI121" i="6"/>
  <c r="AY94" i="6"/>
  <c r="AI122" i="6"/>
  <c r="AL120" i="6"/>
  <c r="AY107" i="6"/>
  <c r="AI92" i="6"/>
  <c r="J83" i="6"/>
  <c r="DF39" i="2"/>
  <c r="W114" i="6"/>
  <c r="AI7" i="6"/>
  <c r="AI8" i="6"/>
  <c r="J11" i="6"/>
  <c r="AI14" i="6"/>
  <c r="J110" i="6"/>
  <c r="AI117" i="6"/>
  <c r="AI10" i="6"/>
  <c r="AI12" i="6"/>
  <c r="G134" i="6"/>
  <c r="H134" i="6" s="1"/>
  <c r="J13" i="6"/>
  <c r="I120" i="6"/>
  <c r="J113" i="6"/>
  <c r="AV9" i="6"/>
  <c r="J15" i="6"/>
  <c r="AI9" i="6"/>
  <c r="AV15" i="6"/>
  <c r="J112" i="6"/>
  <c r="J119" i="6"/>
  <c r="J14" i="6"/>
  <c r="Z107" i="6"/>
  <c r="AI6" i="6"/>
  <c r="AV10" i="6"/>
  <c r="J12" i="6"/>
  <c r="AV114" i="6"/>
  <c r="W113" i="6"/>
  <c r="AI4" i="6"/>
  <c r="T108" i="6"/>
  <c r="AV6" i="6"/>
  <c r="J5" i="6"/>
  <c r="AV11" i="6"/>
  <c r="AV14" i="6"/>
  <c r="AV5" i="6"/>
  <c r="J6" i="6"/>
  <c r="AV8" i="6"/>
  <c r="AV13" i="6"/>
  <c r="J10" i="6"/>
  <c r="AV111" i="6"/>
  <c r="AV12" i="6"/>
  <c r="J4" i="6"/>
  <c r="AI15" i="6"/>
  <c r="AI5" i="6"/>
  <c r="W119" i="6"/>
  <c r="J7" i="6"/>
  <c r="AI13" i="6"/>
  <c r="J9" i="6"/>
  <c r="AV4" i="6"/>
  <c r="Z133" i="6"/>
  <c r="J74" i="6"/>
  <c r="J81" i="6"/>
  <c r="AV74" i="6"/>
  <c r="J80" i="6"/>
  <c r="J70" i="6"/>
  <c r="AV71" i="6"/>
  <c r="AI80" i="6"/>
  <c r="AV73" i="6"/>
  <c r="AV69" i="6"/>
  <c r="J76" i="6"/>
  <c r="AI78" i="6"/>
  <c r="J79" i="6"/>
  <c r="AI74" i="6"/>
  <c r="AV77" i="6"/>
  <c r="J73" i="6"/>
  <c r="J75" i="6"/>
  <c r="J77" i="6"/>
  <c r="AI76" i="6"/>
  <c r="J78" i="6"/>
  <c r="AI77" i="6"/>
  <c r="AV72" i="6"/>
  <c r="AV78" i="6"/>
  <c r="AI79" i="6"/>
  <c r="J72" i="6"/>
  <c r="J71" i="6"/>
  <c r="J69" i="6"/>
  <c r="AV76" i="6"/>
  <c r="AI70" i="6"/>
  <c r="AI71" i="6"/>
  <c r="AV81" i="6"/>
  <c r="AH94" i="6"/>
  <c r="AL94" i="6"/>
  <c r="T134" i="6"/>
  <c r="AY28" i="6"/>
  <c r="J64" i="6"/>
  <c r="J67" i="6"/>
  <c r="AI62" i="6"/>
  <c r="J58" i="6"/>
  <c r="AI66" i="6"/>
  <c r="J66" i="6"/>
  <c r="J61" i="6"/>
  <c r="AV66" i="6"/>
  <c r="AV62" i="6"/>
  <c r="AI58" i="6"/>
  <c r="AV58" i="6"/>
  <c r="AI59" i="6"/>
  <c r="AI61" i="6"/>
  <c r="J56" i="6"/>
  <c r="J63" i="6"/>
  <c r="AI57" i="6"/>
  <c r="AV57" i="6"/>
  <c r="J59" i="6"/>
  <c r="AI68" i="6"/>
  <c r="J65" i="6"/>
  <c r="AV56" i="6"/>
  <c r="AV68" i="6"/>
  <c r="AI63" i="6"/>
  <c r="J57" i="6"/>
  <c r="J68" i="6"/>
  <c r="AI65" i="6"/>
  <c r="J62" i="6"/>
  <c r="AV64" i="6"/>
  <c r="AV61" i="6"/>
  <c r="AI56" i="6"/>
  <c r="AV59" i="6"/>
  <c r="AI127" i="6"/>
  <c r="J129" i="6"/>
  <c r="AV121" i="6"/>
  <c r="AI131" i="6"/>
  <c r="J127" i="6"/>
  <c r="AI128" i="6"/>
  <c r="J123" i="6"/>
  <c r="AI133" i="6"/>
  <c r="AV63" i="6"/>
  <c r="AV60" i="6"/>
  <c r="I68" i="6"/>
  <c r="W123" i="6"/>
  <c r="M81" i="6"/>
  <c r="AY42" i="6"/>
  <c r="M133" i="6"/>
  <c r="J122" i="6"/>
  <c r="W124" i="6"/>
  <c r="W130" i="6"/>
  <c r="AI124" i="6"/>
  <c r="W132" i="6"/>
  <c r="W127" i="6"/>
  <c r="W128" i="6"/>
  <c r="AV130" i="6"/>
  <c r="AV124" i="6"/>
  <c r="AY133" i="6"/>
  <c r="AI130" i="6"/>
  <c r="AV115" i="6"/>
  <c r="W115" i="6"/>
  <c r="AI108" i="6"/>
  <c r="AV110" i="6"/>
  <c r="J114" i="6"/>
  <c r="J108" i="6"/>
  <c r="J120" i="6"/>
  <c r="W111" i="6"/>
  <c r="J118" i="6"/>
  <c r="W108" i="6"/>
  <c r="W118" i="6"/>
  <c r="AI113" i="6"/>
  <c r="AI119" i="6"/>
  <c r="J117" i="6"/>
  <c r="AI111" i="6"/>
  <c r="AV116" i="6"/>
  <c r="AI112" i="6"/>
  <c r="AV108" i="6"/>
  <c r="AI109" i="6"/>
  <c r="AI120" i="6"/>
  <c r="AI118" i="6"/>
  <c r="AV109" i="6"/>
  <c r="J116" i="6"/>
  <c r="AV119" i="6"/>
  <c r="J111" i="6"/>
  <c r="AI116" i="6"/>
  <c r="W109" i="6"/>
  <c r="W112" i="6"/>
  <c r="W110" i="6"/>
  <c r="W116" i="6"/>
  <c r="W117" i="6"/>
  <c r="AI114" i="6"/>
  <c r="AV117" i="6"/>
  <c r="W120" i="6"/>
  <c r="AI115" i="6"/>
  <c r="AY55" i="6"/>
  <c r="M94" i="6"/>
  <c r="CW53" i="2"/>
  <c r="P53" i="2"/>
  <c r="E53" i="2"/>
  <c r="E47" i="2"/>
  <c r="E49" i="2" s="1"/>
  <c r="F41" i="2"/>
  <c r="F44" i="2" s="1"/>
  <c r="F45" i="2" s="1"/>
  <c r="I47" i="2"/>
  <c r="I54" i="2" s="1"/>
  <c r="DC44" i="2"/>
  <c r="DE44" i="2"/>
  <c r="G53" i="2"/>
  <c r="Y47" i="2"/>
  <c r="Y49" i="2" s="1"/>
  <c r="CV53" i="2"/>
  <c r="D41" i="2"/>
  <c r="D44" i="2" s="1"/>
  <c r="D45" i="2" s="1"/>
  <c r="D47" i="2" s="1"/>
  <c r="N41" i="2"/>
  <c r="N44" i="2" s="1"/>
  <c r="N45" i="2" s="1"/>
  <c r="N53" i="2"/>
  <c r="CZ53" i="2"/>
  <c r="U41" i="2"/>
  <c r="W53" i="2"/>
  <c r="H41" i="2"/>
  <c r="H44" i="2" s="1"/>
  <c r="H45" i="2" s="1"/>
  <c r="H53" i="2"/>
  <c r="Y53" i="2"/>
  <c r="CY54" i="2"/>
  <c r="G47" i="2"/>
  <c r="G54" i="2" s="1"/>
  <c r="W45" i="2"/>
  <c r="AH28" i="6"/>
  <c r="AL28" i="6"/>
  <c r="AL133" i="6"/>
  <c r="AG133" i="6"/>
  <c r="F141" i="6" s="1"/>
  <c r="F145" i="6" s="1"/>
  <c r="AV25" i="6"/>
  <c r="J21" i="6"/>
  <c r="AI24" i="6"/>
  <c r="AI21" i="6"/>
  <c r="AV16" i="6"/>
  <c r="J18" i="6"/>
  <c r="AI18" i="6"/>
  <c r="AV28" i="6"/>
  <c r="AI16" i="6"/>
  <c r="J23" i="6"/>
  <c r="J20" i="6"/>
  <c r="J27" i="6"/>
  <c r="AV26" i="6"/>
  <c r="J28" i="6"/>
  <c r="AV27" i="6"/>
  <c r="AV19" i="6"/>
  <c r="AV24" i="6"/>
  <c r="AV23" i="6"/>
  <c r="AV21" i="6"/>
  <c r="AI17" i="6"/>
  <c r="AV22" i="6"/>
  <c r="J25" i="6"/>
  <c r="AI23" i="6"/>
  <c r="J17" i="6"/>
  <c r="AI20" i="6"/>
  <c r="AV18" i="6"/>
  <c r="AI28" i="6"/>
  <c r="AI25" i="6"/>
  <c r="J22" i="6"/>
  <c r="AI27" i="6"/>
  <c r="AV20" i="6"/>
  <c r="J16" i="6"/>
  <c r="AI26" i="6"/>
  <c r="J26" i="6"/>
  <c r="J24" i="6"/>
  <c r="AV17" i="6"/>
  <c r="M28" i="6"/>
  <c r="J19" i="6"/>
  <c r="AI19" i="6"/>
  <c r="AI22" i="6"/>
  <c r="CY49" i="2"/>
  <c r="CY50" i="2" s="1"/>
  <c r="AH42" i="6"/>
  <c r="AL42" i="6"/>
  <c r="AL55" i="6"/>
  <c r="T41" i="2"/>
  <c r="AL68" i="6"/>
  <c r="AH68" i="6"/>
  <c r="AL81" i="6"/>
  <c r="Z45" i="2"/>
  <c r="Z53" i="2"/>
  <c r="AV104" i="6"/>
  <c r="AI104" i="6"/>
  <c r="J102" i="6"/>
  <c r="AV107" i="6"/>
  <c r="J95" i="6"/>
  <c r="AI106" i="6"/>
  <c r="AV103" i="6"/>
  <c r="J97" i="6"/>
  <c r="AI100" i="6"/>
  <c r="AI98" i="6"/>
  <c r="AV95" i="6"/>
  <c r="W96" i="6"/>
  <c r="G108" i="6"/>
  <c r="AI105" i="6"/>
  <c r="W101" i="6"/>
  <c r="AV102" i="6"/>
  <c r="W107" i="6"/>
  <c r="J99" i="6"/>
  <c r="J98" i="6"/>
  <c r="J101" i="6"/>
  <c r="W98" i="6"/>
  <c r="AV99" i="6"/>
  <c r="W97" i="6"/>
  <c r="AV105" i="6"/>
  <c r="J103" i="6"/>
  <c r="AV96" i="6"/>
  <c r="J105" i="6"/>
  <c r="J107" i="6"/>
  <c r="AV98" i="6"/>
  <c r="J106" i="6"/>
  <c r="AI103" i="6"/>
  <c r="W104" i="6"/>
  <c r="AI95" i="6"/>
  <c r="J96" i="6"/>
  <c r="AV100" i="6"/>
  <c r="W99" i="6"/>
  <c r="M120" i="6"/>
  <c r="W105" i="6"/>
  <c r="AI96" i="6"/>
  <c r="AI99" i="6"/>
  <c r="W100" i="6"/>
  <c r="AV97" i="6"/>
  <c r="G121" i="6"/>
  <c r="AI107" i="6"/>
  <c r="AV101" i="6"/>
  <c r="AI102" i="6"/>
  <c r="W95" i="6"/>
  <c r="AI97" i="6"/>
  <c r="W106" i="6"/>
  <c r="M107" i="6"/>
  <c r="AV106" i="6"/>
  <c r="J104" i="6"/>
  <c r="AI101" i="6"/>
  <c r="W103" i="6"/>
  <c r="I107" i="6"/>
  <c r="W102" i="6"/>
  <c r="J100" i="6"/>
  <c r="AV36" i="6"/>
  <c r="AV35" i="6"/>
  <c r="AV42" i="6"/>
  <c r="AV34" i="6"/>
  <c r="AV37" i="6"/>
  <c r="AI41" i="6"/>
  <c r="AI38" i="6"/>
  <c r="J39" i="6"/>
  <c r="AI42" i="6"/>
  <c r="AI29" i="6"/>
  <c r="AI37" i="6"/>
  <c r="AV30" i="6"/>
  <c r="AI39" i="6"/>
  <c r="J29" i="6"/>
  <c r="AV41" i="6"/>
  <c r="J35" i="6"/>
  <c r="AV33" i="6"/>
  <c r="J41" i="6"/>
  <c r="AV32" i="6"/>
  <c r="AI34" i="6"/>
  <c r="AV31" i="6"/>
  <c r="AI31" i="6"/>
  <c r="J37" i="6"/>
  <c r="J34" i="6"/>
  <c r="AI30" i="6"/>
  <c r="J38" i="6"/>
  <c r="AI32" i="6"/>
  <c r="AI36" i="6"/>
  <c r="AI35" i="6"/>
  <c r="J36" i="6"/>
  <c r="AV29" i="6"/>
  <c r="J33" i="6"/>
  <c r="M42" i="6"/>
  <c r="AV38" i="6"/>
  <c r="J42" i="6"/>
  <c r="AV39" i="6"/>
  <c r="J31" i="6"/>
  <c r="J30" i="6"/>
  <c r="J40" i="6"/>
  <c r="AI40" i="6"/>
  <c r="AV40" i="6"/>
  <c r="I42" i="6"/>
  <c r="AI33" i="6"/>
  <c r="J32" i="6"/>
  <c r="AI49" i="6"/>
  <c r="AV53" i="6"/>
  <c r="AI44" i="6"/>
  <c r="AI47" i="6"/>
  <c r="AV44" i="6"/>
  <c r="AI55" i="6"/>
  <c r="J50" i="6"/>
  <c r="AV48" i="6"/>
  <c r="AV51" i="6"/>
  <c r="J46" i="6"/>
  <c r="AV45" i="6"/>
  <c r="J44" i="6"/>
  <c r="AV50" i="6"/>
  <c r="J53" i="6"/>
  <c r="AV46" i="6"/>
  <c r="J48" i="6"/>
  <c r="J49" i="6"/>
  <c r="AV55" i="6"/>
  <c r="AI50" i="6"/>
  <c r="AI51" i="6"/>
  <c r="AI54" i="6"/>
  <c r="J47" i="6"/>
  <c r="AI52" i="6"/>
  <c r="J45" i="6"/>
  <c r="AI45" i="6"/>
  <c r="I55" i="6"/>
  <c r="J51" i="6"/>
  <c r="AI46" i="6"/>
  <c r="J55" i="6"/>
  <c r="J54" i="6"/>
  <c r="J43" i="6"/>
  <c r="J52" i="6"/>
  <c r="M68" i="6"/>
  <c r="AV49" i="6"/>
  <c r="AV43" i="6"/>
  <c r="AI48" i="6"/>
  <c r="M55" i="6"/>
  <c r="AV52" i="6"/>
  <c r="AV47" i="6"/>
  <c r="AI53" i="6"/>
  <c r="AV54" i="6"/>
  <c r="AI43" i="6"/>
  <c r="AH107" i="6"/>
  <c r="AL107" i="6"/>
  <c r="DL34" i="2"/>
  <c r="DM34" i="2" s="1"/>
  <c r="Z120" i="6"/>
  <c r="V120" i="6"/>
  <c r="T121" i="6"/>
  <c r="AU68" i="6"/>
  <c r="AY68" i="6"/>
  <c r="H14" i="27"/>
  <c r="G16" i="27"/>
  <c r="G18" i="27" s="1"/>
  <c r="DL31" i="2"/>
  <c r="DM31" i="2" s="1"/>
  <c r="P54" i="2"/>
  <c r="P49" i="2"/>
  <c r="CX53" i="2"/>
  <c r="O41" i="2"/>
  <c r="O44" i="2" s="1"/>
  <c r="O45" i="2" s="1"/>
  <c r="O53" i="2"/>
  <c r="K41" i="2"/>
  <c r="K44" i="2" s="1"/>
  <c r="K45" i="2" s="1"/>
  <c r="K53" i="2"/>
  <c r="R47" i="2"/>
  <c r="DP44" i="2"/>
  <c r="Q47" i="2"/>
  <c r="L54" i="2"/>
  <c r="L49" i="2"/>
  <c r="J47" i="2"/>
  <c r="C47" i="2"/>
  <c r="CV54" i="2"/>
  <c r="CV49" i="2"/>
  <c r="V53" i="2"/>
  <c r="V45" i="2"/>
  <c r="DB49" i="2"/>
  <c r="DB54" i="2"/>
  <c r="M47" i="2"/>
  <c r="S53" i="2"/>
  <c r="S45" i="2"/>
  <c r="CZ54" i="2"/>
  <c r="CZ49" i="2"/>
  <c r="AA41" i="2"/>
  <c r="CX50" i="2"/>
  <c r="DA50" i="2"/>
  <c r="EE11" i="2" l="1"/>
  <c r="ED3" i="2"/>
  <c r="DG39" i="2"/>
  <c r="DL35" i="2"/>
  <c r="DM35" i="2" s="1"/>
  <c r="DQ44" i="2"/>
  <c r="E54" i="2"/>
  <c r="F47" i="2"/>
  <c r="F49" i="2" s="1"/>
  <c r="I49" i="2"/>
  <c r="Y50" i="2"/>
  <c r="Y54" i="2"/>
  <c r="DC45" i="2"/>
  <c r="N47" i="2"/>
  <c r="G49" i="2"/>
  <c r="G50" i="2" s="1"/>
  <c r="W47" i="2"/>
  <c r="H47" i="2"/>
  <c r="U45" i="2"/>
  <c r="U53" i="2"/>
  <c r="T53" i="2"/>
  <c r="T45" i="2"/>
  <c r="Z47" i="2"/>
  <c r="E50" i="2"/>
  <c r="H16" i="27"/>
  <c r="H18" i="27" s="1"/>
  <c r="I14" i="27"/>
  <c r="K47" i="2"/>
  <c r="R49" i="2"/>
  <c r="R54" i="2"/>
  <c r="Q54" i="2"/>
  <c r="Q49" i="2"/>
  <c r="O47" i="2"/>
  <c r="P50" i="2"/>
  <c r="D49" i="2"/>
  <c r="D54" i="2"/>
  <c r="L50" i="2"/>
  <c r="DE39" i="2"/>
  <c r="CZ50" i="2"/>
  <c r="AC39" i="2"/>
  <c r="AA53" i="2"/>
  <c r="AA45" i="2"/>
  <c r="S47" i="2"/>
  <c r="M49" i="2"/>
  <c r="M54" i="2"/>
  <c r="CV50" i="2"/>
  <c r="AD39" i="2"/>
  <c r="X39" i="2"/>
  <c r="DB50" i="2"/>
  <c r="AB39" i="2"/>
  <c r="J54" i="2"/>
  <c r="J49" i="2"/>
  <c r="V47" i="2"/>
  <c r="C49" i="2"/>
  <c r="C54" i="2"/>
  <c r="F54" i="2" l="1"/>
  <c r="EF11" i="2"/>
  <c r="EF3" i="2" s="1"/>
  <c r="EE3" i="2"/>
  <c r="DR44" i="2"/>
  <c r="I50" i="2"/>
  <c r="U47" i="2"/>
  <c r="W54" i="2"/>
  <c r="W49" i="2"/>
  <c r="H49" i="2"/>
  <c r="H54" i="2"/>
  <c r="N54" i="2"/>
  <c r="N49" i="2"/>
  <c r="I16" i="27"/>
  <c r="I18" i="27" s="1"/>
  <c r="J14" i="27"/>
  <c r="Z49" i="2"/>
  <c r="Z54" i="2"/>
  <c r="T47" i="2"/>
  <c r="Q50" i="2"/>
  <c r="D50" i="2"/>
  <c r="O49" i="2"/>
  <c r="O54" i="2"/>
  <c r="R50" i="2"/>
  <c r="F50" i="2"/>
  <c r="K54" i="2"/>
  <c r="K49" i="2"/>
  <c r="V54" i="2"/>
  <c r="V49" i="2"/>
  <c r="X41" i="2"/>
  <c r="S54" i="2"/>
  <c r="S49" i="2"/>
  <c r="C50" i="2"/>
  <c r="AB41" i="2"/>
  <c r="J50" i="2"/>
  <c r="AD41" i="2"/>
  <c r="AA47" i="2"/>
  <c r="M50" i="2"/>
  <c r="DC47" i="2"/>
  <c r="AC41" i="2"/>
  <c r="DS44" i="2" l="1"/>
  <c r="DC53" i="2"/>
  <c r="N50" i="2"/>
  <c r="H50" i="2"/>
  <c r="U54" i="2"/>
  <c r="U49" i="2"/>
  <c r="W50" i="2"/>
  <c r="Z50" i="2"/>
  <c r="T54" i="2"/>
  <c r="T49" i="2"/>
  <c r="K14" i="27"/>
  <c r="J16" i="27"/>
  <c r="J18" i="27" s="1"/>
  <c r="O50" i="2"/>
  <c r="DL17" i="2"/>
  <c r="K50" i="2"/>
  <c r="AK53" i="2"/>
  <c r="AF53" i="2"/>
  <c r="DC48" i="2"/>
  <c r="DC49" i="2" s="1"/>
  <c r="AG53" i="2"/>
  <c r="AI53" i="2"/>
  <c r="AE53" i="2"/>
  <c r="DF41" i="2"/>
  <c r="AB45" i="2"/>
  <c r="AB53" i="2"/>
  <c r="AJ53" i="2"/>
  <c r="V50" i="2"/>
  <c r="AC53" i="2"/>
  <c r="AC45" i="2"/>
  <c r="AD45" i="2"/>
  <c r="AD53" i="2"/>
  <c r="X53" i="2"/>
  <c r="X45" i="2"/>
  <c r="AA49" i="2"/>
  <c r="AA54" i="2"/>
  <c r="AH53" i="2"/>
  <c r="S50" i="2"/>
  <c r="DT44" i="2" l="1"/>
  <c r="U50" i="2"/>
  <c r="T50" i="2"/>
  <c r="K16" i="27"/>
  <c r="K18" i="27" s="1"/>
  <c r="L14" i="27"/>
  <c r="DM17" i="2"/>
  <c r="X47" i="2"/>
  <c r="AD47" i="2"/>
  <c r="AB47" i="2"/>
  <c r="DF45" i="2"/>
  <c r="DF40" i="2"/>
  <c r="AC47" i="2"/>
  <c r="DE45" i="2"/>
  <c r="AL53" i="2"/>
  <c r="AA50" i="2"/>
  <c r="DD45" i="2"/>
  <c r="DD53" i="2"/>
  <c r="DG41" i="2"/>
  <c r="DH39" i="2" l="1"/>
  <c r="DU44" i="2"/>
  <c r="DV44" i="2"/>
  <c r="AM50" i="2"/>
  <c r="L16" i="27"/>
  <c r="L18" i="27" s="1"/>
  <c r="M14" i="27"/>
  <c r="M16" i="27" s="1"/>
  <c r="M18" i="27" s="1"/>
  <c r="DD47" i="2"/>
  <c r="AG54" i="2"/>
  <c r="AC54" i="2"/>
  <c r="AC49" i="2"/>
  <c r="AF54" i="2"/>
  <c r="AB49" i="2"/>
  <c r="AB54" i="2"/>
  <c r="AJ54" i="2"/>
  <c r="AD54" i="2"/>
  <c r="AD49" i="2"/>
  <c r="AK54" i="2"/>
  <c r="AM53" i="2"/>
  <c r="DE53" i="2"/>
  <c r="AH54" i="2"/>
  <c r="DF53" i="2"/>
  <c r="DG45" i="2"/>
  <c r="DG40" i="2"/>
  <c r="AE54" i="2"/>
  <c r="AI54" i="2"/>
  <c r="DE47" i="2"/>
  <c r="DF47" i="2"/>
  <c r="X54" i="2"/>
  <c r="X49" i="2"/>
  <c r="X50" i="2" l="1"/>
  <c r="DF54" i="2"/>
  <c r="DF49" i="2"/>
  <c r="AI50" i="2"/>
  <c r="AE50" i="2"/>
  <c r="DG53" i="2"/>
  <c r="AH50" i="2"/>
  <c r="AK50" i="2"/>
  <c r="AJ50" i="2"/>
  <c r="AB50" i="2"/>
  <c r="AF50" i="2"/>
  <c r="AG50" i="2"/>
  <c r="AO41" i="2"/>
  <c r="DE49" i="2"/>
  <c r="DE54" i="2"/>
  <c r="DG47" i="2"/>
  <c r="AD50" i="2"/>
  <c r="AN53" i="2"/>
  <c r="AC50" i="2"/>
  <c r="DD48" i="2"/>
  <c r="DD49" i="2" s="1"/>
  <c r="AM54" i="2" l="1"/>
  <c r="DE50" i="2"/>
  <c r="AO45" i="2"/>
  <c r="AO53" i="2"/>
  <c r="DG48" i="2"/>
  <c r="DG54" i="2" s="1"/>
  <c r="AL54" i="2"/>
  <c r="DF50" i="2"/>
  <c r="DH41" i="2"/>
  <c r="DH45" i="2" s="1"/>
  <c r="DD50" i="2"/>
  <c r="DH40" i="2" l="1"/>
  <c r="DL15" i="2"/>
  <c r="DL3" i="2" s="1"/>
  <c r="AL50" i="2"/>
  <c r="AO47" i="2"/>
  <c r="AO49" i="2" s="1"/>
  <c r="DG49" i="2"/>
  <c r="AP53" i="2"/>
  <c r="DL39" i="2" l="1"/>
  <c r="DL41" i="2" s="1"/>
  <c r="AN54" i="2"/>
  <c r="AN49" i="2"/>
  <c r="DH53" i="2"/>
  <c r="DM15" i="2"/>
  <c r="DM3" i="2" s="1"/>
  <c r="AP47" i="2"/>
  <c r="AP49" i="2" s="1"/>
  <c r="AP50" i="2" s="1"/>
  <c r="AO54" i="2"/>
  <c r="DG50" i="2"/>
  <c r="DH47" i="2"/>
  <c r="DM39" i="2" l="1"/>
  <c r="DM41" i="2" s="1"/>
  <c r="DH48" i="2"/>
  <c r="DH49" i="2" s="1"/>
  <c r="AP54" i="2"/>
  <c r="AN50" i="2"/>
  <c r="DN39" i="2" l="1"/>
  <c r="DN41" i="2" s="1"/>
  <c r="DH50" i="2"/>
  <c r="AO50" i="2"/>
  <c r="DO39" i="2" l="1"/>
  <c r="DO41" i="2" s="1"/>
  <c r="DK53" i="2"/>
  <c r="DI47" i="2"/>
  <c r="DI54" i="2" s="1"/>
  <c r="DP39" i="2" l="1"/>
  <c r="DP41" i="2" s="1"/>
  <c r="DL45" i="2"/>
  <c r="DL53" i="2"/>
  <c r="DL40" i="2"/>
  <c r="DI49" i="2"/>
  <c r="DI50" i="2" s="1"/>
  <c r="DQ39" i="2" l="1"/>
  <c r="DQ41" i="2" s="1"/>
  <c r="DM45" i="2"/>
  <c r="DM53" i="2"/>
  <c r="DM40" i="2"/>
  <c r="DR39" i="2" l="1"/>
  <c r="DR41" i="2" s="1"/>
  <c r="DN45" i="2"/>
  <c r="DN53" i="2"/>
  <c r="DO45" i="2"/>
  <c r="DO53" i="2"/>
  <c r="DO40" i="2"/>
  <c r="DN40" i="2"/>
  <c r="DS39" i="2" l="1"/>
  <c r="DS41" i="2" s="1"/>
  <c r="DT39" i="2" l="1"/>
  <c r="DT41" i="2" s="1"/>
  <c r="DR53" i="2"/>
  <c r="DR45" i="2"/>
  <c r="DR40" i="2"/>
  <c r="DP45" i="2"/>
  <c r="DP53" i="2"/>
  <c r="DP40" i="2"/>
  <c r="DU39" i="2" l="1"/>
  <c r="DU41" i="2" s="1"/>
  <c r="DS53" i="2"/>
  <c r="DS45" i="2"/>
  <c r="DS40" i="2"/>
  <c r="DQ45" i="2"/>
  <c r="DQ53" i="2"/>
  <c r="DQ40" i="2"/>
  <c r="DV39" i="2" l="1"/>
  <c r="DV41" i="2" s="1"/>
  <c r="DU40" i="2"/>
  <c r="DT53" i="2"/>
  <c r="DT45" i="2"/>
  <c r="DT40" i="2"/>
  <c r="DK54" i="2"/>
  <c r="DV40" i="2" l="1"/>
  <c r="DU53" i="2"/>
  <c r="DU45" i="2"/>
  <c r="DV53" i="2"/>
  <c r="DV45" i="2"/>
  <c r="DL47" i="2" l="1"/>
  <c r="DL48" i="2" l="1"/>
  <c r="DL54" i="2" s="1"/>
  <c r="DL49" i="2" l="1"/>
  <c r="DL61" i="2" s="1"/>
  <c r="DM46" i="2" s="1"/>
  <c r="DL50" i="2" l="1"/>
  <c r="DM47" i="2" l="1"/>
  <c r="DM48" i="2" l="1"/>
  <c r="DM54" i="2" s="1"/>
  <c r="DM49" i="2" l="1"/>
  <c r="DM61" i="2" s="1"/>
  <c r="DN46" i="2" s="1"/>
  <c r="DM50" i="2" l="1"/>
  <c r="DN47" i="2" l="1"/>
  <c r="DN48" i="2" l="1"/>
  <c r="DN54" i="2" s="1"/>
  <c r="DN49" i="2" l="1"/>
  <c r="DN50" i="2" l="1"/>
  <c r="DN61" i="2"/>
  <c r="DO46" i="2" s="1"/>
  <c r="DO47" i="2" s="1"/>
  <c r="DO48" i="2" l="1"/>
  <c r="DO54" i="2" s="1"/>
  <c r="DO49" i="2" l="1"/>
  <c r="DO50" i="2" l="1"/>
  <c r="DO61" i="2"/>
  <c r="DP46" i="2" s="1"/>
  <c r="DP47" i="2" s="1"/>
  <c r="DP48" i="2" l="1"/>
  <c r="DP54" i="2" s="1"/>
  <c r="DP49" i="2" l="1"/>
  <c r="DP50" i="2" l="1"/>
  <c r="DP61" i="2"/>
  <c r="DQ46" i="2" s="1"/>
  <c r="DQ47" i="2" s="1"/>
  <c r="DQ48" i="2" l="1"/>
  <c r="DQ54" i="2" s="1"/>
  <c r="DQ49" i="2" l="1"/>
  <c r="DQ50" i="2" l="1"/>
  <c r="DQ61" i="2"/>
  <c r="DR46" i="2" s="1"/>
  <c r="DR47" i="2" s="1"/>
  <c r="DR48" i="2" l="1"/>
  <c r="DR49" i="2" l="1"/>
  <c r="DR54" i="2"/>
  <c r="DR50" i="2" l="1"/>
  <c r="DR61" i="2"/>
  <c r="DS46" i="2" s="1"/>
  <c r="DS47" i="2" s="1"/>
  <c r="DS48" i="2" l="1"/>
  <c r="DS49" i="2" l="1"/>
  <c r="DS54" i="2"/>
  <c r="DS50" i="2" l="1"/>
  <c r="DS61" i="2"/>
  <c r="DT46" i="2" s="1"/>
  <c r="DT47" i="2" s="1"/>
  <c r="DT48" i="2" l="1"/>
  <c r="DT54" i="2" s="1"/>
  <c r="DT49" i="2" l="1"/>
  <c r="DT50" i="2" l="1"/>
  <c r="DT61" i="2"/>
  <c r="DU46" i="2" s="1"/>
  <c r="DU47" i="2" s="1"/>
  <c r="DU48" i="2" l="1"/>
  <c r="DU54" i="2" s="1"/>
  <c r="DU49" i="2" l="1"/>
  <c r="DU50" i="2" l="1"/>
  <c r="DU61" i="2"/>
  <c r="DV46" i="2" s="1"/>
  <c r="DV47" i="2" s="1"/>
  <c r="DV48" i="2" l="1"/>
  <c r="DV54" i="2" s="1"/>
  <c r="DV49" i="2" l="1"/>
  <c r="DW49" i="2" s="1"/>
  <c r="DV50" i="2" l="1"/>
  <c r="DV61" i="2"/>
  <c r="DX49" i="2"/>
  <c r="DY49" i="2" s="1"/>
  <c r="DZ49" i="2" s="1"/>
  <c r="EA49" i="2" s="1"/>
  <c r="EB49" i="2" s="1"/>
  <c r="EC49" i="2" s="1"/>
  <c r="ED49" i="2" s="1"/>
  <c r="EE49" i="2" s="1"/>
  <c r="EF49" i="2" s="1"/>
  <c r="EG49" i="2" s="1"/>
  <c r="EH49" i="2" s="1"/>
  <c r="EI49" i="2" s="1"/>
  <c r="EJ49" i="2" s="1"/>
  <c r="EK49" i="2" s="1"/>
  <c r="EL49" i="2" s="1"/>
  <c r="EM49" i="2" s="1"/>
  <c r="EN49" i="2" s="1"/>
  <c r="EO49" i="2" s="1"/>
  <c r="EP49" i="2" s="1"/>
  <c r="EQ49" i="2" s="1"/>
  <c r="ER49" i="2" s="1"/>
  <c r="ES49" i="2" s="1"/>
  <c r="ET49" i="2" s="1"/>
  <c r="EU49" i="2" s="1"/>
  <c r="EV49" i="2" s="1"/>
  <c r="EW49" i="2" s="1"/>
  <c r="EX49" i="2" s="1"/>
  <c r="EY49" i="2" s="1"/>
  <c r="EZ49" i="2" s="1"/>
  <c r="FA49" i="2" s="1"/>
  <c r="FB49" i="2" s="1"/>
  <c r="FC49" i="2" s="1"/>
  <c r="FD49" i="2" s="1"/>
  <c r="FE49" i="2" s="1"/>
  <c r="FF49" i="2" s="1"/>
  <c r="FG49" i="2" s="1"/>
  <c r="FH49" i="2" s="1"/>
  <c r="FI49" i="2" s="1"/>
  <c r="FJ49" i="2" s="1"/>
  <c r="FK49" i="2" s="1"/>
  <c r="FL49" i="2" s="1"/>
  <c r="FM49" i="2" s="1"/>
  <c r="FN49" i="2" s="1"/>
  <c r="FO49" i="2" s="1"/>
  <c r="FP49" i="2" s="1"/>
  <c r="FQ49" i="2" s="1"/>
  <c r="FR49" i="2" s="1"/>
  <c r="FS49" i="2" s="1"/>
  <c r="FT49" i="2" s="1"/>
  <c r="FU49" i="2" s="1"/>
  <c r="FV49" i="2" s="1"/>
  <c r="FW49" i="2" s="1"/>
  <c r="FX49" i="2" s="1"/>
  <c r="FY49" i="2" s="1"/>
  <c r="FZ49" i="2" s="1"/>
  <c r="GA49" i="2" s="1"/>
  <c r="GB49" i="2" s="1"/>
  <c r="EA58" i="2" s="1"/>
  <c r="EA59" i="2" l="1"/>
  <c r="BZ39" i="2" l="1"/>
  <c r="BZ56" i="2" s="1"/>
  <c r="BZ41" i="2" l="1"/>
  <c r="BZ53" i="2" s="1"/>
  <c r="CD56" i="2"/>
  <c r="BZ45" i="2" l="1"/>
  <c r="BZ47" i="2" s="1"/>
  <c r="BZ54" i="2" s="1"/>
  <c r="BZ49" i="2" l="1"/>
  <c r="BZ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David Zheng</author>
    <author>Martin</author>
    <author>NY Board Room</author>
    <author>Bloomberg</author>
    <author>RBC</author>
    <author>Caroline Stewart</author>
  </authors>
  <commentList>
    <comment ref="T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excl stock-option expense</t>
        </r>
      </text>
    </comment>
    <comment ref="V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stock opex</t>
        </r>
      </text>
    </comment>
    <comment ref="X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excluding stock-based</t>
        </r>
      </text>
    </comment>
    <comment ref="AS14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8/27/12 Stribild approved</t>
        </r>
      </text>
    </comment>
    <comment ref="DI14" authorId="3" shapeId="0" xr:uid="{00000000-0006-0000-0200-000005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Approved 8/2012</t>
        </r>
      </text>
    </comment>
    <comment ref="W15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IMS looking like 175m</t>
        </r>
      </text>
    </comment>
    <comment ref="Z15" authorId="4" shapeId="0" xr:uid="{00000000-0006-0000-0200-00000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303</t>
        </r>
      </text>
    </comment>
    <comment ref="AA15" authorId="4" shapeId="0" xr:uid="{00000000-0006-0000-0200-000009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launch</t>
        </r>
      </text>
    </comment>
    <comment ref="AB15" authorId="5" shapeId="0" xr:uid="{00000000-0006-0000-0200-00000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consensus of 362</t>
        </r>
      </text>
    </comment>
    <comment ref="DE15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driven by ex-US growth
consensus 1549</t>
        </r>
      </text>
    </comment>
    <comment ref="X16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some switching to Atripla in the US. Mexico 1x tender.</t>
        </r>
      </text>
    </comment>
    <comment ref="Z16" authorId="4" shapeId="0" xr:uid="{00000000-0006-0000-0200-00000D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387</t>
        </r>
      </text>
    </comment>
    <comment ref="AB16" authorId="5" shapeId="0" xr:uid="{00000000-0006-0000-0200-00000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Inventory adjustment to offset Rx growth?</t>
        </r>
      </text>
    </comment>
    <comment ref="DG16" authorId="6" shapeId="0" xr:uid="{00000000-0006-0000-0200-00000F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2,651</t>
        </r>
      </text>
    </comment>
    <comment ref="Z17" authorId="4" shapeId="0" xr:uid="{00000000-0006-0000-0200-000010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153</t>
        </r>
      </text>
    </comment>
    <comment ref="AB17" authorId="5" shapeId="0" xr:uid="{00000000-0006-0000-0200-000011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7% px increase??</t>
        </r>
      </text>
    </comment>
    <comment ref="AF17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US PI
Tracking +9% q/q ($)</t>
        </r>
      </text>
    </comment>
    <comment ref="DG17" authorId="6" shapeId="0" xr:uid="{00000000-0006-0000-0200-00001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729</t>
        </r>
      </text>
    </comment>
    <comment ref="DN17" authorId="2" shapeId="0" xr:uid="{00000000-0006-0000-02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 12/15/17 - settled on 2/19/2013</t>
        </r>
      </text>
    </comment>
    <comment ref="AZ18" authorId="3" shapeId="0" xr:uid="{00000000-0006-0000-0200-00000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"has been prescribed for more than 80,000 patients since launch" - Q2 press release</t>
        </r>
      </text>
    </comment>
    <comment ref="AF26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Tracking +4% q/q</t>
        </r>
      </text>
    </comment>
    <comment ref="AZ26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G26" authorId="6" shapeId="0" xr:uid="{00000000-0006-0000-0200-00001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27</t>
        </r>
      </text>
    </comment>
    <comment ref="Z31" authorId="4" shapeId="0" xr:uid="{00000000-0006-0000-0200-00001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75</t>
        </r>
      </text>
    </comment>
    <comment ref="AZ31" authorId="3" shapeId="0" xr:uid="{00000000-0006-0000-0200-000019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C31" authorId="0" shapeId="0" xr:uid="{00000000-0006-0000-0200-00001A000000}">
      <text>
        <r>
          <rPr>
            <sz val="8"/>
            <color indexed="81"/>
            <rFont val="Tahoma"/>
            <family val="2"/>
          </rPr>
          <t>215-225m (was 205-215)</t>
        </r>
      </text>
    </comment>
    <comment ref="DG31" authorId="6" shapeId="0" xr:uid="{00000000-0006-0000-0200-00001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204</t>
        </r>
      </text>
    </comment>
    <comment ref="DC33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205-215 guidance</t>
        </r>
      </text>
    </comment>
    <comment ref="DG33" authorId="6" shapeId="0" xr:uid="{00000000-0006-0000-0200-00001D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308</t>
        </r>
      </text>
    </comment>
    <comment ref="Z34" authorId="4" shapeId="0" xr:uid="{00000000-0006-0000-0200-00001E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17</t>
        </r>
      </text>
    </comment>
    <comment ref="DG34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JPM 1bn
consensus 2010 of $241m</t>
        </r>
      </text>
    </comment>
    <comment ref="DG35" authorId="6" shapeId="0" xr:uid="{00000000-0006-0000-0200-000020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235</t>
        </r>
      </text>
    </comment>
    <comment ref="DG37" authorId="6" shapeId="0" xr:uid="{00000000-0006-0000-0200-000021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42</t>
        </r>
      </text>
    </comment>
    <comment ref="AB38" authorId="5" shapeId="0" xr:uid="{00000000-0006-0000-0200-00002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260m USD in Q108.
other royalties includes US Ambisome, ROW Hepsera (not US/EU), Macugen</t>
        </r>
      </text>
    </comment>
    <comment ref="AL38" authorId="6" shapeId="0" xr:uid="{00000000-0006-0000-0200-00002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70</t>
        </r>
      </text>
    </comment>
    <comment ref="DG38" authorId="6" shapeId="0" xr:uid="{00000000-0006-0000-0200-00002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560</t>
        </r>
      </text>
    </comment>
    <comment ref="DE39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4.9-5.0 rev guidance</t>
        </r>
      </text>
    </comment>
    <comment ref="DC42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365-385m, was 345-370m incl 50m stock based comp.
</t>
        </r>
      </text>
    </comment>
    <comment ref="DD42" authorId="0" shapeId="0" xr:uid="{00000000-0006-0000-0200-000027000000}">
      <text>
        <r>
          <rPr>
            <sz val="8"/>
            <color indexed="81"/>
            <rFont val="Tahoma"/>
            <family val="2"/>
          </rPr>
          <t>500-520m guidance</t>
        </r>
      </text>
    </comment>
    <comment ref="DH42" authorId="6" shapeId="0" xr:uid="{00000000-0006-0000-0200-000028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$950m-$1B</t>
        </r>
      </text>
    </comment>
    <comment ref="DC43" authorId="0" shapeId="0" xr:uid="{00000000-0006-0000-0200-000029000000}">
      <text>
        <r>
          <rPr>
            <sz val="8"/>
            <color indexed="81"/>
            <rFont val="Tahoma"/>
            <family val="2"/>
          </rPr>
          <t xml:space="preserve">550-580 (490-530)
430-455 to 500-530m which includes share-based comp and 8m write-off of capital assets 60m
</t>
        </r>
      </text>
    </comment>
    <comment ref="DD43" authorId="0" shapeId="0" xr:uid="{00000000-0006-0000-0200-00002A000000}">
      <text>
        <r>
          <rPr>
            <sz val="8"/>
            <color indexed="81"/>
            <rFont val="Tahoma"/>
            <family val="2"/>
          </rPr>
          <t>580-600m guidance</t>
        </r>
      </text>
    </comment>
    <comment ref="DH43" authorId="6" shapeId="0" xr:uid="{00000000-0006-0000-0200-00002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$1-$1.05B</t>
        </r>
      </text>
    </comment>
    <comment ref="DD53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78-80%</t>
        </r>
      </text>
    </comment>
    <comment ref="DC54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33-35%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Biestek</author>
  </authors>
  <commentList>
    <comment ref="D25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Marek Biestek:</t>
        </r>
        <r>
          <rPr>
            <sz val="9"/>
            <color indexed="81"/>
            <rFont val="Tahoma"/>
            <family val="2"/>
          </rPr>
          <t xml:space="preserve">
Schoenebaum poll of 204 WS investors sugests 60% SVR4</t>
        </r>
      </text>
    </comment>
  </commentList>
</comments>
</file>

<file path=xl/sharedStrings.xml><?xml version="1.0" encoding="utf-8"?>
<sst xmlns="http://schemas.openxmlformats.org/spreadsheetml/2006/main" count="1068" uniqueCount="778">
  <si>
    <t>Name</t>
  </si>
  <si>
    <t>Indication</t>
  </si>
  <si>
    <t>Economics</t>
  </si>
  <si>
    <t>Competition</t>
  </si>
  <si>
    <t>IP</t>
  </si>
  <si>
    <t>Truvada</t>
  </si>
  <si>
    <t>HIV</t>
  </si>
  <si>
    <t>Viread</t>
  </si>
  <si>
    <t>Emtriva</t>
  </si>
  <si>
    <t>Hepsera</t>
  </si>
  <si>
    <t>HBV</t>
  </si>
  <si>
    <t>Ambisome</t>
  </si>
  <si>
    <t>Tamiflu</t>
  </si>
  <si>
    <t>Phase</t>
  </si>
  <si>
    <t>MRK</t>
  </si>
  <si>
    <t>HCV</t>
  </si>
  <si>
    <t>Other</t>
  </si>
  <si>
    <t>COGS</t>
  </si>
  <si>
    <t>SG&amp;A</t>
  </si>
  <si>
    <t>R&amp;D</t>
  </si>
  <si>
    <t>EPS</t>
  </si>
  <si>
    <t>Shares</t>
  </si>
  <si>
    <t>AmBisome</t>
  </si>
  <si>
    <t>Emtriva (FTC)</t>
  </si>
  <si>
    <t>Royalty Revenue</t>
  </si>
  <si>
    <t>Net Interest</t>
  </si>
  <si>
    <t>Pretax income</t>
  </si>
  <si>
    <t>Roche has exclusive worldwide rights to manufacture and sell Tamiflu worldwide</t>
  </si>
  <si>
    <t>14% of the first $200M</t>
  </si>
  <si>
    <t>GILD royalty revenue on worldwide net sales</t>
  </si>
  <si>
    <t>18% of next $200M</t>
  </si>
  <si>
    <t>22% of remainder</t>
  </si>
  <si>
    <t>Combivir</t>
  </si>
  <si>
    <t>Sustiva</t>
  </si>
  <si>
    <t>Total</t>
  </si>
  <si>
    <t>Epivir</t>
  </si>
  <si>
    <t>Trizivir</t>
  </si>
  <si>
    <t>Epzicom</t>
  </si>
  <si>
    <t>Ziagen</t>
  </si>
  <si>
    <t>Retrovir</t>
  </si>
  <si>
    <t>Videx</t>
  </si>
  <si>
    <t>GS 9137</t>
  </si>
  <si>
    <t>GILD</t>
  </si>
  <si>
    <t>GSK</t>
  </si>
  <si>
    <t>BMY</t>
  </si>
  <si>
    <t>triple pill</t>
  </si>
  <si>
    <t>Cash</t>
  </si>
  <si>
    <t>Viread (tenofovir) for Hepatitis B</t>
  </si>
  <si>
    <t>Revenue</t>
  </si>
  <si>
    <t>Operating Expenses</t>
  </si>
  <si>
    <t>Gross Profit</t>
  </si>
  <si>
    <t>Net Income</t>
  </si>
  <si>
    <t>GS 9132, ACH-806</t>
  </si>
  <si>
    <t>Generic</t>
  </si>
  <si>
    <t>Brand</t>
  </si>
  <si>
    <t>Disease</t>
  </si>
  <si>
    <t>Hepatitis C</t>
  </si>
  <si>
    <t>Mechanism</t>
  </si>
  <si>
    <t>Development</t>
  </si>
  <si>
    <t>phase 1 - healthy volunteers</t>
  </si>
  <si>
    <t>Results</t>
  </si>
  <si>
    <t>n</t>
  </si>
  <si>
    <t>~20</t>
  </si>
  <si>
    <t>Q2 2006</t>
  </si>
  <si>
    <t>Protease Inhibitor ("which works through a novel mechanism of action involving HCV protease"), NS3/4A protease</t>
  </si>
  <si>
    <t>Enanta, ITMN, Medivir, SGP, VRTX, Idun</t>
  </si>
  <si>
    <t>Cystic Fibrosis</t>
  </si>
  <si>
    <t>Inhaled Antibiotic</t>
  </si>
  <si>
    <t>Fungal Infection</t>
  </si>
  <si>
    <t>Protease Inhibitors</t>
  </si>
  <si>
    <t>prevent viral replication by inhibiting the activity of protease, an enzyme used by the viruses to cleave nascent proteins for final assembly of new virons</t>
  </si>
  <si>
    <t>Reverse Transcriptase Inhibitors</t>
  </si>
  <si>
    <t>saquinavir (Fortovase)</t>
  </si>
  <si>
    <t>ritonavir (Norvir)</t>
  </si>
  <si>
    <t>indinavir (Crixivan)</t>
  </si>
  <si>
    <t>nelfinavir (Viracept)</t>
  </si>
  <si>
    <t>amprenavir (Agenerase)</t>
  </si>
  <si>
    <t>lopinavir (Kaletra)</t>
  </si>
  <si>
    <t>atazanavir (Reyataz)</t>
  </si>
  <si>
    <t>combination therapy is the standard treatment for HIV</t>
  </si>
  <si>
    <t>Fusion Inhibitors</t>
  </si>
  <si>
    <t>HAART - Highly Active Anti-Retroviral Therapy</t>
  </si>
  <si>
    <t>HIV has a high genetic variability - high mutation rate resulting from short life cycle</t>
  </si>
  <si>
    <t>will adapt to immune system + drugs</t>
  </si>
  <si>
    <t>HIV has inevitably adapted to all monotherapies</t>
  </si>
  <si>
    <t>preferred initial regimens are</t>
  </si>
  <si>
    <t>efavirenz + lamivudine or emtricitabine + zidovudine or tenofovir</t>
  </si>
  <si>
    <t>lopinavir boosted with ritonavir + zidovudine + lamivudine or emtricitabine</t>
  </si>
  <si>
    <t>Integrase Inhibitors</t>
  </si>
  <si>
    <t>Fuzeon</t>
  </si>
  <si>
    <t>used in combination therapy for HIV</t>
  </si>
  <si>
    <t>inhibit the enzyme integrase, which is responsible for integration of viral DNA into the DNA of the infected cell</t>
  </si>
  <si>
    <t>target construction of viral DNA by inhibiting activity of reverse transcriptase</t>
  </si>
  <si>
    <t>Fusion inhibitors block HIV from fusing with a cell's membrane to enter and infect it</t>
  </si>
  <si>
    <t>AZT + 3TC</t>
  </si>
  <si>
    <t>ABC + AZT + 3TC</t>
  </si>
  <si>
    <t>zidovudine/azidothymidine (Retrovir/Retrovis) - AZT/ZDV</t>
  </si>
  <si>
    <t>hypersensitivity reaction in under 10% of patients that results in sudden death</t>
  </si>
  <si>
    <t>genetic test is available to test with reasonably accuracy who will be hypersensitive</t>
  </si>
  <si>
    <t>generic</t>
  </si>
  <si>
    <t>Kaletra</t>
  </si>
  <si>
    <t>ABT</t>
  </si>
  <si>
    <t>company</t>
  </si>
  <si>
    <t>description</t>
  </si>
  <si>
    <t>name</t>
  </si>
  <si>
    <t>lopinavir + ritonavir</t>
  </si>
  <si>
    <t>ABC + 3TC</t>
  </si>
  <si>
    <t>emtricitabine + tenofovir</t>
  </si>
  <si>
    <t>Fixed-dose Combination Therapies</t>
  </si>
  <si>
    <t>zidovudine/azidothymidine (AZT, ZDV)</t>
  </si>
  <si>
    <t>abacavir (ABC)</t>
  </si>
  <si>
    <t>didanosine (Videx) - ddI</t>
  </si>
  <si>
    <t xml:space="preserve">emtricitabine + tenofovir + </t>
  </si>
  <si>
    <t>didanosine</t>
  </si>
  <si>
    <t>zalcitabine (Hivid) - ddC</t>
  </si>
  <si>
    <t>RHHBY</t>
  </si>
  <si>
    <t>least potent NRTI</t>
  </si>
  <si>
    <t>most powerful NRTI</t>
  </si>
  <si>
    <t>stavudine (Zerit) - d4T</t>
  </si>
  <si>
    <t>lamivudine (Epivir) - 3TC</t>
  </si>
  <si>
    <t>emtricitabine (Emtriva)</t>
  </si>
  <si>
    <t>Nucleoside analog RTIs</t>
  </si>
  <si>
    <t>Nucleotide analog RTIs</t>
  </si>
  <si>
    <t>tenofovir (Viread)</t>
  </si>
  <si>
    <t>Non-nucleoside RTIs</t>
  </si>
  <si>
    <t>nevirapine (Viramune)</t>
  </si>
  <si>
    <t>Boehringer-Ingelheim</t>
  </si>
  <si>
    <t>efavirenz (Sustiva)</t>
  </si>
  <si>
    <t>delavirdine (Rescriptor)</t>
  </si>
  <si>
    <t>PFE</t>
  </si>
  <si>
    <t>MK 0518</t>
  </si>
  <si>
    <t>Maturation Inhibitors</t>
  </si>
  <si>
    <t>PA 457</t>
  </si>
  <si>
    <t>Cellular Inhibitors</t>
  </si>
  <si>
    <t>Droxia</t>
  </si>
  <si>
    <t>hydroxyurea</t>
  </si>
  <si>
    <t>Antisense Antivirals</t>
  </si>
  <si>
    <t>http://www.aidsmeds.com/List.htm</t>
  </si>
  <si>
    <t>Price</t>
  </si>
  <si>
    <t>Main</t>
  </si>
  <si>
    <t>Brand Name</t>
  </si>
  <si>
    <t>Generic Name</t>
  </si>
  <si>
    <t>Clinical Trials</t>
  </si>
  <si>
    <t>Prescriptions</t>
  </si>
  <si>
    <t>232k, 15% q/q from Q106.</t>
  </si>
  <si>
    <t>Atripla</t>
  </si>
  <si>
    <t>Viread (tenofovir)</t>
  </si>
  <si>
    <t>Emtriva (emtricitabine)</t>
  </si>
  <si>
    <t>Truvada (tenofovir/emtricitabine)</t>
  </si>
  <si>
    <t>Hepsera (adefovir)</t>
  </si>
  <si>
    <t>adefovir</t>
  </si>
  <si>
    <t>Notes</t>
  </si>
  <si>
    <t>Q206 GILD notes Baraclude gaining at the expense of 3TC</t>
  </si>
  <si>
    <t>600mg Sustiva, 200mg Truvada, 300mg Viread</t>
  </si>
  <si>
    <t>1150.88 for 30 pills - exact sum of the parts</t>
  </si>
  <si>
    <t>62%, BMY</t>
  </si>
  <si>
    <t xml:space="preserve">  20mg, 50mgs and 125mgs qd boosted by 100mg of ritonavir; control is ritonavir-boosted PI regimen. Patients must have been on two prior antiretrovirals</t>
  </si>
  <si>
    <t>p1/2 data evaluated the drug for 10 days as monotherapy</t>
  </si>
  <si>
    <t xml:space="preserve">  200mg bid, 400mg bid, 800mg qd, 50mg qd (boosted with 100mg ritonavir), placebo</t>
  </si>
  <si>
    <t>n=6 for each cohort; treatment-naïve and treatment experienced</t>
  </si>
  <si>
    <t>400mg and 800mg bid and 50mg+ritonavir had ~2.0 log reduction.</t>
  </si>
  <si>
    <t>MK-0518 in phase III; bid dosing showed 1.7-2.2log reduction at 10 days. P3 testing is for patients currently failing therapy</t>
  </si>
  <si>
    <t>p1b study to start in August</t>
  </si>
  <si>
    <t>Enrollment in Phase II trials complete - 102 and 103 - Viread or Hepsera randomized over 48 weeks - data in 2h07</t>
  </si>
  <si>
    <t>Cayston</t>
  </si>
  <si>
    <t>aztreonam lysine</t>
  </si>
  <si>
    <t>antibiotic against pseudomonas aeruginosa and Burkholderia cepacia gram negative bacteria</t>
  </si>
  <si>
    <t>TOBI - inhalable tobramycin, Pulmozyme (inhalable dornase alfa), inhaled bronchodilators and steroids</t>
  </si>
  <si>
    <t>TOBI is poorly tolerated and susceptible to viral resistance</t>
  </si>
  <si>
    <t>TOBI</t>
  </si>
  <si>
    <t>TOTEM: Switch from other NRTIs to qd Truvada</t>
  </si>
  <si>
    <t>SONETT: Switch study to qd HIV regimen with truvada</t>
  </si>
  <si>
    <t>PRECOMB: peripheral body fat distribution after switching from AZT containing backbone to truvada</t>
  </si>
  <si>
    <t>ALTAIR: alternative antiretroviral strategies: a comparison of 3 initial regimens</t>
  </si>
  <si>
    <t>INITIO: published in Lancet - better outcomes vs protease?</t>
  </si>
  <si>
    <t>96-week data comparing Viread/Emtriva/Sustiva to Combivir/Sustiva</t>
  </si>
  <si>
    <t xml:space="preserve">  75% vs 62% efficacy superiority (p=0.004)</t>
  </si>
  <si>
    <t>7% is due to AE withdrawal and &gt;4% is due to virologic rebound</t>
  </si>
  <si>
    <t>SS increase in limb fat in Viread and a SS decrease in Combivir. This demonstrates less lipodystrophy than Combivir.</t>
  </si>
  <si>
    <t>Phase IIB treatment-naïve</t>
  </si>
  <si>
    <t>n=198 randomized to Viread, Epivir and 100mg, 200mg, 400mg, 600mg MK-0518 bid or Sustiva qd</t>
  </si>
  <si>
    <t>85-95% undetectable compared to 92% for Sustiva.</t>
  </si>
  <si>
    <t>1 discontinuation due to elevated liver enzymes</t>
  </si>
  <si>
    <t>2/8/2006: Integrase p1/2 data. 2-log reduction. Data presented at CROI.</t>
  </si>
  <si>
    <t>Phase II treatment-naïve MK-0518+Truvada vs Sustiva+Truvada trial</t>
  </si>
  <si>
    <t>Phase II treatment-experienced presented at ICAAC</t>
  </si>
  <si>
    <t>24-weeks: 57-67% of MK-0518+SOC achieved HIV RNA &lt;50copies/mL vs 14% of placebo+SOC.</t>
  </si>
  <si>
    <t>PAH</t>
  </si>
  <si>
    <t>Approved</t>
  </si>
  <si>
    <t>Met primary endpoint: time to need for inhaled or IV antibiotics.</t>
  </si>
  <si>
    <t>n=247 cystic fibrosis patients with P. Aeruginosa infections.</t>
  </si>
  <si>
    <t>AIR-CF2 Phase III study</t>
  </si>
  <si>
    <t>AIR-CF3</t>
  </si>
  <si>
    <t>Approval</t>
  </si>
  <si>
    <t>9% discontinuation for Combivir vs 4% for Truvada</t>
  </si>
  <si>
    <t>CD4 increases was 190 vs 158 p=0.002</t>
  </si>
  <si>
    <t>&lt;50 copies was 80% vs 70% p=0.02</t>
  </si>
  <si>
    <t>HIV RNA &lt;400 copies/ml was 84% vs 73% in favor of Truvada. P=0.002</t>
  </si>
  <si>
    <t>48 week data. The study plans to continue through 144 weeks</t>
  </si>
  <si>
    <t>n=517 in US and EU</t>
  </si>
  <si>
    <t>published in NEJM 2006 354;3, 251-260</t>
  </si>
  <si>
    <t>Study 934: Compared Truvada + Sustiva vs. Combivir + Sustiva</t>
  </si>
  <si>
    <t>% of</t>
  </si>
  <si>
    <t>AWP</t>
  </si>
  <si>
    <t>Drug</t>
  </si>
  <si>
    <t>Companies would get revenues proportional to the makeup of the compound</t>
  </si>
  <si>
    <t>Actual</t>
  </si>
  <si>
    <t>Patients</t>
  </si>
  <si>
    <t>Debt</t>
  </si>
  <si>
    <t>darusentan</t>
  </si>
  <si>
    <t>~88000 PAH in US</t>
  </si>
  <si>
    <t>30% of those are diagnosed, 85% of that 30% are on oral therapy</t>
  </si>
  <si>
    <t>40% of the oral therapy are on endothelin antagonist</t>
  </si>
  <si>
    <t>40% of 24000</t>
  </si>
  <si>
    <t>component will be share gain - ATLN made the market</t>
  </si>
  <si>
    <t>there is opportunity for market growth - by increasing diagnoses</t>
  </si>
  <si>
    <t>patent life for ambrisentan - 2018</t>
  </si>
  <si>
    <t>royalty obligation to ABT for ambrisentan and darusentan</t>
  </si>
  <si>
    <t>ambrisentan tiered</t>
  </si>
  <si>
    <t>darusentan starts at 14%</t>
  </si>
  <si>
    <t>Truvada is now the standard of care for treatment-naïve patients</t>
  </si>
  <si>
    <t>market research data from GILD suggests capture of 66% of new patient starts</t>
  </si>
  <si>
    <t>NDC</t>
  </si>
  <si>
    <t>TRx</t>
  </si>
  <si>
    <t>NRx</t>
  </si>
  <si>
    <t>TRx %</t>
  </si>
  <si>
    <t>NRx %</t>
  </si>
  <si>
    <t>Atripla NDC</t>
  </si>
  <si>
    <t>Truvada NDC</t>
  </si>
  <si>
    <t>Viread NDC</t>
  </si>
  <si>
    <t>Hepsera NDC</t>
  </si>
  <si>
    <t>February 23 2007: GS9137 integrase p2 interim data 24-week efficacy</t>
  </si>
  <si>
    <t>Study met primary endpoint of non-inferiority vs protease inhibitors. P=0.02 for 125mg arm.</t>
  </si>
  <si>
    <t>Admin</t>
  </si>
  <si>
    <t>Oral qd</t>
  </si>
  <si>
    <t>50mg had 38% undetectable at 16 weeks. 125mg had 40%. 64-84% of MK-518 was undetectable at 16 weeks in phase 2. Phase 3 data shows 60% vs 33-36% control.</t>
  </si>
  <si>
    <t>Phase II - 2/23/07 - enrollment completed during Q206 - CROI 2007 - Zolopa et al.</t>
  </si>
  <si>
    <t>n=278, 3-dose study in treatment-experienced patients</t>
  </si>
  <si>
    <t>At 24 weeks GS9137 had -1.7 log reduction vs -1.2 log for boosted protease inhibitors</t>
  </si>
  <si>
    <t>Influenza</t>
  </si>
  <si>
    <t>Letairis (ambrisentan)</t>
  </si>
  <si>
    <t>PAH Patients</t>
  </si>
  <si>
    <t>Diagnosed</t>
  </si>
  <si>
    <t>Penetration</t>
  </si>
  <si>
    <t>Sales</t>
  </si>
  <si>
    <t>ARIES-2 - conducted in EU, South America and Israel, using 2.5g and 5mg.</t>
  </si>
  <si>
    <t>ARIES-1 - conducted in the US, using 5mg and 10mg</t>
  </si>
  <si>
    <t>35-meter improvement in 6MW</t>
  </si>
  <si>
    <t>they can show between 25 to 35m with SS</t>
  </si>
  <si>
    <t>get data end of November/early December</t>
  </si>
  <si>
    <t>liver tox "incredibly low" vs. other PAH studies</t>
  </si>
  <si>
    <t>Letairis</t>
  </si>
  <si>
    <t>ambrisentan</t>
  </si>
  <si>
    <t>Safety</t>
  </si>
  <si>
    <t>BB warning for liver tox associated with the drug class. LEAP access program.</t>
  </si>
  <si>
    <t>Model</t>
  </si>
  <si>
    <t>PK</t>
  </si>
  <si>
    <t>ROG VX</t>
  </si>
  <si>
    <t>AMB-222</t>
  </si>
  <si>
    <t>$3,940 per month.</t>
  </si>
  <si>
    <t>HIV, HBV</t>
  </si>
  <si>
    <t>Met primary endpoint of non-inferiority to Hepsera in HBV-e-antigen-negative patients.</t>
  </si>
  <si>
    <t>MC</t>
  </si>
  <si>
    <t>EV</t>
  </si>
  <si>
    <t>Flolan</t>
  </si>
  <si>
    <t>Patients who are resistant to 3 full doses of antihypertensives including a diuretic.</t>
  </si>
  <si>
    <t>First patients enroll 6/30/07</t>
  </si>
  <si>
    <t>GS9190</t>
  </si>
  <si>
    <t>Tracleer (bosentan), Thelin (sitaxsentan), DARA. Bosentan does not have dosing flexibility?</t>
  </si>
  <si>
    <t>Ambrisentan has a lack of warfarin/coumadin interaction.</t>
  </si>
  <si>
    <t>PAH (pulmonary arterial hypertension). 75k-90k with the disease, 35-45% diagnosed.</t>
  </si>
  <si>
    <t xml:space="preserve">  Scleroderma patients get PAH.</t>
  </si>
  <si>
    <t>Cystic Fibrosis related pulmonary infections - 30k CF in the US, 30k in EU.</t>
  </si>
  <si>
    <t>AIR-CF1 Phase III study</t>
  </si>
  <si>
    <t>75mg inhaled of Cayston vs placebo given for 28 days.</t>
  </si>
  <si>
    <t xml:space="preserve">  QOL endpoint requested by FDA. 10 point difference was found. 5 points is considered clinical advantage.</t>
  </si>
  <si>
    <t>FEV1 improved significantly, similar to TOBI except in older patients.</t>
  </si>
  <si>
    <t xml:space="preserve">  250,000 US patients who are undiagnosed.</t>
  </si>
  <si>
    <t>Study 438</t>
  </si>
  <si>
    <t>Rx</t>
  </si>
  <si>
    <t>Hepatitis B (HBV). High incidence but low diagnosis.</t>
  </si>
  <si>
    <t>Baraclude, Sebivo, 3TC (lamivudine)</t>
  </si>
  <si>
    <t>70.8% complete response for Viread vs 48.8% for Hepsera (nodal score and viral load reduction).</t>
  </si>
  <si>
    <t>e-antigen-positive patients, which are harder.</t>
  </si>
  <si>
    <t>Same endpoint - 66.5% vs 12.2% response rate.</t>
  </si>
  <si>
    <t>QD BID</t>
  </si>
  <si>
    <t>Polymerase inhibitor.</t>
  </si>
  <si>
    <t>IMS</t>
  </si>
  <si>
    <t>Monthly</t>
  </si>
  <si>
    <t>Quarterly</t>
  </si>
  <si>
    <t xml:space="preserve">%w/w </t>
  </si>
  <si>
    <t>%m/m</t>
  </si>
  <si>
    <t>%q/q</t>
  </si>
  <si>
    <t>%y/y</t>
  </si>
  <si>
    <t>% 2 q/q</t>
  </si>
  <si>
    <t>% of Q</t>
  </si>
  <si>
    <t>Q vs A</t>
  </si>
  <si>
    <t>Projected Q207 Revenues</t>
  </si>
  <si>
    <t xml:space="preserve">Product sales </t>
  </si>
  <si>
    <t>Royalty</t>
  </si>
  <si>
    <t>Phase III HBV n=375 -  Study 102</t>
  </si>
  <si>
    <t>Phase III HBV - Study 103</t>
  </si>
  <si>
    <t>Study 934 - HIV - 3-year data coming up at IAS</t>
  </si>
  <si>
    <t>Study 903 - 5-year data at IAS</t>
  </si>
  <si>
    <t>tenofovir</t>
  </si>
  <si>
    <t>1.0m-1.2m patients with HIV in the US. 750k-900k are diagnosed. 500k are on ARV. 310k are on tenofovir.</t>
  </si>
  <si>
    <t xml:space="preserve">  Will ammend protocol to reduce # of HTN drugs from 4 to 3.</t>
  </si>
  <si>
    <t>Darusentan vs guanfasine vs placebo 3:3:1</t>
  </si>
  <si>
    <t>EU in 2H 2007 - method of dosing with or without food is topic of controversey</t>
  </si>
  <si>
    <t>Phase I SAD</t>
  </si>
  <si>
    <t>Has shown positive efficacy and PK.</t>
  </si>
  <si>
    <t>Phase I MAD - data in Q3 2007</t>
  </si>
  <si>
    <t>Likely non-inferiority study vs MRK drug.</t>
  </si>
  <si>
    <t>Phase III - begins in Q3/Q4 2007 - availability of MRK drug limits speed of this study</t>
  </si>
  <si>
    <t>7% increase as of 4/1/06. $482/mo - Q2 2007</t>
  </si>
  <si>
    <t>Availability in Europe might be 2009? Comments from MRK adcom?</t>
  </si>
  <si>
    <t xml:space="preserve">cfq-r score was primary endpoint. </t>
  </si>
  <si>
    <t>II</t>
  </si>
  <si>
    <t>Timeline</t>
  </si>
  <si>
    <t>Administration</t>
  </si>
  <si>
    <t>Inhaled nebulizer which takes 3 minutes. TOBI is 20 minutes.</t>
  </si>
  <si>
    <t>GS9310/11</t>
  </si>
  <si>
    <t>I</t>
  </si>
  <si>
    <t>2021?</t>
  </si>
  <si>
    <t>2017+</t>
  </si>
  <si>
    <t>Peripheral Edema 7-12%.</t>
  </si>
  <si>
    <t>ACTG5202 - NIAID-sponsored study - To be presented in August 2008?</t>
  </si>
  <si>
    <t>abacavir (ABC) showed inferior virologic control and increased AE vs tenofovir.</t>
  </si>
  <si>
    <t>BICOMBO</t>
  </si>
  <si>
    <t>Fosfomycin/TOBI</t>
  </si>
  <si>
    <t>Resistant Hypertension. 7 million drug-treated hypertensive patients on 3+ drug regimens. 2-3m in the US are resistant or uncontrolled. - GILD #s.</t>
  </si>
  <si>
    <t>Phase III - Study 311 - placebo-controlled study - 53% enrolled as of 4/2008</t>
  </si>
  <si>
    <t>Phase III - Study 312 - active comparator - n=770 - 17% enrolled as of 4/2008</t>
  </si>
  <si>
    <t>Phase II - Published in J of Clinical Hypertension 2007</t>
  </si>
  <si>
    <t>0.46-1.49 log reduction. 120mg has QT signal. Will develop with 40mg.</t>
  </si>
  <si>
    <t>Demonstrates abacavir may increase the risk of cardiovascular disease. 90% increase in MI.</t>
  </si>
  <si>
    <t>DAD - Published in Lancet 4/2008</t>
  </si>
  <si>
    <t>6/15/2007</t>
  </si>
  <si>
    <t>9/23/2002</t>
  </si>
  <si>
    <t>2/7/2003</t>
  </si>
  <si>
    <t>6/12/2006</t>
  </si>
  <si>
    <t>10/26/2001</t>
  </si>
  <si>
    <t>2/8/2004</t>
  </si>
  <si>
    <t>1/8/1997</t>
  </si>
  <si>
    <t>9/20/1995</t>
  </si>
  <si>
    <t>EU, Astellas GSK</t>
  </si>
  <si>
    <t>Early sub-group analysis showed increase cardiovascular risk.</t>
  </si>
  <si>
    <t>n=5742, continuous ART or episodic ART. Increased progression in the episodic arm resulted in a stopping of this arm in 2006.</t>
  </si>
  <si>
    <t>SMART - NEJM results</t>
  </si>
  <si>
    <t>Step-down royalty after Sustiva expiry required. GILD assumes pricing control post-expiry 20-12-2014.</t>
  </si>
  <si>
    <t xml:space="preserve">4.7% increase 10/1/08. 7.9% increase 1/1/08. 6% price increase April 1st. </t>
  </si>
  <si>
    <t>8.5% price increase 8/1/08, 6.9% increase 1/1/08. $602?/m on Q2 2007 call.</t>
  </si>
  <si>
    <t>5922695 - Issued 6/13/99, Filed 6/25/97.</t>
  </si>
  <si>
    <t>Kivexa</t>
  </si>
  <si>
    <t>abacavir (Ziagen) - ABC - all abacavir containing regimens have a total of 170k patients in the US/EU - GILD 11/08</t>
  </si>
  <si>
    <t>$16,000 WAC.</t>
  </si>
  <si>
    <t>China 700,000 infected with HIV and 85,000 with AIDS - 2007 Government statistics.</t>
  </si>
  <si>
    <t xml:space="preserve">  Most infections occur in rural areas where healthcare is not advanced. Lancet 2008.</t>
  </si>
  <si>
    <t>Q109</t>
  </si>
  <si>
    <t>Parion</t>
  </si>
  <si>
    <t>Sodium Channel</t>
  </si>
  <si>
    <t>NA-ACCORD data may influence change to guidelines.</t>
  </si>
  <si>
    <t>Q209</t>
  </si>
  <si>
    <t>Q309</t>
  </si>
  <si>
    <t>Q409</t>
  </si>
  <si>
    <t>JPM June 2009 comments: survey suggests high doctor sensitivity to dHHS. We see upside if CD4 recs move to &lt;500.</t>
  </si>
  <si>
    <t>Guidelines: dHHS recommends Epizcom be used as an alternative (ACTG 5202?, DAD?)</t>
  </si>
  <si>
    <t>9/16/2008 PDUFA date. FDA requesting more studies. EMEA changed opinion in June 2009--expect approval 3 months thereafter.</t>
  </si>
  <si>
    <t>Ranexa</t>
  </si>
  <si>
    <t>2009-01</t>
  </si>
  <si>
    <t>2009-02</t>
  </si>
  <si>
    <t>2009-03</t>
  </si>
  <si>
    <t>2009-04</t>
  </si>
  <si>
    <t>2009-05</t>
  </si>
  <si>
    <t>Angina</t>
  </si>
  <si>
    <t>CCBs</t>
  </si>
  <si>
    <t>XR patent</t>
  </si>
  <si>
    <t>Marketing</t>
  </si>
  <si>
    <t>QUAD pill to show less nightmares than Sustiva?</t>
  </si>
  <si>
    <t>JNJ</t>
  </si>
  <si>
    <t>MRK, GSK/PFE</t>
  </si>
  <si>
    <t>2008-12</t>
  </si>
  <si>
    <t>2008-11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</si>
  <si>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</si>
  <si>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</si>
  <si>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</si>
  <si>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</si>
  <si>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</si>
  <si>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</si>
  <si>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</si>
  <si>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</si>
  <si>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</si>
  <si>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</si>
  <si>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2007-12</t>
  </si>
  <si>
    <t>2007-11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</si>
  <si>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</si>
  <si>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</si>
  <si>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</si>
  <si>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</si>
  <si>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</si>
  <si>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</si>
  <si>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</si>
  <si>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</si>
  <si>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</si>
  <si>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Atripla (tenofovir+ETC+Sustiva)</t>
  </si>
  <si>
    <t>EACS - European Body now recommending treatment from 350-500, previously was 350.</t>
  </si>
  <si>
    <t>GS 9137, GS9350</t>
  </si>
  <si>
    <t>integrase inhibitor, PK booster</t>
  </si>
  <si>
    <t>Lowers measured creatinine clearance. hOCT2 inhibition?</t>
  </si>
  <si>
    <t>Q110</t>
  </si>
  <si>
    <t>Q210</t>
  </si>
  <si>
    <t>Q310</t>
  </si>
  <si>
    <t>Q410</t>
  </si>
  <si>
    <t>Q111</t>
  </si>
  <si>
    <t>Q211</t>
  </si>
  <si>
    <t>Q311</t>
  </si>
  <si>
    <t>Q411</t>
  </si>
  <si>
    <t>ARTEMIS - IPF study failed on 12/23/2010</t>
  </si>
  <si>
    <t>12/23/2010: Acquires Arresto Biosciences.</t>
  </si>
  <si>
    <t>12/10/2010: Discontinued GS9219: a nucleotide analogue for CLL, NHL, MM due to safety concerns.</t>
  </si>
  <si>
    <t>Phase III CAPRISA 004</t>
  </si>
  <si>
    <t>Phase III iPrEx</t>
  </si>
  <si>
    <t>S/E</t>
  </si>
  <si>
    <t>L+S/E</t>
  </si>
  <si>
    <t>Other LT</t>
  </si>
  <si>
    <t>Taxes Payable</t>
  </si>
  <si>
    <t>D/R</t>
  </si>
  <si>
    <t>Other Accrued</t>
  </si>
  <si>
    <t>Accrued Compensation</t>
  </si>
  <si>
    <t>Accrued Government</t>
  </si>
  <si>
    <t>A/P</t>
  </si>
  <si>
    <t>Assets</t>
  </si>
  <si>
    <t>Intangibles</t>
  </si>
  <si>
    <t>Tax Assets</t>
  </si>
  <si>
    <t>Prepaid Royalties</t>
  </si>
  <si>
    <t>PP&amp;E</t>
  </si>
  <si>
    <t>OCA</t>
  </si>
  <si>
    <t>Prepaid Expenses</t>
  </si>
  <si>
    <t>Prepaid Taxes</t>
  </si>
  <si>
    <t>Deferred Taxes</t>
  </si>
  <si>
    <t>Inventories</t>
  </si>
  <si>
    <t>A/R</t>
  </si>
  <si>
    <t>9/2009: Submitted MAA to EMEA for Truvada+rilpivirine.</t>
  </si>
  <si>
    <t>Q408</t>
  </si>
  <si>
    <t>Q308</t>
  </si>
  <si>
    <t>Q208</t>
  </si>
  <si>
    <t>Q108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</si>
  <si>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</si>
  <si>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</si>
  <si>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</si>
  <si>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</si>
  <si>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</si>
  <si>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</si>
  <si>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</si>
  <si>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</si>
  <si>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</si>
  <si>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</si>
  <si>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</si>
  <si>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</si>
  <si>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</si>
  <si>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</si>
  <si>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</si>
  <si>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</si>
  <si>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Q303</t>
  </si>
  <si>
    <t>Q403</t>
  </si>
  <si>
    <t>Q203</t>
  </si>
  <si>
    <t>Q103</t>
  </si>
  <si>
    <t>Q402</t>
  </si>
  <si>
    <t>Q302</t>
  </si>
  <si>
    <t>Q202</t>
  </si>
  <si>
    <t>Q102</t>
  </si>
  <si>
    <t>Tax Rate</t>
  </si>
  <si>
    <t>2/8/07: Discontinues GS9132.</t>
  </si>
  <si>
    <t>2007: GS9160, GS9224 discontinued.</t>
  </si>
  <si>
    <t>2006: Acquires Corus?</t>
  </si>
  <si>
    <t>6/2010: acquired private co CGI for $91m cash &amp; $30m pot milestones, for small molecule inhibitors of spleen tyrosine kinase (Syk), lead preclinical compound for inflam diseases such as RA.</t>
  </si>
  <si>
    <t>ICAAC 2010</t>
  </si>
  <si>
    <t>48-wk Ph2 Quad vs Atripla and PI-boosting cobicistat v ritonavir</t>
  </si>
  <si>
    <t>mirror earlier 24-wk data but w 2 unresolved safety concerns: potential GI and lipid tox</t>
  </si>
  <si>
    <t>both Atripla &amp; ritonavir cause GI distress, and rates nausea/vomit comparable b/n Quad and Atripla, and balanced for cobicistat and ritonavir</t>
  </si>
  <si>
    <t>however, not clear-cut since investigator noted milder less frequent GI effects w Quad v Atripla, unusually low rate GI AE w ritonavir, and one Gr3/4 vomit w cobicistat after 1st dose</t>
  </si>
  <si>
    <t>both Atripla &amp; ritonavir have unfavorable lipid changes -- unclear if Quad will have similar problems</t>
  </si>
  <si>
    <t>slight numerical increase triglyceride levels w Quad v Atripla, but numerically lower TG levels for cobicistat vs ritonavir</t>
  </si>
  <si>
    <t>mixed reports Gr3/4 hypercholesterolemia (9% Quad v 25% Atripla, 7% cobicistat vs 4% ritonavir)</t>
  </si>
  <si>
    <t>unexpected side effect of rash in 3/48 (6%) of Quad and 0/23 Atripla pts</t>
  </si>
  <si>
    <t>2 pts in cobicistat arm had Gr3/4 rash, w one requiring discontinuation at Wk 2</t>
  </si>
  <si>
    <t>*cobicistat booster in Quad prev shown to cause small increase in serum creatinine (Cr) but does not affect GFR</t>
  </si>
  <si>
    <t>non-nucleoside PI</t>
  </si>
  <si>
    <t>GS9451</t>
  </si>
  <si>
    <t>GS5885</t>
  </si>
  <si>
    <t>NS5A inhibitor</t>
  </si>
  <si>
    <t>from ICAAC 2010</t>
  </si>
  <si>
    <t>in Q4 GILD will initiate 2 combo PI/non-nuc studies w P/R+GS9190+GS9256 and P/R+GS9190+GS9451</t>
  </si>
  <si>
    <t>studies will employ response-guided protocol (pts who meet strict definition of rapid virologic response, incl "-" viral load at Wks 2 + 4) will be randomized to 24- or 16-wk regimen</t>
  </si>
  <si>
    <t>*data expected early 2012</t>
  </si>
  <si>
    <t>3-day data fr 42-pt monotx study</t>
  </si>
  <si>
    <t xml:space="preserve">3.2-3.5 log viral load reduction </t>
  </si>
  <si>
    <t>1 pt developed Gr4 total bilirubin levels, and slight increase in ALT the day after bilirubin elevation resolved</t>
  </si>
  <si>
    <t>supposedly 11-day data fr healthy volunteer drug-drug interaction study w GS9190 had no outlier liver enzyme elevations</t>
  </si>
  <si>
    <t>CF/COPD</t>
  </si>
  <si>
    <t>GS9667</t>
  </si>
  <si>
    <t>diabetes/dyslipidemia</t>
  </si>
  <si>
    <t>partial A1 adenosine agonist</t>
  </si>
  <si>
    <t>GS9620</t>
  </si>
  <si>
    <t>GS9411 (not listed on pipeline chart)</t>
  </si>
  <si>
    <t>2015/2016?</t>
  </si>
  <si>
    <t>NS3 Protease Inhibitor</t>
  </si>
  <si>
    <t>IIb</t>
  </si>
  <si>
    <t>Liabilities</t>
  </si>
  <si>
    <t>Common stock</t>
  </si>
  <si>
    <t>APIC</t>
  </si>
  <si>
    <t>Acc. Other</t>
  </si>
  <si>
    <t>Retained earnings</t>
  </si>
  <si>
    <t>Genotypes 1, 2, 3</t>
  </si>
  <si>
    <t>7977 + ribavarin for 24 weeks</t>
  </si>
  <si>
    <t>Schoenebaum poll of 204 WS investors sugests 62% SVR4 for HCV1 patients.</t>
  </si>
  <si>
    <t>2/17/12 PR</t>
  </si>
  <si>
    <t>8/10 patients in HCV1 relapsed within 4 weeks of completing 12 week treatment.  2 did not relapse but have only reached 2 weeks post treatment time point.</t>
  </si>
  <si>
    <t>This was the prior "null" to an IFN treatment regimen arm</t>
  </si>
  <si>
    <t>Phase 2b QUANTUM</t>
  </si>
  <si>
    <t>4 arms</t>
  </si>
  <si>
    <t>studied for 12 and 24 weeks</t>
  </si>
  <si>
    <t>placebo studied for 24 weeks</t>
  </si>
  <si>
    <t>7977 (400mg QD) and ribavarin</t>
  </si>
  <si>
    <t>12/16/11 PR</t>
  </si>
  <si>
    <t>Amended the design of trial.  Discontinuing all 938 treatment arms.   235 patients were receiving the drug.</t>
  </si>
  <si>
    <t>Abnormalities with liver function detected in 938 (300mg QD) patients</t>
  </si>
  <si>
    <t>938 alone (300mg QD). Stopped</t>
  </si>
  <si>
    <t>938 (300mg QD) and 7977 (400mg QD).  Stopped</t>
  </si>
  <si>
    <t>938 (300mg QD), 7977 (400mg QD) and ribavarin. Stopped</t>
  </si>
  <si>
    <t>Phase 2 ATOMIC</t>
  </si>
  <si>
    <t>SVR12 of 90% (n=47/52).  Undetectable viral load (HCV RNA &lt;25 IU/ml) at 12 weeks post completion of therapy</t>
  </si>
  <si>
    <t>one patient lost to follow up</t>
  </si>
  <si>
    <t>at end of treatment 51/51 were HCV RNA undetectable</t>
  </si>
  <si>
    <t>at 12 weeks post treatment completion, 50/51 patients were available for follow up</t>
  </si>
  <si>
    <t>47/50 (94%) remained HCV RNA undetectable</t>
  </si>
  <si>
    <t>3 patients relapsed</t>
  </si>
  <si>
    <t>GS-7977 (400mg QD) + IFN (180ug weekly injection) + RBV (500mg BID) in HCV1 naïve</t>
  </si>
  <si>
    <t xml:space="preserve">n=316.  non-cirrhotic and had HCV RNA of at least 50,000 IU/mL.  </t>
  </si>
  <si>
    <t>randomized 1:2:3</t>
  </si>
  <si>
    <t>n=52 for 12 weeks</t>
  </si>
  <si>
    <t>n=155 for 12 weeks followed by re-randomization (1:1) to receive additional 12 weeks of either GS-7977 alone or GS-7977 + RBV</t>
  </si>
  <si>
    <t xml:space="preserve">4/19/2012 Press release.  n=52 for 12 weeks data </t>
  </si>
  <si>
    <t>Patients in all arms will be followed to determine their 12 &amp; 24 weeks SVR.</t>
  </si>
  <si>
    <t>n=109 for 24 weeks (16 of these were HCV4/HCV6 genotype)</t>
  </si>
  <si>
    <t>Phase 2 Electron</t>
  </si>
  <si>
    <t>randomized, open label</t>
  </si>
  <si>
    <t>HCV1 Naïve.  88% (n=22/25) remained HCV RNA undetectable 4 weeks after completion (SVR4).  3 experienced relapse</t>
  </si>
  <si>
    <t>uridine nuclotide analog</t>
  </si>
  <si>
    <t>Class</t>
  </si>
  <si>
    <t>n=10, treatment naïve, non cirrhotic with HCV2 or HCV3.  PSI-7977 + PEG/RBV for 8 weeks</t>
  </si>
  <si>
    <t>n=25, prior non-responders, HCV2/HCV3, PSI-7977/RBV for 12 weeks</t>
  </si>
  <si>
    <t>n=25, treatment naïve, non-cirrhotic, HCV1, PSI-7977/RBV for 12 weeks.</t>
  </si>
  <si>
    <t>4 treatment arms.  GS-7977 400mg QD</t>
  </si>
  <si>
    <t>n=10, previous null responders (previous IFN failures), HCV1, PSI-7977/RBV for 12 weeks</t>
  </si>
  <si>
    <t>Baseline HCV RNA 6.1log10</t>
  </si>
  <si>
    <t>all 10 achieved HCV RNA &lt;LOD by week 2 and &lt;LOD through week 8</t>
  </si>
  <si>
    <t>4/19/12 EASL</t>
  </si>
  <si>
    <t>7/7 subjects remain HCV RNA &lt;LOD 2 weeks into follow up</t>
  </si>
  <si>
    <t>5/5 to date have SVR4</t>
  </si>
  <si>
    <t>enrolled 9 prior null responders with GT1, BL HCV RNA 6.0log10 IU/mL</t>
  </si>
  <si>
    <t>7/9 had HCV RNA &lt;LOD by week 2</t>
  </si>
  <si>
    <t>4/19/12 EASL.  Poster 1113</t>
  </si>
  <si>
    <t>11 patients had GT4</t>
  </si>
  <si>
    <t>5 patients with GT6</t>
  </si>
  <si>
    <t>mean age of 50 yrs</t>
  </si>
  <si>
    <t>mean BMI of 28.  65% male, 10% black, 20% hispanic</t>
  </si>
  <si>
    <t>mean baseline HGV RNA 6.4log10 IU/ml and 18% of subjects have IL28B genotype TT</t>
  </si>
  <si>
    <t>At abstract submission, all subjects have received &gt;= 8 weeks of 7977.</t>
  </si>
  <si>
    <t>GS7977</t>
  </si>
  <si>
    <t>sofosbuvir</t>
  </si>
  <si>
    <t>ABT, BMY</t>
  </si>
  <si>
    <t>Q313</t>
  </si>
  <si>
    <t>Stribild (Truvada/elvitegravir/cobicistat)</t>
  </si>
  <si>
    <t>Sovaldi (sofosbuvir)</t>
  </si>
  <si>
    <t>Q112</t>
  </si>
  <si>
    <t>Q212</t>
  </si>
  <si>
    <t>Q312</t>
  </si>
  <si>
    <t>Q412</t>
  </si>
  <si>
    <t>Q113</t>
  </si>
  <si>
    <t>Q213</t>
  </si>
  <si>
    <t>Q413</t>
  </si>
  <si>
    <t>Q114</t>
  </si>
  <si>
    <t>Q214</t>
  </si>
  <si>
    <t>Q314</t>
  </si>
  <si>
    <t>Q414</t>
  </si>
  <si>
    <t>Stribild</t>
  </si>
  <si>
    <t>Sovaldi</t>
  </si>
  <si>
    <t>Darusentan failed.</t>
  </si>
  <si>
    <t>Gross Margin</t>
  </si>
  <si>
    <t>idelalisib</t>
  </si>
  <si>
    <t>Complera (rilpivirine+Truvada)</t>
  </si>
  <si>
    <t>Maturity</t>
  </si>
  <si>
    <t>ROIC</t>
  </si>
  <si>
    <t>Discount</t>
  </si>
  <si>
    <t>NPV</t>
  </si>
  <si>
    <t>Share</t>
  </si>
  <si>
    <t>Net Cash</t>
  </si>
  <si>
    <t>GS9131/GS9148 unclear.</t>
  </si>
  <si>
    <t>Cicletanine discontinued.</t>
  </si>
  <si>
    <t>GS9190 and GS9191 discontinued.</t>
  </si>
  <si>
    <t>GS9256 (HCV protease) discontinued?</t>
  </si>
  <si>
    <t>GS9260 (TLR7 agonist for HCV) discontinued?</t>
  </si>
  <si>
    <t>GS6620 and GS9669, Polymerase for HCV discontinued?</t>
  </si>
  <si>
    <t>7/23/2010: Acquires Arresto Biosciences.</t>
  </si>
  <si>
    <t>Zydelig (idelasilib)</t>
  </si>
  <si>
    <t>History</t>
  </si>
  <si>
    <t>Zydelig (EU)</t>
  </si>
  <si>
    <t>Regulatory</t>
  </si>
  <si>
    <t>MAA under file and CHMP recommended approval on 7/25/14.</t>
  </si>
  <si>
    <t>EMEA rec</t>
  </si>
  <si>
    <t>150mg film-coated tablets</t>
  </si>
  <si>
    <t>CLL/FL</t>
  </si>
  <si>
    <t>2L CLL, 1L CLL 17p/TP53 mutations, 3L FL</t>
  </si>
  <si>
    <t>Phase II "Study 101-09" in n=x 3L iNHL. NEJM 2014.</t>
  </si>
  <si>
    <t>Phase III "Study 116" Zydelig + Rituxan in n=x 2L CLL. NEJM 2014.</t>
  </si>
  <si>
    <t>?</t>
  </si>
  <si>
    <t>elvitegravir</t>
  </si>
  <si>
    <t>ABBV, JNJ, BMY, MRK</t>
  </si>
  <si>
    <t>GS9973</t>
  </si>
  <si>
    <t>CLL</t>
  </si>
  <si>
    <t>Syk kinase inhibitor</t>
  </si>
  <si>
    <t>GS5806</t>
  </si>
  <si>
    <t>RSV</t>
  </si>
  <si>
    <t>p3</t>
  </si>
  <si>
    <t>p3/file</t>
  </si>
  <si>
    <t>Sovaldi+LDV</t>
  </si>
  <si>
    <t>Fusion Inhibitor</t>
  </si>
  <si>
    <t>6/2015: GS-5806 results expected.</t>
  </si>
  <si>
    <t>Clinical Trial</t>
  </si>
  <si>
    <t>ranolazine</t>
  </si>
  <si>
    <t>Phase II HARMONY in A-Fib</t>
  </si>
  <si>
    <t>GS6615</t>
  </si>
  <si>
    <t>GS9620, GS9260 (TLR-7 agonists) discontinued for HCV.</t>
  </si>
  <si>
    <t>GS9260</t>
  </si>
  <si>
    <t>LQT3, Hypertrophic Cardiomyopathy, Vtach/Vfib</t>
  </si>
  <si>
    <t>Late Sodium Current Inhibitor</t>
  </si>
  <si>
    <t>ROTA</t>
  </si>
  <si>
    <t>ROA</t>
  </si>
  <si>
    <t>ROB</t>
  </si>
  <si>
    <t>ROTB</t>
  </si>
  <si>
    <t>Taxes</t>
  </si>
  <si>
    <t>Operating Income</t>
  </si>
  <si>
    <t>Complera/Eviplera (triple)</t>
  </si>
  <si>
    <t>Biktarvy</t>
  </si>
  <si>
    <t>Q122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</si>
  <si>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</si>
  <si>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</si>
  <si>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</si>
  <si>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</si>
  <si>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</si>
  <si>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</si>
  <si>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</si>
  <si>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</si>
  <si>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</si>
  <si>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</si>
  <si>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</si>
  <si>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</si>
  <si>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</si>
  <si>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</si>
  <si>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</si>
  <si>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</si>
  <si>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</si>
  <si>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</si>
  <si>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</si>
  <si>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</si>
  <si>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</si>
  <si>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</si>
  <si>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</si>
  <si>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</si>
  <si>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</si>
  <si>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</si>
  <si>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</si>
  <si>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</si>
  <si>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</si>
  <si>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</si>
  <si>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</si>
  <si>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Descovy</t>
  </si>
  <si>
    <t>Genvoya</t>
  </si>
  <si>
    <t>Epclusa</t>
  </si>
  <si>
    <t>HBV/HDV</t>
  </si>
  <si>
    <t>Veklury</t>
  </si>
  <si>
    <t>Tecartus</t>
  </si>
  <si>
    <t>Yescarta</t>
  </si>
  <si>
    <t>Trodelvy</t>
  </si>
  <si>
    <t>Zydelig (idelalisib)</t>
  </si>
  <si>
    <t>8/4/22: MiroBio acquisition announcement for $405m.</t>
  </si>
  <si>
    <t>MB272</t>
  </si>
  <si>
    <t>MB151</t>
  </si>
  <si>
    <t>PD-1 agonist</t>
  </si>
  <si>
    <t>BTLA (B-cell/T-cell attenuator)</t>
  </si>
  <si>
    <t>EVP, Research: Flavius Martin</t>
  </si>
  <si>
    <t>Epclusa (sofosbuvir/velpatasvir)</t>
  </si>
  <si>
    <t>Harvoni (ledipasvir/sofosbuvir)</t>
  </si>
  <si>
    <t>Q123</t>
  </si>
  <si>
    <t>Q223</t>
  </si>
  <si>
    <t>Q323</t>
  </si>
  <si>
    <t>Q423</t>
  </si>
  <si>
    <t>HIV y/y</t>
  </si>
  <si>
    <t>Revenue y/y</t>
  </si>
  <si>
    <t>Biktarvi y/y</t>
  </si>
  <si>
    <t>ledipasvir, sofosbuvir</t>
  </si>
  <si>
    <t>Harvoni, GS-5885 (ledipasvir)</t>
  </si>
  <si>
    <t>Biktarvy (bictegravir/emtricitabine/TAF)</t>
  </si>
  <si>
    <t>bictegravir, emtricitabine, tenofovir alafenamide fumarate (GS7340)</t>
  </si>
  <si>
    <t>Integrase</t>
  </si>
  <si>
    <t>Vitekta</t>
  </si>
  <si>
    <t>cobicistat; elvitegravir; emtricitabine; TDF</t>
  </si>
  <si>
    <t>cobicistat; elvitegravir; emtricitabine; TAF</t>
  </si>
  <si>
    <t>Tybost</t>
  </si>
  <si>
    <t>cobicistat</t>
  </si>
  <si>
    <t>MOA</t>
  </si>
  <si>
    <t>NDA</t>
  </si>
  <si>
    <t>PK Booster</t>
  </si>
  <si>
    <t>sofosbuvir; velpatasvir</t>
  </si>
  <si>
    <t>Vosevi</t>
  </si>
  <si>
    <t>velpatasvir; sofosbuvir; voxilaprevir</t>
  </si>
  <si>
    <t>CEO: Daniel O'Day</t>
  </si>
  <si>
    <t>7390791, 7803788, 8754065 - nucleotides (TAF/ETC not Biktarvy)</t>
  </si>
  <si>
    <t>9216996 - 2033 expiry</t>
  </si>
  <si>
    <t>Biktarvy (bictegravir+emtri+TAF)</t>
  </si>
  <si>
    <t>Viread (TDF)</t>
  </si>
  <si>
    <t>Truvada (TDF+emtricitabine)</t>
  </si>
  <si>
    <t>Stribild (TDF+emtri+efav+cobi)</t>
  </si>
  <si>
    <t>Atripla (TDF+emtri+efav)</t>
  </si>
  <si>
    <t>Descovy (emtri+TAF)</t>
  </si>
  <si>
    <t>emtricitabine; tenofovir alafenamide fumarate 120mg;EQ 15mg BASE</t>
  </si>
  <si>
    <t>9296769 - formulation</t>
  </si>
  <si>
    <t>7390791 - COM-like, expires 10/2025</t>
  </si>
  <si>
    <t>8754065 - XRC</t>
  </si>
  <si>
    <t>Descovy (TAF/emtricitabine)</t>
  </si>
  <si>
    <t>elvitegravir; emtricitabine; TAF; cobicistat</t>
  </si>
  <si>
    <t>7176220 - COM expires 2/2027</t>
  </si>
  <si>
    <t>NRTI+NRTI</t>
  </si>
  <si>
    <t>Genvoya (elvitegravir/TAF/emtricitabine/cobicistat)</t>
  </si>
  <si>
    <t>Genvoya (elvitegravir+emtri+TAF+cobi)</t>
  </si>
  <si>
    <t>Odefsey (rilpivirine+emtri+TAF)</t>
  </si>
  <si>
    <t>Symtuza (darunavir+emtri+TAF+cobi)</t>
  </si>
  <si>
    <t>Symtuza (darunavir/emtricitabine/TAF)</t>
  </si>
  <si>
    <t>9/13/22: $20m donation</t>
  </si>
  <si>
    <t>Veklury (remdesivir)</t>
  </si>
  <si>
    <t>COVID-19</t>
  </si>
  <si>
    <t>Vemlidy (TAF)</t>
  </si>
  <si>
    <t>remdesivir</t>
  </si>
  <si>
    <t>HR=0.83 in subgroup of supplemental oxygen</t>
  </si>
  <si>
    <t>Phase III ACTT-1</t>
  </si>
  <si>
    <t>ITT failed?</t>
  </si>
  <si>
    <t>Phase III SOLIDARITY - published May 2022</t>
  </si>
  <si>
    <t>CMO: Merdad Parsey</t>
  </si>
  <si>
    <t>NRTI</t>
  </si>
  <si>
    <t>PI+NRTI</t>
  </si>
  <si>
    <t>NNRTI+NRTI</t>
  </si>
  <si>
    <t>ERA</t>
  </si>
  <si>
    <t>9/15/22: WHO expands recommendation for Veklury</t>
  </si>
  <si>
    <t>Trodelvy (sacituzumab govitecan)</t>
  </si>
  <si>
    <t>Antifungal</t>
  </si>
  <si>
    <t>mBC, mUC</t>
  </si>
  <si>
    <t>sacituzumab govitecan</t>
  </si>
  <si>
    <t>Acquired Immunomedics</t>
  </si>
  <si>
    <t>Sunlenca (lenacapavir)</t>
  </si>
  <si>
    <t>Hepcludex</t>
  </si>
  <si>
    <t>Triumeq</t>
  </si>
  <si>
    <t>Tivicay</t>
  </si>
  <si>
    <t>GS-5245</t>
  </si>
  <si>
    <t>GS9190 (tegobuvir)</t>
  </si>
  <si>
    <t>domvanalimab</t>
  </si>
  <si>
    <t>Oncology</t>
  </si>
  <si>
    <t>RCUS</t>
  </si>
  <si>
    <t>TIGIT mab</t>
  </si>
  <si>
    <t>Revenue CC</t>
  </si>
  <si>
    <t>Q124</t>
  </si>
  <si>
    <t>Q224</t>
  </si>
  <si>
    <t>Q324</t>
  </si>
  <si>
    <t>Q424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</si>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</sst>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0.0%"/>
    <numFmt numFmtId="166" formatCode="m/d/yy;@"/>
    <numFmt numFmtId="167" formatCode="#,##0.0000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3499862666707357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8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2" applyFill="1" applyAlignment="1" applyProtection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9" fontId="5" fillId="2" borderId="0" xfId="0" applyNumberFormat="1" applyFont="1" applyFill="1"/>
    <xf numFmtId="9" fontId="5" fillId="2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/>
    <xf numFmtId="1" fontId="0" fillId="2" borderId="0" xfId="0" applyNumberFormat="1" applyFill="1"/>
    <xf numFmtId="0" fontId="5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2" fillId="2" borderId="4" xfId="2" applyFill="1" applyBorder="1" applyAlignment="1" applyProtection="1"/>
    <xf numFmtId="0" fontId="2" fillId="0" borderId="0" xfId="2" applyAlignment="1" applyProtection="1"/>
    <xf numFmtId="0" fontId="10" fillId="2" borderId="0" xfId="0" applyFont="1" applyFill="1"/>
    <xf numFmtId="14" fontId="0" fillId="2" borderId="0" xfId="0" applyNumberFormat="1" applyFill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2" borderId="6" xfId="0" applyFill="1" applyBorder="1"/>
    <xf numFmtId="164" fontId="0" fillId="2" borderId="0" xfId="0" applyNumberFormat="1" applyFill="1" applyAlignment="1">
      <alignment horizontal="center"/>
    </xf>
    <xf numFmtId="14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3" fontId="0" fillId="2" borderId="6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4" fillId="2" borderId="0" xfId="0" applyNumberFormat="1" applyFont="1" applyFill="1" applyAlignment="1">
      <alignment horizontal="center"/>
    </xf>
    <xf numFmtId="4" fontId="0" fillId="2" borderId="0" xfId="0" applyNumberFormat="1" applyFill="1"/>
    <xf numFmtId="0" fontId="4" fillId="2" borderId="0" xfId="0" applyFont="1" applyFill="1" applyAlignment="1">
      <alignment horizontal="left"/>
    </xf>
    <xf numFmtId="41" fontId="4" fillId="0" borderId="0" xfId="0" applyNumberFormat="1" applyFont="1"/>
    <xf numFmtId="3" fontId="5" fillId="2" borderId="0" xfId="0" applyNumberFormat="1" applyFont="1" applyFill="1" applyAlignment="1">
      <alignment horizontal="center"/>
    </xf>
    <xf numFmtId="41" fontId="5" fillId="2" borderId="0" xfId="0" applyNumberFormat="1" applyFont="1" applyFill="1"/>
    <xf numFmtId="37" fontId="5" fillId="2" borderId="0" xfId="0" applyNumberFormat="1" applyFon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4" fillId="2" borderId="0" xfId="0" applyNumberFormat="1" applyFont="1" applyFill="1" applyAlignment="1">
      <alignment horizontal="center"/>
    </xf>
    <xf numFmtId="37" fontId="5" fillId="2" borderId="0" xfId="1" applyNumberFormat="1" applyFont="1" applyFill="1" applyBorder="1" applyAlignment="1">
      <alignment horizontal="center"/>
    </xf>
    <xf numFmtId="37" fontId="11" fillId="2" borderId="0" xfId="1" applyNumberFormat="1" applyFont="1" applyFill="1" applyBorder="1" applyAlignment="1">
      <alignment horizontal="center"/>
    </xf>
    <xf numFmtId="37" fontId="11" fillId="2" borderId="0" xfId="0" applyNumberFormat="1" applyFont="1" applyFill="1" applyAlignment="1">
      <alignment horizontal="center"/>
    </xf>
    <xf numFmtId="37" fontId="12" fillId="2" borderId="0" xfId="0" quotePrefix="1" applyNumberFormat="1" applyFont="1" applyFill="1" applyAlignment="1">
      <alignment horizontal="center"/>
    </xf>
    <xf numFmtId="37" fontId="13" fillId="2" borderId="0" xfId="0" applyNumberFormat="1" applyFont="1" applyFill="1" applyAlignment="1">
      <alignment horizontal="center"/>
    </xf>
    <xf numFmtId="9" fontId="13" fillId="2" borderId="0" xfId="0" applyNumberFormat="1" applyFont="1" applyFill="1" applyAlignment="1">
      <alignment horizontal="center"/>
    </xf>
    <xf numFmtId="37" fontId="13" fillId="2" borderId="4" xfId="0" applyNumberFormat="1" applyFont="1" applyFill="1" applyBorder="1" applyAlignment="1">
      <alignment horizontal="center"/>
    </xf>
    <xf numFmtId="37" fontId="13" fillId="2" borderId="5" xfId="0" applyNumberFormat="1" applyFont="1" applyFill="1" applyBorder="1" applyAlignment="1">
      <alignment horizontal="center"/>
    </xf>
    <xf numFmtId="37" fontId="13" fillId="2" borderId="4" xfId="0" applyNumberFormat="1" applyFont="1" applyFill="1" applyBorder="1" applyAlignment="1">
      <alignment horizontal="left"/>
    </xf>
    <xf numFmtId="37" fontId="13" fillId="2" borderId="7" xfId="0" applyNumberFormat="1" applyFont="1" applyFill="1" applyBorder="1" applyAlignment="1">
      <alignment horizontal="center"/>
    </xf>
    <xf numFmtId="37" fontId="2" fillId="2" borderId="0" xfId="2" applyNumberFormat="1" applyFill="1" applyAlignment="1" applyProtection="1">
      <alignment horizontal="center"/>
    </xf>
    <xf numFmtId="37" fontId="13" fillId="2" borderId="0" xfId="0" applyNumberFormat="1" applyFont="1" applyFill="1" applyAlignment="1">
      <alignment horizontal="left"/>
    </xf>
    <xf numFmtId="37" fontId="13" fillId="2" borderId="8" xfId="0" applyNumberFormat="1" applyFont="1" applyFill="1" applyBorder="1" applyAlignment="1">
      <alignment horizontal="left"/>
    </xf>
    <xf numFmtId="37" fontId="14" fillId="2" borderId="9" xfId="0" applyNumberFormat="1" applyFont="1" applyFill="1" applyBorder="1" applyAlignment="1">
      <alignment horizontal="left"/>
    </xf>
    <xf numFmtId="37" fontId="14" fillId="2" borderId="10" xfId="0" applyNumberFormat="1" applyFont="1" applyFill="1" applyBorder="1" applyAlignment="1">
      <alignment horizontal="left"/>
    </xf>
    <xf numFmtId="166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0" fontId="0" fillId="2" borderId="0" xfId="0" applyFill="1" applyAlignment="1">
      <alignment horizontal="right"/>
    </xf>
    <xf numFmtId="0" fontId="2" fillId="2" borderId="9" xfId="2" applyFill="1" applyBorder="1" applyAlignment="1" applyProtection="1"/>
    <xf numFmtId="9" fontId="5" fillId="2" borderId="0" xfId="0" applyNumberFormat="1" applyFont="1" applyFill="1" applyAlignment="1">
      <alignment horizontal="right"/>
    </xf>
    <xf numFmtId="3" fontId="0" fillId="0" borderId="0" xfId="0" applyNumberFormat="1"/>
    <xf numFmtId="3" fontId="4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3" fontId="4" fillId="2" borderId="0" xfId="0" applyNumberFormat="1" applyFont="1" applyFill="1"/>
    <xf numFmtId="165" fontId="5" fillId="2" borderId="0" xfId="0" applyNumberFormat="1" applyFont="1" applyFill="1" applyAlignment="1">
      <alignment horizontal="right"/>
    </xf>
    <xf numFmtId="3" fontId="0" fillId="4" borderId="0" xfId="0" applyNumberFormat="1" applyFill="1"/>
    <xf numFmtId="0" fontId="0" fillId="2" borderId="9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1" fillId="5" borderId="4" xfId="0" applyFont="1" applyFill="1" applyBorder="1"/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  <xf numFmtId="3" fontId="4" fillId="5" borderId="0" xfId="0" applyNumberFormat="1" applyFont="1" applyFill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3" fontId="5" fillId="5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1" fontId="0" fillId="5" borderId="0" xfId="0" applyNumberForma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0" fontId="0" fillId="4" borderId="0" xfId="0" applyFill="1"/>
    <xf numFmtId="0" fontId="10" fillId="4" borderId="0" xfId="0" applyFont="1" applyFill="1"/>
    <xf numFmtId="0" fontId="1" fillId="4" borderId="0" xfId="0" applyFont="1" applyFill="1"/>
    <xf numFmtId="0" fontId="2" fillId="4" borderId="0" xfId="2" applyFill="1" applyAlignment="1" applyProtection="1"/>
    <xf numFmtId="0" fontId="17" fillId="4" borderId="0" xfId="0" applyFont="1" applyFill="1"/>
    <xf numFmtId="0" fontId="4" fillId="4" borderId="0" xfId="0" applyFont="1" applyFill="1"/>
    <xf numFmtId="14" fontId="12" fillId="4" borderId="0" xfId="0" applyNumberFormat="1" applyFont="1" applyFill="1"/>
    <xf numFmtId="0" fontId="1" fillId="2" borderId="5" xfId="0" applyFont="1" applyFill="1" applyBorder="1" applyAlignment="1">
      <alignment horizontal="center"/>
    </xf>
    <xf numFmtId="9" fontId="1" fillId="2" borderId="0" xfId="0" applyNumberFormat="1" applyFont="1" applyFill="1"/>
    <xf numFmtId="0" fontId="1" fillId="2" borderId="5" xfId="0" quotePrefix="1" applyFont="1" applyFill="1" applyBorder="1" applyAlignment="1">
      <alignment horizontal="center"/>
    </xf>
    <xf numFmtId="1" fontId="1" fillId="2" borderId="0" xfId="0" applyNumberFormat="1" applyFont="1" applyFill="1"/>
    <xf numFmtId="0" fontId="0" fillId="5" borderId="0" xfId="0" applyFill="1" applyAlignment="1">
      <alignment horizontal="center"/>
    </xf>
    <xf numFmtId="0" fontId="10" fillId="0" borderId="0" xfId="0" applyFont="1"/>
    <xf numFmtId="0" fontId="1" fillId="4" borderId="4" xfId="0" applyFont="1" applyFill="1" applyBorder="1"/>
    <xf numFmtId="0" fontId="0" fillId="4" borderId="5" xfId="0" applyFill="1" applyBorder="1" applyAlignment="1">
      <alignment horizontal="center"/>
    </xf>
    <xf numFmtId="0" fontId="6" fillId="5" borderId="0" xfId="0" applyFont="1" applyFill="1"/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6" fontId="0" fillId="2" borderId="0" xfId="0" applyNumberFormat="1" applyFill="1"/>
    <xf numFmtId="6" fontId="4" fillId="2" borderId="0" xfId="0" applyNumberFormat="1" applyFont="1" applyFill="1"/>
    <xf numFmtId="2" fontId="4" fillId="2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2" fontId="4" fillId="2" borderId="0" xfId="0" applyNumberFormat="1" applyFont="1" applyFill="1"/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9" fontId="5" fillId="5" borderId="0" xfId="0" applyNumberFormat="1" applyFont="1" applyFill="1" applyAlignment="1">
      <alignment horizontal="right"/>
    </xf>
    <xf numFmtId="167" fontId="0" fillId="2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" fontId="4" fillId="2" borderId="0" xfId="0" applyNumberFormat="1" applyFont="1" applyFill="1"/>
    <xf numFmtId="1" fontId="4" fillId="2" borderId="0" xfId="0" applyNumberFormat="1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7" fontId="4" fillId="2" borderId="0" xfId="0" applyNumberFormat="1" applyFont="1" applyFill="1" applyAlignment="1">
      <alignment horizontal="right"/>
    </xf>
    <xf numFmtId="3" fontId="1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2" fontId="4" fillId="0" borderId="0" xfId="0" applyNumberFormat="1" applyFont="1"/>
    <xf numFmtId="9" fontId="5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2" applyFill="1" applyBorder="1" applyAlignment="1" applyProtection="1"/>
    <xf numFmtId="0" fontId="1" fillId="0" borderId="0" xfId="2" applyFont="1" applyFill="1" applyBorder="1" applyAlignment="1" applyProtecti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9" fontId="5" fillId="0" borderId="0" xfId="0" applyNumberFormat="1" applyFont="1" applyAlignment="1">
      <alignment horizontal="right"/>
    </xf>
    <xf numFmtId="9" fontId="1" fillId="0" borderId="0" xfId="0" applyNumberFormat="1" applyFont="1"/>
    <xf numFmtId="165" fontId="5" fillId="0" borderId="0" xfId="0" applyNumberFormat="1" applyFont="1"/>
    <xf numFmtId="1" fontId="1" fillId="0" borderId="0" xfId="0" applyNumberFormat="1" applyFont="1"/>
    <xf numFmtId="165" fontId="0" fillId="0" borderId="0" xfId="0" applyNumberFormat="1"/>
    <xf numFmtId="4" fontId="5" fillId="0" borderId="0" xfId="0" applyNumberFormat="1" applyFont="1"/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/>
    <xf numFmtId="9" fontId="1" fillId="4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3" fontId="1" fillId="0" borderId="0" xfId="0" applyNumberFormat="1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1" fillId="6" borderId="0" xfId="0" applyNumberFormat="1" applyFont="1" applyFill="1" applyAlignment="1">
      <alignment horizontal="right"/>
    </xf>
    <xf numFmtId="3" fontId="0" fillId="6" borderId="0" xfId="0" applyNumberFormat="1" applyFill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115C374-7F30-46B7-A3E1-3B53BBDFC7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27384</xdr:colOff>
      <xdr:row>0</xdr:row>
      <xdr:rowOff>0</xdr:rowOff>
    </xdr:from>
    <xdr:to>
      <xdr:col>92</xdr:col>
      <xdr:colOff>27384</xdr:colOff>
      <xdr:row>116</xdr:row>
      <xdr:rowOff>19050</xdr:rowOff>
    </xdr:to>
    <xdr:sp macro="" textlink="">
      <xdr:nvSpPr>
        <xdr:cNvPr id="1622" name="Line 34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ShapeType="1"/>
        </xdr:cNvSpPr>
      </xdr:nvSpPr>
      <xdr:spPr bwMode="auto">
        <a:xfrm flipH="1">
          <a:off x="31971853" y="0"/>
          <a:ext cx="0" cy="1866423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122</xdr:col>
      <xdr:colOff>4152</xdr:colOff>
      <xdr:row>0</xdr:row>
      <xdr:rowOff>0</xdr:rowOff>
    </xdr:from>
    <xdr:to>
      <xdr:col>122</xdr:col>
      <xdr:colOff>4152</xdr:colOff>
      <xdr:row>92</xdr:row>
      <xdr:rowOff>116284</xdr:rowOff>
    </xdr:to>
    <xdr:sp macro="" textlink="">
      <xdr:nvSpPr>
        <xdr:cNvPr id="1623" name="Line 34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ShapeType="1"/>
        </xdr:cNvSpPr>
      </xdr:nvSpPr>
      <xdr:spPr bwMode="auto">
        <a:xfrm flipH="1">
          <a:off x="43205980" y="0"/>
          <a:ext cx="0" cy="149038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49</xdr:row>
      <xdr:rowOff>85725</xdr:rowOff>
    </xdr:from>
    <xdr:to>
      <xdr:col>14</xdr:col>
      <xdr:colOff>142875</xdr:colOff>
      <xdr:row>69</xdr:row>
      <xdr:rowOff>28575</xdr:rowOff>
    </xdr:to>
    <xdr:pic>
      <xdr:nvPicPr>
        <xdr:cNvPr id="9498" name="Picture 1">
          <a:extLst>
            <a:ext uri="{FF2B5EF4-FFF2-40B4-BE49-F238E27FC236}">
              <a16:creationId xmlns:a16="http://schemas.microsoft.com/office/drawing/2014/main" id="{00000000-0008-0000-0500-00001A2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020050"/>
          <a:ext cx="860107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.docs.live.net/9ffda80931a57275/HIV.xls" TargetMode="External"/><Relationship Id="rId1" Type="http://schemas.openxmlformats.org/officeDocument/2006/relationships/hyperlink" Target="https://d.docs.live.net/9ffda80931a57275/HIV.xls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"/>
    </sheetView>
  </sheetViews>
  <sheetFormatPr defaultColWidth="8.85546875" defaultRowHeight="12.75" x14ac:dyDescent="0.2"/>
  <cols>
    <col min="1" max="1" width="4.42578125" bestFit="1" customWidth="1"/>
    <col min="2" max="2" width="13.42578125" customWidth="1"/>
    <col min="3" max="3" width="19.28515625" customWidth="1"/>
    <col min="4" max="4" width="15" style="164" customWidth="1"/>
  </cols>
  <sheetData>
    <row r="1" spans="1:10" x14ac:dyDescent="0.2">
      <c r="A1" s="162" t="s">
        <v>139</v>
      </c>
    </row>
    <row r="2" spans="1:10" x14ac:dyDescent="0.2">
      <c r="A2" s="95"/>
      <c r="B2" s="95" t="s">
        <v>140</v>
      </c>
      <c r="C2" s="95" t="s">
        <v>141</v>
      </c>
      <c r="D2" s="164" t="s">
        <v>1</v>
      </c>
      <c r="E2" t="s">
        <v>2</v>
      </c>
      <c r="F2" s="95" t="s">
        <v>193</v>
      </c>
      <c r="G2" t="s">
        <v>711</v>
      </c>
      <c r="H2" t="s">
        <v>3</v>
      </c>
      <c r="I2" t="s">
        <v>712</v>
      </c>
      <c r="J2" t="s">
        <v>233</v>
      </c>
    </row>
    <row r="3" spans="1:10" x14ac:dyDescent="0.2">
      <c r="B3" s="162" t="s">
        <v>164</v>
      </c>
      <c r="C3" s="95" t="s">
        <v>165</v>
      </c>
      <c r="D3" s="164" t="s">
        <v>66</v>
      </c>
      <c r="E3" s="160">
        <v>1</v>
      </c>
      <c r="F3" s="161">
        <v>40231</v>
      </c>
      <c r="G3" s="89" t="s">
        <v>67</v>
      </c>
      <c r="H3" s="89" t="s">
        <v>169</v>
      </c>
    </row>
    <row r="4" spans="1:10" x14ac:dyDescent="0.2">
      <c r="B4" s="95" t="s">
        <v>679</v>
      </c>
      <c r="C4" s="95" t="s">
        <v>714</v>
      </c>
      <c r="D4" s="165" t="s">
        <v>15</v>
      </c>
      <c r="E4" s="160">
        <v>1</v>
      </c>
      <c r="F4" s="161"/>
      <c r="G4" s="89"/>
      <c r="H4" s="89"/>
    </row>
    <row r="5" spans="1:10" x14ac:dyDescent="0.2">
      <c r="B5" t="s">
        <v>264</v>
      </c>
      <c r="D5" s="164" t="s">
        <v>187</v>
      </c>
      <c r="E5" s="160" t="s">
        <v>43</v>
      </c>
      <c r="F5" s="89" t="s">
        <v>344</v>
      </c>
      <c r="G5" s="89"/>
      <c r="H5" s="89"/>
    </row>
    <row r="6" spans="1:10" x14ac:dyDescent="0.2">
      <c r="B6" t="s">
        <v>678</v>
      </c>
      <c r="C6" s="95" t="s">
        <v>708</v>
      </c>
      <c r="D6" s="165" t="s">
        <v>6</v>
      </c>
      <c r="E6" s="160"/>
      <c r="F6" s="89"/>
      <c r="G6" s="89"/>
      <c r="H6" s="89"/>
    </row>
    <row r="7" spans="1:10" x14ac:dyDescent="0.2">
      <c r="B7" s="163" t="s">
        <v>586</v>
      </c>
      <c r="C7" s="95" t="s">
        <v>707</v>
      </c>
      <c r="D7" s="166" t="s">
        <v>6</v>
      </c>
      <c r="E7" s="161"/>
      <c r="F7" s="89"/>
      <c r="G7" s="89"/>
    </row>
    <row r="8" spans="1:10" x14ac:dyDescent="0.2">
      <c r="B8" s="163" t="s">
        <v>709</v>
      </c>
      <c r="C8" s="95" t="s">
        <v>710</v>
      </c>
      <c r="D8" s="166" t="s">
        <v>713</v>
      </c>
      <c r="E8" s="161"/>
      <c r="F8" s="89"/>
      <c r="G8" s="89"/>
      <c r="H8">
        <v>203094</v>
      </c>
    </row>
    <row r="9" spans="1:10" x14ac:dyDescent="0.2">
      <c r="B9" s="95" t="s">
        <v>706</v>
      </c>
      <c r="C9" s="95" t="s">
        <v>617</v>
      </c>
      <c r="D9" s="165" t="s">
        <v>6</v>
      </c>
    </row>
    <row r="10" spans="1:10" x14ac:dyDescent="0.2">
      <c r="B10" s="95" t="s">
        <v>715</v>
      </c>
      <c r="C10" s="95" t="s">
        <v>716</v>
      </c>
      <c r="D10" s="165" t="s">
        <v>15</v>
      </c>
      <c r="E10" s="160">
        <v>1</v>
      </c>
    </row>
    <row r="11" spans="1:10" x14ac:dyDescent="0.2">
      <c r="B11" s="32" t="s">
        <v>368</v>
      </c>
      <c r="C11" s="22" t="s">
        <v>374</v>
      </c>
      <c r="D11" s="7">
        <v>1</v>
      </c>
      <c r="E11" s="120"/>
      <c r="F11" s="22" t="s">
        <v>375</v>
      </c>
      <c r="G11" s="29" t="s">
        <v>376</v>
      </c>
    </row>
    <row r="12" spans="1:10" x14ac:dyDescent="0.2">
      <c r="B12" s="32" t="s">
        <v>148</v>
      </c>
      <c r="C12" s="91" t="s">
        <v>6</v>
      </c>
      <c r="D12" s="7">
        <v>1</v>
      </c>
      <c r="E12" s="35" t="s">
        <v>342</v>
      </c>
      <c r="F12" s="6" t="s">
        <v>32</v>
      </c>
      <c r="G12" s="8" t="s">
        <v>324</v>
      </c>
    </row>
    <row r="13" spans="1:10" x14ac:dyDescent="0.2">
      <c r="B13" s="32" t="s">
        <v>146</v>
      </c>
      <c r="C13" s="94" t="s">
        <v>260</v>
      </c>
      <c r="D13" s="7">
        <v>1</v>
      </c>
      <c r="E13" s="35" t="s">
        <v>341</v>
      </c>
      <c r="F13" s="6" t="s">
        <v>32</v>
      </c>
      <c r="G13" s="118"/>
    </row>
    <row r="20" spans="2:7" x14ac:dyDescent="0.2">
      <c r="B20" s="95" t="s">
        <v>503</v>
      </c>
      <c r="C20" s="95"/>
    </row>
    <row r="21" spans="2:7" x14ac:dyDescent="0.2">
      <c r="B21" s="95" t="s">
        <v>634</v>
      </c>
      <c r="C21" s="95"/>
    </row>
    <row r="22" spans="2:7" x14ac:dyDescent="0.2">
      <c r="B22" s="99" t="s">
        <v>504</v>
      </c>
      <c r="C22" s="97" t="s">
        <v>66</v>
      </c>
      <c r="D22" s="98" t="s">
        <v>359</v>
      </c>
      <c r="E22" s="97" t="s">
        <v>322</v>
      </c>
      <c r="F22" s="97" t="s">
        <v>360</v>
      </c>
      <c r="G22" s="8"/>
    </row>
    <row r="23" spans="2:7" x14ac:dyDescent="0.2">
      <c r="B23" s="5" t="s">
        <v>321</v>
      </c>
      <c r="C23" s="6" t="s">
        <v>499</v>
      </c>
      <c r="D23" s="7">
        <v>1</v>
      </c>
      <c r="E23" s="6" t="s">
        <v>317</v>
      </c>
      <c r="F23" s="6" t="s">
        <v>329</v>
      </c>
      <c r="G23" s="8" t="s">
        <v>169</v>
      </c>
    </row>
    <row r="24" spans="2:7" x14ac:dyDescent="0.2">
      <c r="B24" s="96" t="s">
        <v>764</v>
      </c>
      <c r="C24" s="97" t="s">
        <v>15</v>
      </c>
      <c r="D24" s="98">
        <v>1</v>
      </c>
      <c r="E24" s="97" t="s">
        <v>317</v>
      </c>
      <c r="F24" s="97" t="s">
        <v>487</v>
      </c>
    </row>
  </sheetData>
  <hyperlinks>
    <hyperlink ref="A1" location="Main!A1" display="Main" xr:uid="{00000000-0004-0000-0000-000000000000}"/>
    <hyperlink ref="B3" location="Cayston!A1" display="Cayston (AIR-CF1)" xr:uid="{00000000-0004-0000-0100-000005000000}"/>
    <hyperlink ref="B11" location="Ranexa!A1" display="Ranexa" xr:uid="{00000000-0004-0000-0100-00000E000000}"/>
    <hyperlink ref="B12" location="Truvada!A1" display="Truvada" xr:uid="{00000000-0004-0000-0100-000000000000}"/>
    <hyperlink ref="B13" location="Viread!A1" display="Viread" xr:uid="{00000000-0004-0000-01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5</v>
      </c>
    </row>
    <row r="3" spans="1:3" x14ac:dyDescent="0.2">
      <c r="B3" s="1" t="s">
        <v>141</v>
      </c>
    </row>
    <row r="4" spans="1:3" x14ac:dyDescent="0.2">
      <c r="B4" s="1" t="s">
        <v>138</v>
      </c>
      <c r="C4" s="15" t="s">
        <v>350</v>
      </c>
    </row>
    <row r="5" spans="1:3" x14ac:dyDescent="0.2">
      <c r="B5" s="1" t="s">
        <v>143</v>
      </c>
      <c r="C5" s="1" t="s">
        <v>144</v>
      </c>
    </row>
    <row r="6" spans="1:3" x14ac:dyDescent="0.2">
      <c r="B6" s="1" t="s">
        <v>142</v>
      </c>
      <c r="C6" s="1" t="s">
        <v>170</v>
      </c>
    </row>
    <row r="7" spans="1:3" x14ac:dyDescent="0.2">
      <c r="C7" s="1" t="s">
        <v>171</v>
      </c>
    </row>
    <row r="8" spans="1:3" x14ac:dyDescent="0.2">
      <c r="C8" s="1" t="s">
        <v>172</v>
      </c>
    </row>
    <row r="9" spans="1:3" x14ac:dyDescent="0.2">
      <c r="C9" s="1" t="s">
        <v>173</v>
      </c>
    </row>
    <row r="11" spans="1:3" x14ac:dyDescent="0.2">
      <c r="B11" s="34" t="s">
        <v>336</v>
      </c>
    </row>
    <row r="12" spans="1:3" x14ac:dyDescent="0.2">
      <c r="B12" s="16" t="s">
        <v>335</v>
      </c>
    </row>
    <row r="13" spans="1:3" x14ac:dyDescent="0.2">
      <c r="B13" s="34"/>
    </row>
    <row r="14" spans="1:3" x14ac:dyDescent="0.2">
      <c r="B14" s="34" t="s">
        <v>326</v>
      </c>
    </row>
    <row r="15" spans="1:3" x14ac:dyDescent="0.2">
      <c r="B15" s="1" t="s">
        <v>327</v>
      </c>
    </row>
    <row r="17" spans="2:11" x14ac:dyDescent="0.2">
      <c r="B17" s="34" t="s">
        <v>328</v>
      </c>
    </row>
    <row r="19" spans="2:11" x14ac:dyDescent="0.2">
      <c r="B19" s="34" t="s">
        <v>201</v>
      </c>
    </row>
    <row r="20" spans="2:11" x14ac:dyDescent="0.2">
      <c r="B20" s="1" t="s">
        <v>200</v>
      </c>
      <c r="J20" s="6" t="s">
        <v>222</v>
      </c>
      <c r="K20" s="6"/>
    </row>
    <row r="21" spans="2:11" x14ac:dyDescent="0.2">
      <c r="J21" s="6" t="s">
        <v>223</v>
      </c>
      <c r="K21" s="6" t="s">
        <v>225</v>
      </c>
    </row>
    <row r="22" spans="2:11" x14ac:dyDescent="0.2">
      <c r="B22" s="1" t="s">
        <v>199</v>
      </c>
      <c r="I22" s="42">
        <v>39094</v>
      </c>
      <c r="J22" s="18">
        <v>18420</v>
      </c>
      <c r="K22" s="44">
        <v>0.22900000000000001</v>
      </c>
    </row>
    <row r="23" spans="2:11" x14ac:dyDescent="0.2">
      <c r="I23" s="42">
        <v>39087</v>
      </c>
      <c r="J23" s="18">
        <v>17109</v>
      </c>
      <c r="K23" s="44">
        <v>0.22700000000000001</v>
      </c>
    </row>
    <row r="24" spans="2:11" x14ac:dyDescent="0.2">
      <c r="B24" s="1" t="s">
        <v>198</v>
      </c>
      <c r="J24" s="6"/>
      <c r="K24" s="6"/>
    </row>
    <row r="26" spans="2:11" x14ac:dyDescent="0.2">
      <c r="B26" s="1" t="s">
        <v>197</v>
      </c>
    </row>
    <row r="27" spans="2:11" x14ac:dyDescent="0.2">
      <c r="B27" s="1" t="s">
        <v>196</v>
      </c>
    </row>
    <row r="28" spans="2:11" x14ac:dyDescent="0.2">
      <c r="B28" s="1" t="s">
        <v>195</v>
      </c>
    </row>
    <row r="30" spans="2:11" x14ac:dyDescent="0.2">
      <c r="B30" s="1" t="s">
        <v>194</v>
      </c>
    </row>
    <row r="32" spans="2:11" x14ac:dyDescent="0.2">
      <c r="B32" s="34" t="s">
        <v>348</v>
      </c>
    </row>
    <row r="33" spans="2:2" x14ac:dyDescent="0.2">
      <c r="B33" s="1" t="s">
        <v>346</v>
      </c>
    </row>
    <row r="34" spans="2:2" x14ac:dyDescent="0.2">
      <c r="B34" s="1" t="s">
        <v>347</v>
      </c>
    </row>
  </sheetData>
  <customSheetViews>
    <customSheetView guid="{4186580B-64C2-4B0C-BB3D-D214EFB8989E}" showRuler="0">
      <selection activeCell="B2" sqref="B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1.42578125" style="1" customWidth="1"/>
    <col min="4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7</v>
      </c>
    </row>
    <row r="3" spans="1:3" x14ac:dyDescent="0.2">
      <c r="B3" s="1" t="s">
        <v>141</v>
      </c>
      <c r="C3" s="1" t="s">
        <v>304</v>
      </c>
    </row>
    <row r="4" spans="1:3" x14ac:dyDescent="0.2">
      <c r="B4" s="1" t="s">
        <v>1</v>
      </c>
      <c r="C4" s="1" t="s">
        <v>260</v>
      </c>
    </row>
    <row r="5" spans="1:3" x14ac:dyDescent="0.2">
      <c r="C5" s="1" t="s">
        <v>277</v>
      </c>
    </row>
    <row r="6" spans="1:3" x14ac:dyDescent="0.2">
      <c r="C6" s="1" t="s">
        <v>305</v>
      </c>
    </row>
    <row r="7" spans="1:3" x14ac:dyDescent="0.2">
      <c r="B7" s="1" t="s">
        <v>138</v>
      </c>
      <c r="C7" s="39" t="s">
        <v>314</v>
      </c>
    </row>
    <row r="8" spans="1:3" x14ac:dyDescent="0.2">
      <c r="B8" s="1" t="s">
        <v>4</v>
      </c>
      <c r="C8" s="1" t="s">
        <v>352</v>
      </c>
    </row>
    <row r="9" spans="1:3" x14ac:dyDescent="0.2">
      <c r="B9" s="1" t="s">
        <v>142</v>
      </c>
    </row>
    <row r="10" spans="1:3" x14ac:dyDescent="0.2">
      <c r="C10" s="34" t="s">
        <v>302</v>
      </c>
    </row>
    <row r="11" spans="1:3" x14ac:dyDescent="0.2">
      <c r="C11" s="1" t="s">
        <v>175</v>
      </c>
    </row>
    <row r="12" spans="1:3" x14ac:dyDescent="0.2">
      <c r="C12" s="1" t="s">
        <v>176</v>
      </c>
    </row>
    <row r="13" spans="1:3" x14ac:dyDescent="0.2">
      <c r="C13" s="1" t="s">
        <v>177</v>
      </c>
    </row>
    <row r="14" spans="1:3" x14ac:dyDescent="0.2">
      <c r="C14" s="1" t="s">
        <v>178</v>
      </c>
    </row>
    <row r="16" spans="1:3" x14ac:dyDescent="0.2">
      <c r="C16" s="34" t="s">
        <v>303</v>
      </c>
    </row>
    <row r="20" spans="3:8" x14ac:dyDescent="0.2">
      <c r="C20" s="34" t="s">
        <v>300</v>
      </c>
    </row>
    <row r="21" spans="3:8" x14ac:dyDescent="0.2">
      <c r="C21" s="1" t="s">
        <v>261</v>
      </c>
    </row>
    <row r="22" spans="3:8" x14ac:dyDescent="0.2">
      <c r="C22" s="1" t="s">
        <v>282</v>
      </c>
    </row>
    <row r="24" spans="3:8" x14ac:dyDescent="0.2">
      <c r="C24" s="34" t="s">
        <v>301</v>
      </c>
    </row>
    <row r="25" spans="3:8" x14ac:dyDescent="0.2">
      <c r="C25" s="1" t="s">
        <v>283</v>
      </c>
    </row>
    <row r="26" spans="3:8" x14ac:dyDescent="0.2">
      <c r="C26" s="1" t="s">
        <v>284</v>
      </c>
    </row>
    <row r="29" spans="3:8" x14ac:dyDescent="0.2">
      <c r="D29" s="6" t="s">
        <v>222</v>
      </c>
      <c r="E29" s="6"/>
      <c r="G29" s="1" t="s">
        <v>32</v>
      </c>
      <c r="H29" s="1" t="s">
        <v>35</v>
      </c>
    </row>
    <row r="30" spans="3:8" x14ac:dyDescent="0.2">
      <c r="D30" s="6" t="s">
        <v>223</v>
      </c>
      <c r="E30" s="6" t="s">
        <v>225</v>
      </c>
      <c r="G30" s="1" t="s">
        <v>225</v>
      </c>
      <c r="H30" s="1" t="s">
        <v>223</v>
      </c>
    </row>
    <row r="31" spans="3:8" x14ac:dyDescent="0.2">
      <c r="C31" s="42">
        <v>39094</v>
      </c>
      <c r="D31" s="18">
        <v>9707</v>
      </c>
      <c r="E31" s="44">
        <v>0.121</v>
      </c>
      <c r="G31" s="43">
        <v>0.13800000000000001</v>
      </c>
      <c r="H31" s="27">
        <v>0.08</v>
      </c>
    </row>
    <row r="32" spans="3:8" x14ac:dyDescent="0.2">
      <c r="C32" s="42">
        <v>39087</v>
      </c>
      <c r="D32" s="18">
        <v>9456</v>
      </c>
      <c r="E32" s="44">
        <v>0.125</v>
      </c>
      <c r="G32" s="27">
        <v>0.14000000000000001</v>
      </c>
      <c r="H32" s="43">
        <v>8.3000000000000004E-2</v>
      </c>
    </row>
    <row r="33" spans="3:5" x14ac:dyDescent="0.2">
      <c r="D33" s="6"/>
      <c r="E33" s="6"/>
    </row>
    <row r="36" spans="3:5" x14ac:dyDescent="0.2">
      <c r="C36" s="34" t="s">
        <v>420</v>
      </c>
    </row>
    <row r="38" spans="3:5" x14ac:dyDescent="0.2">
      <c r="C38" s="34" t="s">
        <v>421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ColWidth="8.85546875" defaultRowHeight="12.75" x14ac:dyDescent="0.2"/>
  <cols>
    <col min="1" max="1" width="4.42578125" bestFit="1" customWidth="1"/>
    <col min="2" max="2" width="12.28515625" bestFit="1" customWidth="1"/>
  </cols>
  <sheetData>
    <row r="1" spans="1:3" x14ac:dyDescent="0.2">
      <c r="A1" s="33" t="s">
        <v>139</v>
      </c>
    </row>
    <row r="2" spans="1:3" x14ac:dyDescent="0.2">
      <c r="B2" s="95" t="s">
        <v>140</v>
      </c>
      <c r="C2" s="95" t="s">
        <v>368</v>
      </c>
    </row>
    <row r="3" spans="1:3" x14ac:dyDescent="0.2">
      <c r="B3" s="95" t="s">
        <v>141</v>
      </c>
      <c r="C3" s="95" t="s">
        <v>630</v>
      </c>
    </row>
    <row r="4" spans="1:3" x14ac:dyDescent="0.2">
      <c r="B4" s="95" t="s">
        <v>629</v>
      </c>
    </row>
    <row r="5" spans="1:3" x14ac:dyDescent="0.2">
      <c r="C5" s="121" t="s">
        <v>631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8" width="9.140625" style="1"/>
    <col min="9" max="9" width="9.42578125" style="1" customWidth="1"/>
    <col min="10" max="13" width="9.140625" style="6"/>
    <col min="14" max="16384" width="9.140625" style="1"/>
  </cols>
  <sheetData>
    <row r="1" spans="1:13" x14ac:dyDescent="0.2">
      <c r="A1" s="12" t="s">
        <v>139</v>
      </c>
    </row>
    <row r="2" spans="1:13" x14ac:dyDescent="0.2">
      <c r="B2" s="1" t="s">
        <v>140</v>
      </c>
      <c r="C2" s="1" t="s">
        <v>145</v>
      </c>
    </row>
    <row r="3" spans="1:13" x14ac:dyDescent="0.2">
      <c r="B3" s="1" t="s">
        <v>141</v>
      </c>
      <c r="C3" s="1" t="s">
        <v>153</v>
      </c>
    </row>
    <row r="4" spans="1:13" x14ac:dyDescent="0.2">
      <c r="B4" s="1" t="s">
        <v>138</v>
      </c>
      <c r="C4" s="1" t="s">
        <v>154</v>
      </c>
    </row>
    <row r="5" spans="1:13" x14ac:dyDescent="0.2">
      <c r="B5" s="1" t="s">
        <v>142</v>
      </c>
      <c r="C5" s="1" t="s">
        <v>174</v>
      </c>
    </row>
    <row r="6" spans="1:13" x14ac:dyDescent="0.2">
      <c r="B6" s="1" t="s">
        <v>193</v>
      </c>
      <c r="C6" s="1" t="s">
        <v>308</v>
      </c>
    </row>
    <row r="7" spans="1:13" x14ac:dyDescent="0.2">
      <c r="C7" s="1" t="s">
        <v>315</v>
      </c>
    </row>
    <row r="8" spans="1:13" x14ac:dyDescent="0.2">
      <c r="B8" s="1" t="s">
        <v>138</v>
      </c>
      <c r="C8" s="1" t="s">
        <v>355</v>
      </c>
    </row>
    <row r="9" spans="1:13" x14ac:dyDescent="0.2">
      <c r="A9" s="92"/>
      <c r="J9" s="6" t="s">
        <v>222</v>
      </c>
    </row>
    <row r="10" spans="1:13" x14ac:dyDescent="0.2">
      <c r="J10" s="6" t="s">
        <v>223</v>
      </c>
      <c r="K10" s="6" t="s">
        <v>224</v>
      </c>
      <c r="L10" s="6" t="s">
        <v>225</v>
      </c>
      <c r="M10" s="6" t="s">
        <v>226</v>
      </c>
    </row>
    <row r="11" spans="1:13" x14ac:dyDescent="0.2">
      <c r="I11" s="42">
        <v>39094</v>
      </c>
      <c r="J11" s="18">
        <v>8896</v>
      </c>
      <c r="K11" s="18">
        <v>2903</v>
      </c>
      <c r="L11" s="44">
        <v>0.111</v>
      </c>
      <c r="M11" s="44">
        <v>0.114</v>
      </c>
    </row>
    <row r="12" spans="1:13" x14ac:dyDescent="0.2">
      <c r="J12" s="18">
        <f>J11/1.14</f>
        <v>7803.5087719298253</v>
      </c>
      <c r="K12" s="18">
        <f>K11/1.202</f>
        <v>2415.1414309484194</v>
      </c>
      <c r="L12" s="44">
        <v>0.104</v>
      </c>
      <c r="M12" s="44">
        <v>0.106</v>
      </c>
    </row>
    <row r="14" spans="1:13" x14ac:dyDescent="0.2">
      <c r="B14" s="1" t="s">
        <v>205</v>
      </c>
    </row>
    <row r="15" spans="1:13" x14ac:dyDescent="0.2">
      <c r="B15" s="40" t="s">
        <v>204</v>
      </c>
      <c r="C15" s="9" t="s">
        <v>203</v>
      </c>
      <c r="D15" s="9" t="s">
        <v>202</v>
      </c>
    </row>
    <row r="16" spans="1:13" x14ac:dyDescent="0.2">
      <c r="B16" s="1" t="s">
        <v>5</v>
      </c>
      <c r="C16" s="41">
        <v>759</v>
      </c>
      <c r="D16" s="7">
        <f>C16/C18</f>
        <v>0.62009803921568629</v>
      </c>
    </row>
    <row r="17" spans="2:4" x14ac:dyDescent="0.2">
      <c r="B17" s="1" t="s">
        <v>33</v>
      </c>
      <c r="C17" s="41">
        <v>465</v>
      </c>
      <c r="D17" s="7">
        <f>C17/C18</f>
        <v>0.37990196078431371</v>
      </c>
    </row>
    <row r="18" spans="2:4" x14ac:dyDescent="0.2">
      <c r="B18" s="1" t="s">
        <v>34</v>
      </c>
      <c r="C18" s="41">
        <f>C17+C16</f>
        <v>1224</v>
      </c>
      <c r="D18" s="6"/>
    </row>
    <row r="19" spans="2:4" x14ac:dyDescent="0.2">
      <c r="B19" s="1" t="s">
        <v>349</v>
      </c>
    </row>
    <row r="21" spans="2:4" x14ac:dyDescent="0.2">
      <c r="B21" s="1" t="s">
        <v>220</v>
      </c>
    </row>
    <row r="22" spans="2:4" x14ac:dyDescent="0.2">
      <c r="B22" s="1" t="s">
        <v>221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A6B3-8744-4D59-9E37-C41BAD38602B}">
  <dimension ref="A1:C3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702</v>
      </c>
    </row>
    <row r="3" spans="1:3" x14ac:dyDescent="0.2">
      <c r="B3" s="95" t="s">
        <v>53</v>
      </c>
      <c r="C3" s="95" t="s">
        <v>701</v>
      </c>
    </row>
  </sheetData>
  <hyperlinks>
    <hyperlink ref="A1" location="Main!A1" display="Main" xr:uid="{F814848A-CA91-4092-BD72-EE0318D8B22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</cols>
  <sheetData>
    <row r="1" spans="1:8" x14ac:dyDescent="0.2">
      <c r="A1" s="33" t="s">
        <v>139</v>
      </c>
    </row>
    <row r="2" spans="1:8" x14ac:dyDescent="0.2">
      <c r="C2" s="14" t="s">
        <v>145</v>
      </c>
      <c r="D2" s="14" t="s">
        <v>5</v>
      </c>
      <c r="E2" s="14" t="s">
        <v>7</v>
      </c>
      <c r="F2" s="14" t="s">
        <v>9</v>
      </c>
      <c r="G2" s="14" t="s">
        <v>368</v>
      </c>
      <c r="H2" s="14" t="s">
        <v>251</v>
      </c>
    </row>
    <row r="3" spans="1:8" x14ac:dyDescent="0.2">
      <c r="B3" s="14" t="s">
        <v>395</v>
      </c>
      <c r="C3" s="14"/>
      <c r="D3" s="14"/>
      <c r="E3" s="14"/>
      <c r="F3" s="14"/>
      <c r="G3" s="14"/>
      <c r="H3" s="14"/>
    </row>
    <row r="4" spans="1:8" x14ac:dyDescent="0.2">
      <c r="B4" s="14" t="s">
        <v>396</v>
      </c>
      <c r="C4" s="14"/>
      <c r="D4" s="14"/>
      <c r="E4" s="14"/>
      <c r="F4" s="14"/>
      <c r="G4" s="14"/>
      <c r="H4" s="14"/>
    </row>
    <row r="5" spans="1:8" x14ac:dyDescent="0.2">
      <c r="B5" s="14" t="s">
        <v>397</v>
      </c>
      <c r="C5" s="14"/>
      <c r="D5" s="14"/>
      <c r="E5" s="14"/>
      <c r="F5" s="14"/>
      <c r="G5" s="14"/>
      <c r="H5" s="14"/>
    </row>
    <row r="6" spans="1:8" x14ac:dyDescent="0.2">
      <c r="B6" s="14" t="s">
        <v>398</v>
      </c>
      <c r="C6" s="14"/>
      <c r="D6" s="14"/>
      <c r="E6" s="14"/>
      <c r="F6" s="14"/>
      <c r="G6" s="14"/>
      <c r="H6" s="14"/>
    </row>
    <row r="7" spans="1:8" x14ac:dyDescent="0.2">
      <c r="B7" s="14" t="s">
        <v>399</v>
      </c>
      <c r="C7" s="14"/>
      <c r="D7" s="14"/>
      <c r="E7" s="14"/>
      <c r="F7" s="14"/>
      <c r="G7" s="14"/>
      <c r="H7" s="14"/>
    </row>
    <row r="8" spans="1:8" x14ac:dyDescent="0.2">
      <c r="B8" s="14" t="s">
        <v>400</v>
      </c>
      <c r="C8" s="14"/>
      <c r="D8" s="14"/>
      <c r="E8" s="14"/>
      <c r="F8" s="14"/>
      <c r="G8" s="14"/>
      <c r="H8" s="14"/>
    </row>
    <row r="9" spans="1:8" x14ac:dyDescent="0.2">
      <c r="B9" s="14" t="s">
        <v>401</v>
      </c>
      <c r="C9" s="14"/>
      <c r="D9" s="14"/>
      <c r="E9" s="14"/>
      <c r="F9" s="14"/>
      <c r="G9" s="14"/>
      <c r="H9" s="14"/>
    </row>
    <row r="10" spans="1:8" x14ac:dyDescent="0.2">
      <c r="B10" s="14" t="s">
        <v>402</v>
      </c>
      <c r="C10" s="14"/>
      <c r="D10" s="14"/>
      <c r="E10" s="14"/>
      <c r="F10" s="14"/>
      <c r="G10" s="14"/>
      <c r="H10" s="14"/>
    </row>
    <row r="11" spans="1:8" x14ac:dyDescent="0.2">
      <c r="B11" s="14" t="s">
        <v>403</v>
      </c>
      <c r="C11" s="14">
        <v>92000</v>
      </c>
      <c r="D11" s="14">
        <v>78000</v>
      </c>
      <c r="E11" s="14">
        <v>25000</v>
      </c>
      <c r="F11" s="14"/>
      <c r="G11" s="14"/>
      <c r="H11" s="14"/>
    </row>
    <row r="12" spans="1:8" x14ac:dyDescent="0.2">
      <c r="B12" s="14" t="s">
        <v>394</v>
      </c>
      <c r="C12" s="14">
        <v>91000</v>
      </c>
      <c r="D12" s="14">
        <v>77000</v>
      </c>
      <c r="E12" s="14">
        <v>24000</v>
      </c>
      <c r="F12" s="14"/>
      <c r="G12" s="14"/>
      <c r="H12" s="14"/>
    </row>
    <row r="13" spans="1:8" x14ac:dyDescent="0.2">
      <c r="B13" s="14" t="s">
        <v>393</v>
      </c>
      <c r="C13" s="14"/>
      <c r="D13" s="14"/>
      <c r="E13" s="14"/>
      <c r="F13" s="14"/>
      <c r="G13" s="14"/>
      <c r="H13" s="14"/>
    </row>
    <row r="14" spans="1:8" x14ac:dyDescent="0.2">
      <c r="B14" s="14" t="s">
        <v>383</v>
      </c>
      <c r="C14" s="14"/>
      <c r="D14" s="14"/>
      <c r="E14" s="14"/>
      <c r="F14" s="14"/>
      <c r="G14" s="14"/>
      <c r="H14" s="14"/>
    </row>
    <row r="15" spans="1:8" x14ac:dyDescent="0.2">
      <c r="B15" s="14" t="s">
        <v>384</v>
      </c>
      <c r="C15" s="14"/>
      <c r="D15" s="14"/>
      <c r="E15" s="14"/>
      <c r="F15" s="14"/>
      <c r="G15" s="14"/>
      <c r="H15" s="14"/>
    </row>
    <row r="16" spans="1:8" x14ac:dyDescent="0.2">
      <c r="B16" s="14" t="s">
        <v>385</v>
      </c>
      <c r="C16" s="14"/>
      <c r="D16" s="14"/>
      <c r="E16" s="14"/>
      <c r="F16" s="14"/>
      <c r="G16" s="14"/>
      <c r="H16" s="14"/>
    </row>
    <row r="17" spans="2:8" x14ac:dyDescent="0.2">
      <c r="B17" s="14" t="s">
        <v>386</v>
      </c>
      <c r="C17" s="14"/>
      <c r="D17" s="14"/>
      <c r="E17" s="14"/>
      <c r="F17" s="14"/>
      <c r="G17" s="14"/>
      <c r="H17" s="14"/>
    </row>
    <row r="18" spans="2:8" x14ac:dyDescent="0.2">
      <c r="B18" s="14" t="s">
        <v>387</v>
      </c>
      <c r="C18" s="14"/>
      <c r="D18" s="14"/>
      <c r="E18" s="14"/>
      <c r="F18" s="14"/>
      <c r="G18" s="14"/>
      <c r="H18" s="14"/>
    </row>
    <row r="19" spans="2:8" x14ac:dyDescent="0.2">
      <c r="B19" s="14" t="s">
        <v>388</v>
      </c>
      <c r="C19" s="14"/>
      <c r="D19" s="14"/>
      <c r="E19" s="14"/>
      <c r="F19" s="14"/>
      <c r="G19" s="14"/>
      <c r="H19" s="14"/>
    </row>
    <row r="20" spans="2:8" x14ac:dyDescent="0.2">
      <c r="B20" s="14" t="s">
        <v>389</v>
      </c>
      <c r="C20" s="14"/>
      <c r="D20" s="14"/>
      <c r="E20" s="14"/>
      <c r="F20" s="14"/>
      <c r="G20" s="14"/>
      <c r="H20" s="14"/>
    </row>
    <row r="21" spans="2:8" x14ac:dyDescent="0.2">
      <c r="B21" s="14" t="s">
        <v>390</v>
      </c>
      <c r="C21" s="14"/>
      <c r="D21" s="14"/>
      <c r="E21" s="14"/>
      <c r="F21" s="14"/>
      <c r="G21" s="14"/>
      <c r="H21" s="14"/>
    </row>
    <row r="22" spans="2:8" x14ac:dyDescent="0.2">
      <c r="B22" s="14" t="s">
        <v>391</v>
      </c>
      <c r="C22" s="14"/>
      <c r="D22" s="14"/>
      <c r="E22" s="14"/>
      <c r="F22" s="14"/>
      <c r="G22" s="14"/>
      <c r="H22" s="14"/>
    </row>
    <row r="23" spans="2:8" x14ac:dyDescent="0.2">
      <c r="B23" s="14" t="s">
        <v>392</v>
      </c>
      <c r="C23" s="14"/>
      <c r="D23" s="14"/>
      <c r="E23" s="14"/>
      <c r="F23" s="14"/>
      <c r="G23" s="14"/>
      <c r="H23" s="14"/>
    </row>
    <row r="24" spans="2:8" x14ac:dyDescent="0.2">
      <c r="B24" s="14" t="s">
        <v>382</v>
      </c>
      <c r="C24" s="14"/>
      <c r="D24" s="14"/>
      <c r="E24" s="14"/>
      <c r="F24" s="14"/>
      <c r="G24" s="14"/>
      <c r="H24" s="14"/>
    </row>
    <row r="25" spans="2:8" x14ac:dyDescent="0.2">
      <c r="B25" s="14" t="s">
        <v>381</v>
      </c>
      <c r="C25" s="14"/>
      <c r="D25" s="14"/>
      <c r="E25" s="14"/>
      <c r="F25" s="14"/>
      <c r="G25" s="14"/>
      <c r="H25" s="14"/>
    </row>
    <row r="26" spans="2:8" x14ac:dyDescent="0.2">
      <c r="B26" s="14" t="s">
        <v>369</v>
      </c>
      <c r="C26" s="79">
        <v>127900</v>
      </c>
      <c r="D26" s="79">
        <v>94900</v>
      </c>
      <c r="E26" s="79">
        <v>24200</v>
      </c>
      <c r="F26" s="79">
        <v>10200</v>
      </c>
      <c r="G26" s="79">
        <v>10400</v>
      </c>
      <c r="H26" s="79">
        <v>900</v>
      </c>
    </row>
    <row r="27" spans="2:8" x14ac:dyDescent="0.2">
      <c r="B27" s="14" t="s">
        <v>370</v>
      </c>
      <c r="C27" s="79">
        <v>136800</v>
      </c>
      <c r="D27" s="79">
        <v>96900</v>
      </c>
      <c r="E27" s="79">
        <v>24500</v>
      </c>
      <c r="F27" s="79">
        <v>9200</v>
      </c>
      <c r="G27" s="79">
        <v>10600</v>
      </c>
      <c r="H27" s="79">
        <v>1100</v>
      </c>
    </row>
    <row r="28" spans="2:8" x14ac:dyDescent="0.2">
      <c r="B28" s="14" t="s">
        <v>371</v>
      </c>
      <c r="C28" s="79">
        <v>164300</v>
      </c>
      <c r="D28" s="79">
        <v>123500</v>
      </c>
      <c r="E28" s="79">
        <v>32000</v>
      </c>
      <c r="F28" s="79">
        <v>12200</v>
      </c>
      <c r="G28" s="79">
        <v>13900</v>
      </c>
      <c r="H28" s="79">
        <v>1500</v>
      </c>
    </row>
    <row r="29" spans="2:8" x14ac:dyDescent="0.2">
      <c r="B29" s="14" t="s">
        <v>372</v>
      </c>
      <c r="C29" s="79">
        <v>125900</v>
      </c>
      <c r="D29" s="79">
        <v>97500</v>
      </c>
      <c r="E29" s="79">
        <v>25600</v>
      </c>
      <c r="F29" s="79">
        <v>9200</v>
      </c>
      <c r="G29" s="79">
        <v>11700</v>
      </c>
      <c r="H29" s="79">
        <v>1200</v>
      </c>
    </row>
    <row r="30" spans="2:8" x14ac:dyDescent="0.2">
      <c r="B30" s="14" t="s">
        <v>373</v>
      </c>
      <c r="C30" s="79">
        <v>131300</v>
      </c>
      <c r="D30" s="79">
        <v>101100</v>
      </c>
      <c r="E30" s="79">
        <v>26200</v>
      </c>
      <c r="F30" s="79">
        <v>8900</v>
      </c>
      <c r="G30" s="79">
        <v>12200</v>
      </c>
      <c r="H30" s="79">
        <v>1200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.75" x14ac:dyDescent="0.2"/>
  <cols>
    <col min="1" max="1" width="9.140625" style="55"/>
    <col min="2" max="2" width="9.140625" style="72"/>
    <col min="3" max="3" width="3.28515625" style="55" customWidth="1"/>
    <col min="4" max="4" width="9.140625" style="55"/>
    <col min="5" max="5" width="11" style="55" customWidth="1"/>
    <col min="6" max="6" width="12.7109375" style="55" customWidth="1"/>
    <col min="7" max="7" width="9.42578125" style="56" bestFit="1" customWidth="1"/>
    <col min="8" max="8" width="9.140625" style="55"/>
    <col min="9" max="16" width="9.140625" style="7"/>
    <col min="17" max="18" width="9.140625" style="55"/>
    <col min="19" max="19" width="8.140625" style="55" bestFit="1" customWidth="1"/>
    <col min="20" max="20" width="11.140625" style="56" bestFit="1" customWidth="1"/>
    <col min="21" max="21" width="9.140625" style="55"/>
    <col min="22" max="22" width="9.140625" style="7"/>
    <col min="23" max="30" width="9.140625" style="55"/>
    <col min="31" max="31" width="7.42578125" style="55" customWidth="1"/>
    <col min="32" max="32" width="11.140625" style="56" bestFit="1" customWidth="1"/>
    <col min="33" max="33" width="10.28515625" style="56" bestFit="1" customWidth="1"/>
    <col min="34" max="34" width="9.140625" style="7"/>
    <col min="35" max="40" width="10.28515625" style="56" customWidth="1"/>
    <col min="41" max="41" width="9.140625" style="56"/>
    <col min="42" max="42" width="10.28515625" style="55" bestFit="1" customWidth="1"/>
    <col min="43" max="43" width="9.140625" style="55"/>
    <col min="44" max="44" width="10.140625" style="55" bestFit="1" customWidth="1"/>
    <col min="45" max="45" width="8" style="56" customWidth="1"/>
    <col min="46" max="46" width="9.140625" style="55"/>
    <col min="47" max="47" width="9.140625" style="7"/>
    <col min="48" max="16384" width="9.140625" style="55"/>
  </cols>
  <sheetData>
    <row r="1" spans="1:53" x14ac:dyDescent="0.2">
      <c r="A1" s="67" t="s">
        <v>139</v>
      </c>
    </row>
    <row r="2" spans="1:53" x14ac:dyDescent="0.2">
      <c r="E2" s="56" t="s">
        <v>5</v>
      </c>
      <c r="R2" s="56" t="s">
        <v>145</v>
      </c>
      <c r="AD2" s="56" t="s">
        <v>7</v>
      </c>
      <c r="AP2" s="56" t="s">
        <v>9</v>
      </c>
    </row>
    <row r="3" spans="1:53" s="56" customFormat="1" x14ac:dyDescent="0.2">
      <c r="B3" s="73"/>
      <c r="D3" s="56" t="s">
        <v>223</v>
      </c>
      <c r="E3" s="56" t="s">
        <v>224</v>
      </c>
      <c r="F3" s="56" t="s">
        <v>288</v>
      </c>
      <c r="G3" s="56" t="s">
        <v>289</v>
      </c>
      <c r="H3" s="56" t="s">
        <v>206</v>
      </c>
      <c r="I3" s="26" t="s">
        <v>296</v>
      </c>
      <c r="J3" s="26" t="s">
        <v>295</v>
      </c>
      <c r="K3" s="26" t="s">
        <v>290</v>
      </c>
      <c r="L3" s="26" t="s">
        <v>291</v>
      </c>
      <c r="M3" s="26" t="s">
        <v>292</v>
      </c>
      <c r="N3" s="26" t="s">
        <v>294</v>
      </c>
      <c r="O3" s="26" t="s">
        <v>293</v>
      </c>
      <c r="P3" s="26"/>
      <c r="Q3" s="56" t="s">
        <v>223</v>
      </c>
      <c r="R3" s="56" t="s">
        <v>224</v>
      </c>
      <c r="S3" s="56" t="s">
        <v>288</v>
      </c>
      <c r="T3" s="56" t="s">
        <v>289</v>
      </c>
      <c r="U3" s="56" t="s">
        <v>206</v>
      </c>
      <c r="V3" s="26" t="s">
        <v>296</v>
      </c>
      <c r="W3" s="26" t="s">
        <v>295</v>
      </c>
      <c r="X3" s="26" t="s">
        <v>290</v>
      </c>
      <c r="Y3" s="26" t="s">
        <v>291</v>
      </c>
      <c r="Z3" s="26" t="s">
        <v>292</v>
      </c>
      <c r="AA3" s="26"/>
      <c r="AB3" s="26"/>
      <c r="AC3" s="56" t="s">
        <v>223</v>
      </c>
      <c r="AD3" s="56" t="s">
        <v>224</v>
      </c>
      <c r="AE3" s="56" t="s">
        <v>288</v>
      </c>
      <c r="AF3" s="56" t="s">
        <v>289</v>
      </c>
      <c r="AG3" s="56" t="s">
        <v>206</v>
      </c>
      <c r="AH3" s="26" t="s">
        <v>296</v>
      </c>
      <c r="AI3" s="26" t="s">
        <v>295</v>
      </c>
      <c r="AJ3" s="26" t="s">
        <v>290</v>
      </c>
      <c r="AK3" s="26" t="s">
        <v>291</v>
      </c>
      <c r="AL3" s="26" t="s">
        <v>292</v>
      </c>
      <c r="AM3" s="26" t="s">
        <v>294</v>
      </c>
      <c r="AN3" s="26" t="s">
        <v>293</v>
      </c>
      <c r="AP3" s="56" t="s">
        <v>223</v>
      </c>
      <c r="AQ3" s="56" t="s">
        <v>224</v>
      </c>
      <c r="AR3" s="56" t="s">
        <v>288</v>
      </c>
      <c r="AS3" s="56" t="s">
        <v>289</v>
      </c>
      <c r="AT3" s="56" t="s">
        <v>206</v>
      </c>
      <c r="AU3" s="26" t="s">
        <v>296</v>
      </c>
      <c r="AV3" s="26" t="s">
        <v>295</v>
      </c>
      <c r="AW3" s="26" t="s">
        <v>290</v>
      </c>
      <c r="AX3" s="26" t="s">
        <v>291</v>
      </c>
      <c r="AY3" s="26" t="s">
        <v>292</v>
      </c>
      <c r="AZ3" s="26" t="s">
        <v>294</v>
      </c>
      <c r="BA3" s="26" t="s">
        <v>293</v>
      </c>
    </row>
    <row r="4" spans="1:53" s="54" customFormat="1" ht="14.25" x14ac:dyDescent="0.2">
      <c r="B4" s="74">
        <v>38359</v>
      </c>
      <c r="D4" s="54">
        <v>5779</v>
      </c>
      <c r="E4" s="54">
        <v>2263</v>
      </c>
      <c r="I4" s="25"/>
      <c r="J4" s="25">
        <f>D4/$G$15</f>
        <v>6.6573739142455596E-2</v>
      </c>
      <c r="K4" s="25"/>
      <c r="L4" s="25"/>
      <c r="M4" s="25"/>
      <c r="N4" s="25"/>
      <c r="O4" s="25"/>
      <c r="P4" s="25"/>
      <c r="V4" s="25"/>
      <c r="W4" s="25"/>
      <c r="X4" s="25"/>
      <c r="Y4" s="25"/>
      <c r="Z4" s="25"/>
      <c r="AA4" s="25"/>
      <c r="AB4" s="25"/>
      <c r="AC4" s="57">
        <v>17102</v>
      </c>
      <c r="AD4" s="57">
        <v>4874</v>
      </c>
      <c r="AH4" s="25"/>
      <c r="AI4" s="25">
        <f>AC4/$G$15</f>
        <v>0.19701403128815981</v>
      </c>
      <c r="AJ4" s="25"/>
      <c r="AK4" s="25"/>
      <c r="AL4" s="25"/>
      <c r="AM4" s="25"/>
      <c r="AN4" s="25"/>
      <c r="AP4" s="58">
        <v>2144</v>
      </c>
      <c r="AQ4" s="59">
        <v>669</v>
      </c>
      <c r="AU4" s="25"/>
      <c r="AV4" s="25">
        <f>AP4/$G$15</f>
        <v>2.4698753542381862E-2</v>
      </c>
      <c r="AW4" s="25"/>
      <c r="AX4" s="25"/>
      <c r="AY4" s="25"/>
      <c r="AZ4" s="25"/>
      <c r="BA4" s="25"/>
    </row>
    <row r="5" spans="1:53" s="54" customFormat="1" ht="14.25" x14ac:dyDescent="0.2">
      <c r="B5" s="74">
        <v>38366</v>
      </c>
      <c r="D5" s="54">
        <v>6346</v>
      </c>
      <c r="E5" s="54">
        <v>2547</v>
      </c>
      <c r="I5" s="25"/>
      <c r="J5" s="25">
        <f t="shared" ref="J5:J15" si="0">D5/$G$15</f>
        <v>7.310554569960602E-2</v>
      </c>
      <c r="K5" s="25">
        <f>D5/D4-1</f>
        <v>9.8113860529503327E-2</v>
      </c>
      <c r="L5" s="25"/>
      <c r="M5" s="25"/>
      <c r="N5" s="25"/>
      <c r="O5" s="25"/>
      <c r="P5" s="25"/>
      <c r="V5" s="25"/>
      <c r="W5" s="25"/>
      <c r="X5" s="25"/>
      <c r="Y5" s="25"/>
      <c r="Z5" s="25"/>
      <c r="AA5" s="25"/>
      <c r="AB5" s="25"/>
      <c r="AC5" s="57">
        <v>16637</v>
      </c>
      <c r="AD5" s="57">
        <v>5164</v>
      </c>
      <c r="AH5" s="25"/>
      <c r="AI5" s="25">
        <f t="shared" ref="AI5:AI15" si="1">AC5/$G$15</f>
        <v>0.19165725871483538</v>
      </c>
      <c r="AJ5" s="25">
        <f>AC5/AC4-1</f>
        <v>-2.7189802362296844E-2</v>
      </c>
      <c r="AK5" s="25"/>
      <c r="AL5" s="25"/>
      <c r="AM5" s="25"/>
      <c r="AN5" s="25"/>
      <c r="AP5" s="58">
        <v>2329</v>
      </c>
      <c r="AQ5" s="59">
        <v>722</v>
      </c>
      <c r="AU5" s="25"/>
      <c r="AV5" s="25">
        <f t="shared" ref="AV5:AV15" si="2">AP5/$G$15</f>
        <v>2.6829942630693732E-2</v>
      </c>
      <c r="AW5" s="25">
        <f>AP5/AP4-1</f>
        <v>8.628731343283591E-2</v>
      </c>
      <c r="AX5" s="25"/>
      <c r="AY5" s="25"/>
      <c r="AZ5" s="25"/>
      <c r="BA5" s="25"/>
    </row>
    <row r="6" spans="1:53" s="54" customFormat="1" ht="14.25" x14ac:dyDescent="0.2">
      <c r="B6" s="74">
        <v>38373</v>
      </c>
      <c r="D6" s="54">
        <v>6240</v>
      </c>
      <c r="E6" s="54">
        <v>2402</v>
      </c>
      <c r="I6" s="25"/>
      <c r="J6" s="25">
        <f t="shared" si="0"/>
        <v>7.1884431951708405E-2</v>
      </c>
      <c r="K6" s="25">
        <f t="shared" ref="K6:K69" si="3">D6/D5-1</f>
        <v>-1.6703435234793562E-2</v>
      </c>
      <c r="L6" s="25"/>
      <c r="M6" s="25"/>
      <c r="N6" s="25"/>
      <c r="O6" s="25"/>
      <c r="P6" s="25"/>
      <c r="V6" s="25"/>
      <c r="W6" s="25"/>
      <c r="X6" s="25"/>
      <c r="Y6" s="25"/>
      <c r="Z6" s="25"/>
      <c r="AA6" s="25"/>
      <c r="AB6" s="25"/>
      <c r="AC6" s="57">
        <v>15640</v>
      </c>
      <c r="AD6" s="57">
        <v>4715</v>
      </c>
      <c r="AH6" s="25"/>
      <c r="AI6" s="25">
        <f t="shared" si="1"/>
        <v>0.18017187751998709</v>
      </c>
      <c r="AJ6" s="25">
        <f t="shared" ref="AJ6:AJ69" si="4">AC6/AC5-1</f>
        <v>-5.9926669471659588E-2</v>
      </c>
      <c r="AK6" s="25"/>
      <c r="AL6" s="25"/>
      <c r="AM6" s="25"/>
      <c r="AN6" s="25"/>
      <c r="AP6" s="58">
        <v>2227</v>
      </c>
      <c r="AQ6" s="59">
        <v>701</v>
      </c>
      <c r="AU6" s="25"/>
      <c r="AV6" s="25">
        <f t="shared" si="2"/>
        <v>2.5654908646867727E-2</v>
      </c>
      <c r="AW6" s="25">
        <f t="shared" ref="AW6:AW69" si="5">AP6/AP5-1</f>
        <v>-4.3795620437956151E-2</v>
      </c>
      <c r="AX6" s="25"/>
      <c r="AY6" s="25"/>
      <c r="AZ6" s="25"/>
      <c r="BA6" s="25"/>
    </row>
    <row r="7" spans="1:53" s="54" customFormat="1" ht="14.25" x14ac:dyDescent="0.2">
      <c r="B7" s="74">
        <v>38380</v>
      </c>
      <c r="D7" s="54">
        <v>6394</v>
      </c>
      <c r="E7" s="54">
        <v>2566</v>
      </c>
      <c r="F7" s="54">
        <f>SUM(D4:D7)</f>
        <v>24759</v>
      </c>
      <c r="I7" s="25"/>
      <c r="J7" s="25">
        <f t="shared" si="0"/>
        <v>7.3658502868465314E-2</v>
      </c>
      <c r="K7" s="25">
        <f t="shared" si="3"/>
        <v>2.4679487179487092E-2</v>
      </c>
      <c r="L7" s="25"/>
      <c r="M7" s="25"/>
      <c r="N7" s="25"/>
      <c r="O7" s="25"/>
      <c r="P7" s="25"/>
      <c r="V7" s="25"/>
      <c r="W7" s="25"/>
      <c r="X7" s="25"/>
      <c r="Y7" s="25"/>
      <c r="Z7" s="25"/>
      <c r="AA7" s="25"/>
      <c r="AB7" s="25"/>
      <c r="AC7" s="57">
        <v>15676</v>
      </c>
      <c r="AD7" s="57">
        <v>4861</v>
      </c>
      <c r="AE7" s="54">
        <f>SUM(AC4:AC7)</f>
        <v>65055</v>
      </c>
      <c r="AH7" s="25"/>
      <c r="AI7" s="25">
        <f t="shared" si="1"/>
        <v>0.18058659539663158</v>
      </c>
      <c r="AJ7" s="25">
        <f t="shared" si="4"/>
        <v>2.3017902813298186E-3</v>
      </c>
      <c r="AK7" s="25"/>
      <c r="AL7" s="25"/>
      <c r="AM7" s="25"/>
      <c r="AN7" s="25"/>
      <c r="AP7" s="58">
        <v>2203</v>
      </c>
      <c r="AQ7" s="59">
        <v>723</v>
      </c>
      <c r="AR7" s="54">
        <f>SUM(AP4:AP7)</f>
        <v>8903</v>
      </c>
      <c r="AU7" s="25"/>
      <c r="AV7" s="25">
        <f t="shared" si="2"/>
        <v>2.5378430062438079E-2</v>
      </c>
      <c r="AW7" s="25">
        <f t="shared" si="5"/>
        <v>-1.0776829815895783E-2</v>
      </c>
      <c r="AX7" s="25"/>
      <c r="AY7" s="25"/>
      <c r="AZ7" s="25"/>
      <c r="BA7" s="25"/>
    </row>
    <row r="8" spans="1:53" s="54" customFormat="1" ht="14.25" x14ac:dyDescent="0.2">
      <c r="A8" s="60"/>
      <c r="B8" s="74">
        <v>38387</v>
      </c>
      <c r="D8" s="54">
        <v>7036</v>
      </c>
      <c r="E8" s="54">
        <v>2635</v>
      </c>
      <c r="I8" s="25"/>
      <c r="J8" s="25">
        <f t="shared" si="0"/>
        <v>8.1054305001958385E-2</v>
      </c>
      <c r="K8" s="25">
        <f t="shared" si="3"/>
        <v>0.10040663121676574</v>
      </c>
      <c r="L8" s="25"/>
      <c r="M8" s="25"/>
      <c r="N8" s="25"/>
      <c r="O8" s="25"/>
      <c r="P8" s="25"/>
      <c r="V8" s="25"/>
      <c r="W8" s="25"/>
      <c r="X8" s="25"/>
      <c r="Y8" s="25"/>
      <c r="Z8" s="25"/>
      <c r="AA8" s="25"/>
      <c r="AB8" s="25"/>
      <c r="AC8" s="57">
        <v>18115</v>
      </c>
      <c r="AD8" s="57">
        <v>5578</v>
      </c>
      <c r="AH8" s="25"/>
      <c r="AI8" s="25">
        <f t="shared" si="1"/>
        <v>0.20868373153929451</v>
      </c>
      <c r="AJ8" s="25">
        <f t="shared" si="4"/>
        <v>0.15558816024496047</v>
      </c>
      <c r="AK8" s="25"/>
      <c r="AL8" s="25"/>
      <c r="AM8" s="25"/>
      <c r="AN8" s="25"/>
      <c r="AP8" s="58">
        <v>2382</v>
      </c>
      <c r="AQ8" s="59">
        <v>731</v>
      </c>
      <c r="AU8" s="25"/>
      <c r="AV8" s="25">
        <f t="shared" si="2"/>
        <v>2.7440499504642536E-2</v>
      </c>
      <c r="AW8" s="25">
        <f t="shared" si="5"/>
        <v>8.1252837040399539E-2</v>
      </c>
      <c r="AX8" s="25"/>
      <c r="AY8" s="25"/>
      <c r="AZ8" s="25"/>
      <c r="BA8" s="25"/>
    </row>
    <row r="9" spans="1:53" s="54" customFormat="1" ht="14.25" x14ac:dyDescent="0.2">
      <c r="A9" s="60"/>
      <c r="B9" s="74">
        <v>38394</v>
      </c>
      <c r="D9" s="54">
        <v>7060</v>
      </c>
      <c r="E9" s="54">
        <v>2622</v>
      </c>
      <c r="I9" s="25"/>
      <c r="J9" s="25">
        <f t="shared" si="0"/>
        <v>8.1330783586388039E-2</v>
      </c>
      <c r="K9" s="25">
        <f t="shared" si="3"/>
        <v>3.4110289937463456E-3</v>
      </c>
      <c r="L9" s="25"/>
      <c r="M9" s="25"/>
      <c r="N9" s="25"/>
      <c r="O9" s="25"/>
      <c r="P9" s="25"/>
      <c r="V9" s="25"/>
      <c r="W9" s="25"/>
      <c r="X9" s="25"/>
      <c r="Y9" s="25"/>
      <c r="Z9" s="25"/>
      <c r="AA9" s="25"/>
      <c r="AB9" s="25"/>
      <c r="AC9" s="57">
        <v>15778</v>
      </c>
      <c r="AD9" s="57">
        <v>4723</v>
      </c>
      <c r="AH9" s="25"/>
      <c r="AI9" s="25">
        <f t="shared" si="1"/>
        <v>0.18176162938045756</v>
      </c>
      <c r="AJ9" s="25">
        <f t="shared" si="4"/>
        <v>-0.12900910847364067</v>
      </c>
      <c r="AK9" s="25"/>
      <c r="AL9" s="25"/>
      <c r="AM9" s="25"/>
      <c r="AN9" s="25"/>
      <c r="AP9" s="58">
        <v>2200</v>
      </c>
      <c r="AQ9" s="59">
        <v>646</v>
      </c>
      <c r="AU9" s="25"/>
      <c r="AV9" s="25">
        <f t="shared" si="2"/>
        <v>2.5343870239384374E-2</v>
      </c>
      <c r="AW9" s="25">
        <f t="shared" si="5"/>
        <v>-7.6406381192275385E-2</v>
      </c>
      <c r="AX9" s="25"/>
      <c r="AY9" s="25"/>
      <c r="AZ9" s="25"/>
      <c r="BA9" s="25"/>
    </row>
    <row r="10" spans="1:53" s="54" customFormat="1" ht="14.25" x14ac:dyDescent="0.2">
      <c r="A10" s="60"/>
      <c r="B10" s="74">
        <v>38401</v>
      </c>
      <c r="D10" s="54">
        <v>7234</v>
      </c>
      <c r="E10" s="54">
        <v>2769</v>
      </c>
      <c r="I10" s="25"/>
      <c r="J10" s="25">
        <f t="shared" si="0"/>
        <v>8.3335253323502986E-2</v>
      </c>
      <c r="K10" s="25">
        <f t="shared" si="3"/>
        <v>2.4645892351274679E-2</v>
      </c>
      <c r="L10" s="25"/>
      <c r="M10" s="25"/>
      <c r="N10" s="25"/>
      <c r="O10" s="25"/>
      <c r="P10" s="25"/>
      <c r="V10" s="25"/>
      <c r="W10" s="25"/>
      <c r="X10" s="25"/>
      <c r="Y10" s="25"/>
      <c r="Z10" s="25"/>
      <c r="AA10" s="25"/>
      <c r="AB10" s="25"/>
      <c r="AC10" s="57">
        <v>15350</v>
      </c>
      <c r="AD10" s="57">
        <v>4692</v>
      </c>
      <c r="AH10" s="25"/>
      <c r="AI10" s="25">
        <f t="shared" si="1"/>
        <v>0.17683109462479552</v>
      </c>
      <c r="AJ10" s="25">
        <f t="shared" si="4"/>
        <v>-2.712637850171129E-2</v>
      </c>
      <c r="AK10" s="25"/>
      <c r="AL10" s="25"/>
      <c r="AM10" s="25"/>
      <c r="AN10" s="25"/>
      <c r="AP10" s="58">
        <v>2404</v>
      </c>
      <c r="AQ10" s="59">
        <v>741</v>
      </c>
      <c r="AU10" s="25"/>
      <c r="AV10" s="25">
        <f t="shared" si="2"/>
        <v>2.7693938207036379E-2</v>
      </c>
      <c r="AW10" s="25">
        <f t="shared" si="5"/>
        <v>9.2727272727272769E-2</v>
      </c>
      <c r="AX10" s="25"/>
      <c r="AY10" s="25"/>
      <c r="AZ10" s="25"/>
      <c r="BA10" s="25"/>
    </row>
    <row r="11" spans="1:53" s="54" customFormat="1" ht="14.25" x14ac:dyDescent="0.2">
      <c r="A11" s="60"/>
      <c r="B11" s="74">
        <v>38408</v>
      </c>
      <c r="D11" s="54">
        <v>7157</v>
      </c>
      <c r="E11" s="54">
        <v>2594</v>
      </c>
      <c r="F11" s="54">
        <f>SUM(D8:D11)</f>
        <v>28487</v>
      </c>
      <c r="I11" s="25"/>
      <c r="J11" s="25">
        <f t="shared" si="0"/>
        <v>8.2448217865124532E-2</v>
      </c>
      <c r="K11" s="25">
        <f t="shared" si="3"/>
        <v>-1.0644180259883895E-2</v>
      </c>
      <c r="L11" s="25">
        <f>F11/F7-1</f>
        <v>0.15057150935013541</v>
      </c>
      <c r="M11" s="25"/>
      <c r="N11" s="25"/>
      <c r="O11" s="25"/>
      <c r="P11" s="25"/>
      <c r="V11" s="25"/>
      <c r="W11" s="25"/>
      <c r="X11" s="25"/>
      <c r="Y11" s="25"/>
      <c r="Z11" s="25"/>
      <c r="AA11" s="25"/>
      <c r="AB11" s="25"/>
      <c r="AC11" s="57">
        <v>15380</v>
      </c>
      <c r="AD11" s="57">
        <v>4543</v>
      </c>
      <c r="AE11" s="54">
        <f>SUM(AC8:AC11)</f>
        <v>64623</v>
      </c>
      <c r="AH11" s="25"/>
      <c r="AI11" s="25">
        <f t="shared" si="1"/>
        <v>0.17717669285533258</v>
      </c>
      <c r="AJ11" s="25">
        <f t="shared" si="4"/>
        <v>1.9543973941367199E-3</v>
      </c>
      <c r="AK11" s="25">
        <f>AE11/AE7-1</f>
        <v>-6.6405349319805795E-3</v>
      </c>
      <c r="AL11" s="25"/>
      <c r="AM11" s="25"/>
      <c r="AN11" s="25"/>
      <c r="AP11" s="58">
        <v>2431</v>
      </c>
      <c r="AQ11" s="59">
        <v>768</v>
      </c>
      <c r="AR11" s="54">
        <f>SUM(AP8:AP11)</f>
        <v>9417</v>
      </c>
      <c r="AU11" s="25"/>
      <c r="AV11" s="25">
        <f t="shared" si="2"/>
        <v>2.8004976614519735E-2</v>
      </c>
      <c r="AW11" s="25">
        <f t="shared" si="5"/>
        <v>1.1231281198003318E-2</v>
      </c>
      <c r="AX11" s="25">
        <f>AR11/AR7-1</f>
        <v>5.7733348309558563E-2</v>
      </c>
      <c r="AY11" s="25"/>
      <c r="AZ11" s="25"/>
      <c r="BA11" s="25"/>
    </row>
    <row r="12" spans="1:53" s="54" customFormat="1" ht="14.25" x14ac:dyDescent="0.2">
      <c r="A12" s="60"/>
      <c r="B12" s="74">
        <v>38415</v>
      </c>
      <c r="D12" s="54">
        <v>8655</v>
      </c>
      <c r="E12" s="54">
        <v>3280</v>
      </c>
      <c r="I12" s="25"/>
      <c r="J12" s="25">
        <f t="shared" si="0"/>
        <v>9.9705089509941711E-2</v>
      </c>
      <c r="K12" s="25">
        <f t="shared" si="3"/>
        <v>0.20930557496157598</v>
      </c>
      <c r="L12" s="25"/>
      <c r="M12" s="25"/>
      <c r="N12" s="25"/>
      <c r="O12" s="25"/>
      <c r="P12" s="25"/>
      <c r="V12" s="25"/>
      <c r="W12" s="25"/>
      <c r="X12" s="25"/>
      <c r="Y12" s="25"/>
      <c r="Z12" s="25"/>
      <c r="AA12" s="25"/>
      <c r="AB12" s="25"/>
      <c r="AC12" s="57">
        <v>17661</v>
      </c>
      <c r="AD12" s="57">
        <v>5042</v>
      </c>
      <c r="AH12" s="25"/>
      <c r="AI12" s="25">
        <f t="shared" si="1"/>
        <v>0.20345367831716701</v>
      </c>
      <c r="AJ12" s="25">
        <f t="shared" si="4"/>
        <v>0.14830949284785433</v>
      </c>
      <c r="AK12" s="25"/>
      <c r="AL12" s="25"/>
      <c r="AM12" s="25"/>
      <c r="AN12" s="25"/>
      <c r="AP12" s="58">
        <v>2619</v>
      </c>
      <c r="AQ12" s="59">
        <v>827</v>
      </c>
      <c r="AU12" s="25"/>
      <c r="AV12" s="25">
        <f t="shared" si="2"/>
        <v>3.0170725525885306E-2</v>
      </c>
      <c r="AW12" s="25">
        <f t="shared" si="5"/>
        <v>7.7334430275606714E-2</v>
      </c>
      <c r="AX12" s="25"/>
      <c r="AY12" s="25"/>
      <c r="AZ12" s="25"/>
      <c r="BA12" s="25"/>
    </row>
    <row r="13" spans="1:53" s="54" customFormat="1" ht="14.25" x14ac:dyDescent="0.2">
      <c r="A13" s="60"/>
      <c r="B13" s="74">
        <v>38422</v>
      </c>
      <c r="D13" s="54">
        <v>8383</v>
      </c>
      <c r="E13" s="54">
        <v>3125</v>
      </c>
      <c r="I13" s="25"/>
      <c r="J13" s="25">
        <f t="shared" si="0"/>
        <v>9.6571665553072367E-2</v>
      </c>
      <c r="K13" s="25">
        <f t="shared" si="3"/>
        <v>-3.1426920854997098E-2</v>
      </c>
      <c r="L13" s="25"/>
      <c r="M13" s="25"/>
      <c r="N13" s="25"/>
      <c r="O13" s="25"/>
      <c r="P13" s="25"/>
      <c r="V13" s="25"/>
      <c r="W13" s="25"/>
      <c r="X13" s="25"/>
      <c r="Y13" s="25"/>
      <c r="Z13" s="25"/>
      <c r="AA13" s="25"/>
      <c r="AB13" s="25"/>
      <c r="AC13" s="57">
        <v>15979</v>
      </c>
      <c r="AD13" s="57">
        <v>4708</v>
      </c>
      <c r="AH13" s="25"/>
      <c r="AI13" s="25">
        <f t="shared" si="1"/>
        <v>0.18407713752505586</v>
      </c>
      <c r="AJ13" s="25">
        <f t="shared" si="4"/>
        <v>-9.5238095238095233E-2</v>
      </c>
      <c r="AK13" s="25"/>
      <c r="AL13" s="25"/>
      <c r="AM13" s="25"/>
      <c r="AN13" s="25"/>
      <c r="AP13" s="58">
        <v>2346</v>
      </c>
      <c r="AQ13" s="59">
        <v>746</v>
      </c>
      <c r="AU13" s="25"/>
      <c r="AV13" s="25">
        <f t="shared" si="2"/>
        <v>2.7025781627998065E-2</v>
      </c>
      <c r="AW13" s="25">
        <f t="shared" si="5"/>
        <v>-0.1042382588774341</v>
      </c>
      <c r="AX13" s="25"/>
      <c r="AY13" s="25"/>
      <c r="AZ13" s="25"/>
      <c r="BA13" s="25"/>
    </row>
    <row r="14" spans="1:53" s="54" customFormat="1" ht="14.25" x14ac:dyDescent="0.2">
      <c r="A14" s="60"/>
      <c r="B14" s="74">
        <v>38429</v>
      </c>
      <c r="D14" s="54">
        <v>8208</v>
      </c>
      <c r="E14" s="54">
        <v>3113</v>
      </c>
      <c r="I14" s="25"/>
      <c r="J14" s="25">
        <f t="shared" si="0"/>
        <v>9.4555675874939515E-2</v>
      </c>
      <c r="K14" s="25">
        <f t="shared" si="3"/>
        <v>-2.0875581534056997E-2</v>
      </c>
      <c r="L14" s="25"/>
      <c r="M14" s="25"/>
      <c r="N14" s="25"/>
      <c r="O14" s="25"/>
      <c r="P14" s="25"/>
      <c r="V14" s="25"/>
      <c r="W14" s="25"/>
      <c r="X14" s="25"/>
      <c r="Y14" s="25"/>
      <c r="Z14" s="25"/>
      <c r="AA14" s="25"/>
      <c r="AB14" s="25"/>
      <c r="AC14" s="57">
        <v>15141</v>
      </c>
      <c r="AD14" s="57">
        <v>4562</v>
      </c>
      <c r="AH14" s="25"/>
      <c r="AI14" s="25">
        <f t="shared" si="1"/>
        <v>0.17442342695205401</v>
      </c>
      <c r="AJ14" s="25">
        <f t="shared" si="4"/>
        <v>-5.2443832530195911E-2</v>
      </c>
      <c r="AK14" s="25"/>
      <c r="AL14" s="25"/>
      <c r="AM14" s="25"/>
      <c r="AN14" s="25"/>
      <c r="AP14" s="58">
        <v>2393</v>
      </c>
      <c r="AQ14" s="59">
        <v>791</v>
      </c>
      <c r="AU14" s="25"/>
      <c r="AV14" s="25">
        <f t="shared" si="2"/>
        <v>2.7567218855839459E-2</v>
      </c>
      <c r="AW14" s="25">
        <f t="shared" si="5"/>
        <v>2.0034100596760362E-2</v>
      </c>
      <c r="AX14" s="25"/>
      <c r="AY14" s="25"/>
      <c r="AZ14" s="25"/>
      <c r="BA14" s="25"/>
    </row>
    <row r="15" spans="1:53" s="54" customFormat="1" ht="14.25" x14ac:dyDescent="0.2">
      <c r="A15" s="60"/>
      <c r="B15" s="74">
        <v>38436</v>
      </c>
      <c r="D15" s="54">
        <v>8314</v>
      </c>
      <c r="E15" s="54">
        <v>3302</v>
      </c>
      <c r="F15" s="54">
        <f>SUM(D12:D15)</f>
        <v>33560</v>
      </c>
      <c r="G15" s="54">
        <f>SUM(F7:F15)</f>
        <v>86806</v>
      </c>
      <c r="H15" s="54">
        <v>91167</v>
      </c>
      <c r="I15" s="25"/>
      <c r="J15" s="25">
        <f t="shared" si="0"/>
        <v>9.577678962283713E-2</v>
      </c>
      <c r="K15" s="25">
        <f t="shared" si="3"/>
        <v>1.29142300194931E-2</v>
      </c>
      <c r="L15" s="25">
        <f>F15/F11-1</f>
        <v>0.17808123003475274</v>
      </c>
      <c r="M15" s="25"/>
      <c r="N15" s="25"/>
      <c r="O15" s="25"/>
      <c r="P15" s="25"/>
      <c r="V15" s="25"/>
      <c r="W15" s="25"/>
      <c r="X15" s="25"/>
      <c r="Y15" s="25"/>
      <c r="Z15" s="25"/>
      <c r="AA15" s="25"/>
      <c r="AB15" s="25"/>
      <c r="AC15" s="57">
        <v>14783</v>
      </c>
      <c r="AD15" s="57">
        <v>4286</v>
      </c>
      <c r="AE15" s="54">
        <f>SUM(AC12:AC15)</f>
        <v>63564</v>
      </c>
      <c r="AF15" s="54">
        <f>SUM(AE7:AE15)</f>
        <v>193242</v>
      </c>
      <c r="AG15" s="54">
        <v>197843</v>
      </c>
      <c r="AH15" s="25">
        <f>AF15/AG15-1</f>
        <v>-2.3255813953488413E-2</v>
      </c>
      <c r="AI15" s="25">
        <f t="shared" si="1"/>
        <v>0.1702992880676451</v>
      </c>
      <c r="AJ15" s="25">
        <f t="shared" si="4"/>
        <v>-2.3644409219998663E-2</v>
      </c>
      <c r="AK15" s="25">
        <f>AE15/AE11-1</f>
        <v>-1.6387354347523364E-2</v>
      </c>
      <c r="AL15" s="25"/>
      <c r="AM15" s="25"/>
      <c r="AN15" s="25"/>
      <c r="AP15" s="58">
        <v>2510</v>
      </c>
      <c r="AQ15" s="59">
        <v>776</v>
      </c>
      <c r="AR15" s="54">
        <f>SUM(AP12:AP15)</f>
        <v>9868</v>
      </c>
      <c r="AS15" s="54">
        <f>SUM(AR7:AR15)</f>
        <v>28188</v>
      </c>
      <c r="AT15" s="54">
        <v>42665</v>
      </c>
      <c r="AU15" s="25">
        <f>AS15/AT15-1</f>
        <v>-0.33931794210711352</v>
      </c>
      <c r="AV15" s="25">
        <f t="shared" si="2"/>
        <v>2.891505195493399E-2</v>
      </c>
      <c r="AW15" s="25">
        <f t="shared" si="5"/>
        <v>4.8892603426661019E-2</v>
      </c>
      <c r="AX15" s="25">
        <f>AR15/AR11-1</f>
        <v>4.7892110013804778E-2</v>
      </c>
      <c r="AY15" s="25"/>
      <c r="AZ15" s="25"/>
      <c r="BA15" s="25"/>
    </row>
    <row r="16" spans="1:53" s="54" customFormat="1" ht="14.25" x14ac:dyDescent="0.2">
      <c r="A16" s="60"/>
      <c r="B16" s="74">
        <v>38443</v>
      </c>
      <c r="D16" s="54">
        <v>8952</v>
      </c>
      <c r="E16" s="54">
        <v>3317</v>
      </c>
      <c r="I16" s="25"/>
      <c r="J16" s="25">
        <f>D16/$G$28</f>
        <v>6.9148237693204898E-2</v>
      </c>
      <c r="K16" s="25">
        <f t="shared" si="3"/>
        <v>7.6738032234784592E-2</v>
      </c>
      <c r="L16" s="25"/>
      <c r="M16" s="25"/>
      <c r="N16" s="25"/>
      <c r="O16" s="25"/>
      <c r="P16" s="25"/>
      <c r="V16" s="25"/>
      <c r="W16" s="25"/>
      <c r="X16" s="25"/>
      <c r="Y16" s="25"/>
      <c r="Z16" s="25"/>
      <c r="AA16" s="25"/>
      <c r="AB16" s="25"/>
      <c r="AC16" s="57">
        <v>15636</v>
      </c>
      <c r="AD16" s="57">
        <v>4431</v>
      </c>
      <c r="AH16" s="25"/>
      <c r="AI16" s="25">
        <f>AC16/$G$28</f>
        <v>0.12077768594402948</v>
      </c>
      <c r="AJ16" s="25">
        <f t="shared" si="4"/>
        <v>5.7701413786105604E-2</v>
      </c>
      <c r="AK16" s="25"/>
      <c r="AL16" s="25"/>
      <c r="AM16" s="25"/>
      <c r="AN16" s="25"/>
      <c r="AP16" s="58">
        <v>2362</v>
      </c>
      <c r="AQ16" s="59">
        <v>728</v>
      </c>
      <c r="AU16" s="25"/>
      <c r="AV16" s="25">
        <f>AP16/$G$28</f>
        <v>1.8244876835494861E-2</v>
      </c>
      <c r="AW16" s="25">
        <f t="shared" si="5"/>
        <v>-5.8964143426294857E-2</v>
      </c>
      <c r="AX16" s="25"/>
      <c r="AY16" s="25"/>
      <c r="AZ16" s="25"/>
      <c r="BA16" s="25"/>
    </row>
    <row r="17" spans="1:53" s="54" customFormat="1" ht="14.25" x14ac:dyDescent="0.2">
      <c r="A17" s="60"/>
      <c r="B17" s="74">
        <v>38450</v>
      </c>
      <c r="D17" s="54">
        <v>9166</v>
      </c>
      <c r="E17" s="54">
        <v>3452</v>
      </c>
      <c r="I17" s="25"/>
      <c r="J17" s="25">
        <f t="shared" ref="J17:J28" si="6">D17/$G$28</f>
        <v>7.0801245162635848E-2</v>
      </c>
      <c r="K17" s="25">
        <f t="shared" si="3"/>
        <v>2.3905272564789914E-2</v>
      </c>
      <c r="L17" s="25"/>
      <c r="M17" s="25"/>
      <c r="N17" s="25"/>
      <c r="O17" s="25"/>
      <c r="P17" s="25"/>
      <c r="V17" s="25"/>
      <c r="W17" s="25"/>
      <c r="X17" s="25"/>
      <c r="Y17" s="25"/>
      <c r="Z17" s="25"/>
      <c r="AA17" s="25"/>
      <c r="AB17" s="25"/>
      <c r="AC17" s="57">
        <v>16134</v>
      </c>
      <c r="AD17" s="57">
        <v>4777</v>
      </c>
      <c r="AH17" s="25"/>
      <c r="AI17" s="25">
        <f t="shared" ref="AI17:AI28" si="7">AC17/$G$28</f>
        <v>0.12462440426074262</v>
      </c>
      <c r="AJ17" s="25">
        <f t="shared" si="4"/>
        <v>3.1849577897160364E-2</v>
      </c>
      <c r="AK17" s="25"/>
      <c r="AL17" s="25"/>
      <c r="AM17" s="25"/>
      <c r="AN17" s="25"/>
      <c r="AP17" s="58">
        <v>2410</v>
      </c>
      <c r="AQ17" s="59">
        <v>750</v>
      </c>
      <c r="AU17" s="25"/>
      <c r="AV17" s="25">
        <f t="shared" ref="AV17:AV28" si="8">AP17/$G$28</f>
        <v>1.8615644866021429E-2</v>
      </c>
      <c r="AW17" s="25">
        <f t="shared" si="5"/>
        <v>2.0321761219305623E-2</v>
      </c>
      <c r="AX17" s="25"/>
      <c r="AY17" s="25"/>
      <c r="AZ17" s="25"/>
      <c r="BA17" s="25"/>
    </row>
    <row r="18" spans="1:53" s="54" customFormat="1" ht="14.25" x14ac:dyDescent="0.2">
      <c r="A18" s="60"/>
      <c r="B18" s="74">
        <v>38457</v>
      </c>
      <c r="D18" s="54">
        <v>9309</v>
      </c>
      <c r="E18" s="54">
        <v>3566</v>
      </c>
      <c r="I18" s="25"/>
      <c r="J18" s="25">
        <f t="shared" si="6"/>
        <v>7.1905824920246247E-2</v>
      </c>
      <c r="K18" s="25">
        <f t="shared" si="3"/>
        <v>1.5601134627972968E-2</v>
      </c>
      <c r="L18" s="25"/>
      <c r="M18" s="25"/>
      <c r="N18" s="25"/>
      <c r="O18" s="25"/>
      <c r="P18" s="25"/>
      <c r="V18" s="25"/>
      <c r="W18" s="25"/>
      <c r="X18" s="25"/>
      <c r="Y18" s="25"/>
      <c r="Z18" s="25"/>
      <c r="AA18" s="25"/>
      <c r="AB18" s="25"/>
      <c r="AC18" s="57">
        <v>15030</v>
      </c>
      <c r="AD18" s="57">
        <v>4223</v>
      </c>
      <c r="AH18" s="25"/>
      <c r="AI18" s="25">
        <f t="shared" si="7"/>
        <v>0.11609673955863156</v>
      </c>
      <c r="AJ18" s="25">
        <f t="shared" si="4"/>
        <v>-6.8426924507251741E-2</v>
      </c>
      <c r="AK18" s="25"/>
      <c r="AL18" s="25"/>
      <c r="AM18" s="25"/>
      <c r="AN18" s="25"/>
      <c r="AP18" s="58">
        <v>2543</v>
      </c>
      <c r="AQ18" s="59">
        <v>807</v>
      </c>
      <c r="AU18" s="25"/>
      <c r="AV18" s="25">
        <f t="shared" si="8"/>
        <v>1.9642981283938793E-2</v>
      </c>
      <c r="AW18" s="25">
        <f t="shared" si="5"/>
        <v>5.5186721991701271E-2</v>
      </c>
      <c r="AX18" s="25"/>
      <c r="AY18" s="25"/>
      <c r="AZ18" s="25"/>
      <c r="BA18" s="25"/>
    </row>
    <row r="19" spans="1:53" s="54" customFormat="1" ht="14.25" x14ac:dyDescent="0.2">
      <c r="A19" s="60"/>
      <c r="B19" s="74">
        <v>38464</v>
      </c>
      <c r="D19" s="54">
        <v>9454</v>
      </c>
      <c r="E19" s="54">
        <v>3563</v>
      </c>
      <c r="I19" s="25"/>
      <c r="J19" s="25">
        <f t="shared" si="6"/>
        <v>7.3025853345795255E-2</v>
      </c>
      <c r="K19" s="25">
        <f t="shared" si="3"/>
        <v>1.5576323987538832E-2</v>
      </c>
      <c r="L19" s="25"/>
      <c r="M19" s="25"/>
      <c r="N19" s="25"/>
      <c r="O19" s="25"/>
      <c r="P19" s="25"/>
      <c r="V19" s="25"/>
      <c r="W19" s="25"/>
      <c r="X19" s="25"/>
      <c r="Y19" s="25"/>
      <c r="Z19" s="25"/>
      <c r="AA19" s="25"/>
      <c r="AB19" s="25"/>
      <c r="AC19" s="57">
        <v>14953</v>
      </c>
      <c r="AD19" s="57">
        <v>4568</v>
      </c>
      <c r="AH19" s="25"/>
      <c r="AI19" s="25">
        <f t="shared" si="7"/>
        <v>0.11550196584299519</v>
      </c>
      <c r="AJ19" s="25">
        <f t="shared" si="4"/>
        <v>-5.1230871590153271E-3</v>
      </c>
      <c r="AK19" s="25"/>
      <c r="AL19" s="25"/>
      <c r="AM19" s="25"/>
      <c r="AN19" s="25"/>
      <c r="AP19" s="58">
        <v>2433</v>
      </c>
      <c r="AQ19" s="59">
        <v>725</v>
      </c>
      <c r="AU19" s="25"/>
      <c r="AV19" s="25">
        <f t="shared" si="8"/>
        <v>1.8793304547315409E-2</v>
      </c>
      <c r="AW19" s="25">
        <f t="shared" si="5"/>
        <v>-4.3255996854109302E-2</v>
      </c>
      <c r="AX19" s="25"/>
      <c r="AY19" s="25"/>
      <c r="AZ19" s="25"/>
      <c r="BA19" s="25"/>
    </row>
    <row r="20" spans="1:53" s="54" customFormat="1" ht="14.25" x14ac:dyDescent="0.2">
      <c r="A20" s="60"/>
      <c r="B20" s="74">
        <v>38471</v>
      </c>
      <c r="D20" s="54">
        <v>9672</v>
      </c>
      <c r="E20" s="54">
        <v>3476</v>
      </c>
      <c r="F20" s="54">
        <f>SUM(D16:D20)</f>
        <v>46553</v>
      </c>
      <c r="I20" s="25"/>
      <c r="J20" s="25">
        <f t="shared" si="6"/>
        <v>7.4709758151103423E-2</v>
      </c>
      <c r="K20" s="25">
        <f t="shared" si="3"/>
        <v>2.30590226359213E-2</v>
      </c>
      <c r="L20" s="25">
        <f>F20/F15-1</f>
        <v>0.38715733015494647</v>
      </c>
      <c r="M20" s="25"/>
      <c r="N20" s="25"/>
      <c r="O20" s="25"/>
      <c r="P20" s="25"/>
      <c r="V20" s="25"/>
      <c r="W20" s="25"/>
      <c r="X20" s="25"/>
      <c r="Y20" s="25"/>
      <c r="Z20" s="25"/>
      <c r="AA20" s="25"/>
      <c r="AB20" s="25"/>
      <c r="AC20" s="57">
        <v>15200</v>
      </c>
      <c r="AD20" s="57">
        <v>4453</v>
      </c>
      <c r="AE20" s="54">
        <f>SUM(AC16:AC20)</f>
        <v>76953</v>
      </c>
      <c r="AH20" s="25"/>
      <c r="AI20" s="25">
        <f t="shared" si="7"/>
        <v>0.11740987633341315</v>
      </c>
      <c r="AJ20" s="25">
        <f t="shared" si="4"/>
        <v>1.6518424396442244E-2</v>
      </c>
      <c r="AK20" s="25">
        <f>AE20/AE15-1</f>
        <v>0.21063809703605818</v>
      </c>
      <c r="AL20" s="25"/>
      <c r="AM20" s="25"/>
      <c r="AN20" s="25"/>
      <c r="AP20" s="58">
        <v>2475</v>
      </c>
      <c r="AQ20" s="59">
        <v>791</v>
      </c>
      <c r="AR20" s="54">
        <f>SUM(AP16:AP20)</f>
        <v>12223</v>
      </c>
      <c r="AU20" s="25"/>
      <c r="AV20" s="25">
        <f t="shared" si="8"/>
        <v>1.9117726574026155E-2</v>
      </c>
      <c r="AW20" s="25">
        <f t="shared" si="5"/>
        <v>1.726263871763245E-2</v>
      </c>
      <c r="AX20" s="25">
        <f>AR20/AR15-1</f>
        <v>0.23865018240778268</v>
      </c>
      <c r="AY20" s="25"/>
      <c r="AZ20" s="25"/>
      <c r="BA20" s="25"/>
    </row>
    <row r="21" spans="1:53" s="54" customFormat="1" ht="14.25" x14ac:dyDescent="0.2">
      <c r="A21" s="60"/>
      <c r="B21" s="74">
        <v>38478</v>
      </c>
      <c r="D21" s="54">
        <v>10338</v>
      </c>
      <c r="E21" s="54">
        <v>3720</v>
      </c>
      <c r="I21" s="25"/>
      <c r="J21" s="25">
        <f t="shared" si="6"/>
        <v>7.9854164574659547E-2</v>
      </c>
      <c r="K21" s="25">
        <f t="shared" si="3"/>
        <v>6.8858560794044621E-2</v>
      </c>
      <c r="L21" s="25"/>
      <c r="M21" s="25"/>
      <c r="N21" s="25"/>
      <c r="O21" s="25"/>
      <c r="P21" s="25"/>
      <c r="V21" s="25"/>
      <c r="W21" s="25"/>
      <c r="X21" s="25"/>
      <c r="Y21" s="25"/>
      <c r="Z21" s="25"/>
      <c r="AA21" s="25"/>
      <c r="AB21" s="25"/>
      <c r="AC21" s="57">
        <v>16616</v>
      </c>
      <c r="AD21" s="57">
        <v>4879</v>
      </c>
      <c r="AH21" s="25"/>
      <c r="AI21" s="25">
        <f t="shared" si="7"/>
        <v>0.1283475332339469</v>
      </c>
      <c r="AJ21" s="25">
        <f t="shared" si="4"/>
        <v>9.3157894736842106E-2</v>
      </c>
      <c r="AK21" s="25"/>
      <c r="AL21" s="25"/>
      <c r="AM21" s="25"/>
      <c r="AN21" s="25"/>
      <c r="AP21" s="58">
        <v>2520</v>
      </c>
      <c r="AQ21" s="59">
        <v>761</v>
      </c>
      <c r="AU21" s="25"/>
      <c r="AV21" s="25">
        <f t="shared" si="8"/>
        <v>1.9465321602644813E-2</v>
      </c>
      <c r="AW21" s="25">
        <f t="shared" si="5"/>
        <v>1.8181818181818077E-2</v>
      </c>
      <c r="AX21" s="25"/>
      <c r="AY21" s="25"/>
      <c r="AZ21" s="25"/>
      <c r="BA21" s="25"/>
    </row>
    <row r="22" spans="1:53" s="54" customFormat="1" ht="14.25" x14ac:dyDescent="0.2">
      <c r="A22" s="60"/>
      <c r="B22" s="74">
        <v>38485</v>
      </c>
      <c r="D22" s="54">
        <v>9919</v>
      </c>
      <c r="E22" s="54">
        <v>3623</v>
      </c>
      <c r="I22" s="25"/>
      <c r="J22" s="25">
        <f t="shared" si="6"/>
        <v>7.6617668641521391E-2</v>
      </c>
      <c r="K22" s="25">
        <f t="shared" si="3"/>
        <v>-4.0530083188237587E-2</v>
      </c>
      <c r="L22" s="25"/>
      <c r="M22" s="25"/>
      <c r="N22" s="25"/>
      <c r="O22" s="25"/>
      <c r="P22" s="25"/>
      <c r="V22" s="25"/>
      <c r="W22" s="25"/>
      <c r="X22" s="25"/>
      <c r="Y22" s="25"/>
      <c r="Z22" s="25"/>
      <c r="AA22" s="25"/>
      <c r="AB22" s="25"/>
      <c r="AC22" s="57">
        <v>14967</v>
      </c>
      <c r="AD22" s="57">
        <v>4464</v>
      </c>
      <c r="AH22" s="25"/>
      <c r="AI22" s="25">
        <f t="shared" si="7"/>
        <v>0.11561010651856543</v>
      </c>
      <c r="AJ22" s="25">
        <f t="shared" si="4"/>
        <v>-9.924169475204625E-2</v>
      </c>
      <c r="AK22" s="25"/>
      <c r="AL22" s="25"/>
      <c r="AM22" s="25"/>
      <c r="AN22" s="25"/>
      <c r="AP22" s="58">
        <v>2394</v>
      </c>
      <c r="AQ22" s="59">
        <v>722</v>
      </c>
      <c r="AU22" s="25"/>
      <c r="AV22" s="25">
        <f t="shared" si="8"/>
        <v>1.8492055522512572E-2</v>
      </c>
      <c r="AW22" s="25">
        <f t="shared" si="5"/>
        <v>-5.0000000000000044E-2</v>
      </c>
      <c r="AX22" s="25"/>
      <c r="AY22" s="25"/>
      <c r="AZ22" s="25"/>
      <c r="BA22" s="25"/>
    </row>
    <row r="23" spans="1:53" s="54" customFormat="1" ht="14.25" x14ac:dyDescent="0.2">
      <c r="A23" s="60"/>
      <c r="B23" s="74">
        <v>38492</v>
      </c>
      <c r="D23" s="54">
        <v>10138</v>
      </c>
      <c r="E23" s="54">
        <v>3655</v>
      </c>
      <c r="I23" s="25"/>
      <c r="J23" s="25">
        <f t="shared" si="6"/>
        <v>7.8309297780798856E-2</v>
      </c>
      <c r="K23" s="25">
        <f t="shared" si="3"/>
        <v>2.207883859260007E-2</v>
      </c>
      <c r="L23" s="25"/>
      <c r="M23" s="25"/>
      <c r="N23" s="25"/>
      <c r="O23" s="25"/>
      <c r="P23" s="25"/>
      <c r="V23" s="25"/>
      <c r="W23" s="25"/>
      <c r="X23" s="25"/>
      <c r="Y23" s="25"/>
      <c r="Z23" s="25"/>
      <c r="AA23" s="25"/>
      <c r="AB23" s="25"/>
      <c r="AC23" s="57">
        <v>14589</v>
      </c>
      <c r="AD23" s="57">
        <v>4314</v>
      </c>
      <c r="AH23" s="25"/>
      <c r="AI23" s="25">
        <f t="shared" si="7"/>
        <v>0.11269030827816871</v>
      </c>
      <c r="AJ23" s="25">
        <f t="shared" si="4"/>
        <v>-2.525556223692127E-2</v>
      </c>
      <c r="AK23" s="25"/>
      <c r="AL23" s="25"/>
      <c r="AM23" s="25"/>
      <c r="AN23" s="25"/>
      <c r="AP23" s="58">
        <v>2395</v>
      </c>
      <c r="AQ23" s="59">
        <v>754</v>
      </c>
      <c r="AU23" s="25"/>
      <c r="AV23" s="25">
        <f t="shared" si="8"/>
        <v>1.8499779856481876E-2</v>
      </c>
      <c r="AW23" s="25">
        <f t="shared" si="5"/>
        <v>4.1771094402665021E-4</v>
      </c>
      <c r="AX23" s="25"/>
      <c r="AY23" s="25"/>
      <c r="AZ23" s="25"/>
      <c r="BA23" s="25"/>
    </row>
    <row r="24" spans="1:53" s="54" customFormat="1" ht="14.25" x14ac:dyDescent="0.2">
      <c r="A24" s="60"/>
      <c r="B24" s="74">
        <v>38499</v>
      </c>
      <c r="D24" s="54">
        <v>10433</v>
      </c>
      <c r="E24" s="54">
        <v>3729</v>
      </c>
      <c r="F24" s="54">
        <f>SUM(D21:D24)</f>
        <v>40828</v>
      </c>
      <c r="I24" s="25"/>
      <c r="J24" s="25">
        <f t="shared" si="6"/>
        <v>8.0587976301743386E-2</v>
      </c>
      <c r="K24" s="25">
        <f t="shared" si="3"/>
        <v>2.9098441507200645E-2</v>
      </c>
      <c r="L24" s="25">
        <f>F24/F20-1</f>
        <v>-0.12297811097029188</v>
      </c>
      <c r="M24" s="25"/>
      <c r="N24" s="25"/>
      <c r="O24" s="25"/>
      <c r="P24" s="25"/>
      <c r="V24" s="25"/>
      <c r="W24" s="25"/>
      <c r="X24" s="25"/>
      <c r="Y24" s="25"/>
      <c r="Z24" s="25"/>
      <c r="AA24" s="25"/>
      <c r="AB24" s="25"/>
      <c r="AC24" s="57">
        <v>15015</v>
      </c>
      <c r="AD24" s="57">
        <v>4334</v>
      </c>
      <c r="AE24" s="54">
        <f>SUM(AC21:AC24)</f>
        <v>61187</v>
      </c>
      <c r="AH24" s="25"/>
      <c r="AI24" s="25">
        <f t="shared" si="7"/>
        <v>0.11598087454909201</v>
      </c>
      <c r="AJ24" s="25">
        <f t="shared" si="4"/>
        <v>2.9200082253752813E-2</v>
      </c>
      <c r="AK24" s="25">
        <f>AE24/AE20-1</f>
        <v>-0.20487830234038962</v>
      </c>
      <c r="AL24" s="25"/>
      <c r="AM24" s="25"/>
      <c r="AN24" s="25"/>
      <c r="AP24" s="58">
        <v>2510</v>
      </c>
      <c r="AQ24" s="59">
        <v>774</v>
      </c>
      <c r="AR24" s="54">
        <f>SUM(AP21:AP24)</f>
        <v>9819</v>
      </c>
      <c r="AU24" s="25"/>
      <c r="AV24" s="25">
        <f t="shared" si="8"/>
        <v>1.9388078262951778E-2</v>
      </c>
      <c r="AW24" s="25">
        <f t="shared" si="5"/>
        <v>4.8016701461377931E-2</v>
      </c>
      <c r="AX24" s="25">
        <f>AR24/AR20-1</f>
        <v>-0.19667839319316038</v>
      </c>
      <c r="AY24" s="25"/>
      <c r="AZ24" s="25"/>
      <c r="BA24" s="25"/>
    </row>
    <row r="25" spans="1:53" s="54" customFormat="1" ht="14.25" x14ac:dyDescent="0.2">
      <c r="A25" s="60"/>
      <c r="B25" s="74">
        <v>38506</v>
      </c>
      <c r="D25" s="54">
        <v>9974</v>
      </c>
      <c r="E25" s="54">
        <v>3207</v>
      </c>
      <c r="I25" s="25"/>
      <c r="J25" s="25">
        <f t="shared" si="6"/>
        <v>7.7042507009833075E-2</v>
      </c>
      <c r="K25" s="25">
        <f t="shared" si="3"/>
        <v>-4.399501581520171E-2</v>
      </c>
      <c r="L25" s="25"/>
      <c r="M25" s="25"/>
      <c r="N25" s="25"/>
      <c r="O25" s="25"/>
      <c r="P25" s="25"/>
      <c r="V25" s="25"/>
      <c r="W25" s="25"/>
      <c r="X25" s="25"/>
      <c r="Y25" s="25"/>
      <c r="Z25" s="25"/>
      <c r="AA25" s="25"/>
      <c r="AB25" s="25"/>
      <c r="AC25" s="57">
        <v>15155</v>
      </c>
      <c r="AD25" s="57">
        <v>4256</v>
      </c>
      <c r="AH25" s="25"/>
      <c r="AI25" s="25">
        <f t="shared" si="7"/>
        <v>0.1170622813047945</v>
      </c>
      <c r="AJ25" s="25">
        <f t="shared" si="4"/>
        <v>9.3240093240092303E-3</v>
      </c>
      <c r="AK25" s="25"/>
      <c r="AL25" s="25"/>
      <c r="AM25" s="25"/>
      <c r="AN25" s="25"/>
      <c r="AP25" s="58">
        <v>2507</v>
      </c>
      <c r="AQ25" s="59">
        <v>729</v>
      </c>
      <c r="AU25" s="25"/>
      <c r="AV25" s="25">
        <f t="shared" si="8"/>
        <v>1.9364905261043865E-2</v>
      </c>
      <c r="AW25" s="25">
        <f t="shared" si="5"/>
        <v>-1.1952191235059528E-3</v>
      </c>
      <c r="AX25" s="25"/>
      <c r="AY25" s="25"/>
      <c r="AZ25" s="25"/>
      <c r="BA25" s="25"/>
    </row>
    <row r="26" spans="1:53" s="54" customFormat="1" ht="14.25" x14ac:dyDescent="0.2">
      <c r="A26" s="60"/>
      <c r="B26" s="74">
        <v>38513</v>
      </c>
      <c r="D26" s="54">
        <v>10740</v>
      </c>
      <c r="E26" s="54">
        <v>3671</v>
      </c>
      <c r="I26" s="25"/>
      <c r="J26" s="25">
        <f t="shared" si="6"/>
        <v>8.2959346830319552E-2</v>
      </c>
      <c r="K26" s="25">
        <f t="shared" si="3"/>
        <v>7.6799679165831192E-2</v>
      </c>
      <c r="L26" s="25"/>
      <c r="M26" s="25"/>
      <c r="N26" s="25"/>
      <c r="O26" s="25"/>
      <c r="P26" s="25"/>
      <c r="V26" s="25"/>
      <c r="W26" s="25"/>
      <c r="X26" s="25"/>
      <c r="Y26" s="25"/>
      <c r="Z26" s="25"/>
      <c r="AA26" s="25"/>
      <c r="AB26" s="25"/>
      <c r="AC26" s="57">
        <v>14767</v>
      </c>
      <c r="AD26" s="57">
        <v>4237</v>
      </c>
      <c r="AH26" s="25"/>
      <c r="AI26" s="25">
        <f t="shared" si="7"/>
        <v>0.11406523972470474</v>
      </c>
      <c r="AJ26" s="25">
        <f t="shared" si="4"/>
        <v>-2.5602111514351655E-2</v>
      </c>
      <c r="AK26" s="25"/>
      <c r="AL26" s="25"/>
      <c r="AM26" s="25"/>
      <c r="AN26" s="25"/>
      <c r="AP26" s="58">
        <v>2604</v>
      </c>
      <c r="AQ26" s="59">
        <v>868</v>
      </c>
      <c r="AU26" s="25"/>
      <c r="AV26" s="25">
        <f t="shared" si="8"/>
        <v>2.0114165656066305E-2</v>
      </c>
      <c r="AW26" s="25">
        <f t="shared" si="5"/>
        <v>3.8691663342640625E-2</v>
      </c>
      <c r="AX26" s="25"/>
      <c r="AY26" s="25"/>
      <c r="AZ26" s="25"/>
      <c r="BA26" s="25"/>
    </row>
    <row r="27" spans="1:53" s="54" customFormat="1" ht="14.25" x14ac:dyDescent="0.2">
      <c r="A27" s="60"/>
      <c r="B27" s="74">
        <v>38520</v>
      </c>
      <c r="D27" s="54">
        <v>10464</v>
      </c>
      <c r="E27" s="54">
        <v>3484</v>
      </c>
      <c r="I27" s="25"/>
      <c r="J27" s="25">
        <f t="shared" si="6"/>
        <v>8.0827430654791796E-2</v>
      </c>
      <c r="K27" s="25">
        <f t="shared" si="3"/>
        <v>-2.5698324022346397E-2</v>
      </c>
      <c r="L27" s="25"/>
      <c r="M27" s="25"/>
      <c r="N27" s="25"/>
      <c r="O27" s="25"/>
      <c r="P27" s="25"/>
      <c r="V27" s="25"/>
      <c r="W27" s="25"/>
      <c r="X27" s="25"/>
      <c r="Y27" s="25"/>
      <c r="Z27" s="25"/>
      <c r="AA27" s="25"/>
      <c r="AB27" s="25"/>
      <c r="AC27" s="57">
        <v>14194</v>
      </c>
      <c r="AD27" s="57">
        <v>4091</v>
      </c>
      <c r="AH27" s="25"/>
      <c r="AI27" s="25">
        <f t="shared" si="7"/>
        <v>0.10963919636029383</v>
      </c>
      <c r="AJ27" s="25">
        <f t="shared" si="4"/>
        <v>-3.8802735829891022E-2</v>
      </c>
      <c r="AK27" s="25"/>
      <c r="AL27" s="25"/>
      <c r="AM27" s="25"/>
      <c r="AN27" s="25"/>
      <c r="AP27" s="58">
        <v>2412</v>
      </c>
      <c r="AQ27" s="59">
        <v>726</v>
      </c>
      <c r="AU27" s="25"/>
      <c r="AV27" s="25">
        <f t="shared" si="8"/>
        <v>1.8631093533960034E-2</v>
      </c>
      <c r="AW27" s="25">
        <f t="shared" si="5"/>
        <v>-7.373271889400923E-2</v>
      </c>
      <c r="AX27" s="25"/>
      <c r="AY27" s="25"/>
      <c r="AZ27" s="25"/>
      <c r="BA27" s="25"/>
    </row>
    <row r="28" spans="1:53" s="54" customFormat="1" ht="14.25" x14ac:dyDescent="0.2">
      <c r="A28" s="60"/>
      <c r="B28" s="74">
        <v>38527</v>
      </c>
      <c r="D28" s="54">
        <v>10902</v>
      </c>
      <c r="E28" s="54">
        <v>3681</v>
      </c>
      <c r="F28" s="54">
        <f>SUM(D25:D28)</f>
        <v>42080</v>
      </c>
      <c r="G28" s="54">
        <f>SUM(F20:F28)</f>
        <v>129461</v>
      </c>
      <c r="H28" s="54">
        <v>123110</v>
      </c>
      <c r="I28" s="25"/>
      <c r="J28" s="25">
        <f t="shared" si="6"/>
        <v>8.4210688933346725E-2</v>
      </c>
      <c r="K28" s="25">
        <f t="shared" si="3"/>
        <v>4.1857798165137572E-2</v>
      </c>
      <c r="L28" s="25">
        <f>F28/F24-1</f>
        <v>3.0665229744293088E-2</v>
      </c>
      <c r="M28" s="25">
        <f>G28/G15-1</f>
        <v>0.49138308411860931</v>
      </c>
      <c r="N28" s="25"/>
      <c r="O28" s="25"/>
      <c r="P28" s="25"/>
      <c r="V28" s="25"/>
      <c r="W28" s="25"/>
      <c r="X28" s="25"/>
      <c r="Y28" s="25"/>
      <c r="Z28" s="25"/>
      <c r="AA28" s="25"/>
      <c r="AB28" s="25"/>
      <c r="AC28" s="57">
        <v>14265</v>
      </c>
      <c r="AD28" s="57">
        <v>4145</v>
      </c>
      <c r="AE28" s="54">
        <f>SUM(AC25:AC28)</f>
        <v>58381</v>
      </c>
      <c r="AF28" s="54">
        <f>SUM(AE20:AE28)</f>
        <v>196521</v>
      </c>
      <c r="AG28" s="54">
        <v>209111</v>
      </c>
      <c r="AH28" s="25">
        <f>AF28/AG28-1</f>
        <v>-6.02072583460459E-2</v>
      </c>
      <c r="AI28" s="25">
        <f t="shared" si="7"/>
        <v>0.11018762407211438</v>
      </c>
      <c r="AJ28" s="25">
        <f t="shared" si="4"/>
        <v>5.0021135691136198E-3</v>
      </c>
      <c r="AK28" s="25">
        <f>AE28/AE24-1</f>
        <v>-4.5859414581528757E-2</v>
      </c>
      <c r="AL28" s="25">
        <f>AF28/AF15-1</f>
        <v>1.696836091532905E-2</v>
      </c>
      <c r="AM28" s="25"/>
      <c r="AN28" s="25"/>
      <c r="AP28" s="58">
        <v>2441</v>
      </c>
      <c r="AQ28" s="59">
        <v>736</v>
      </c>
      <c r="AR28" s="54">
        <f>SUM(AP25:AP28)</f>
        <v>9964</v>
      </c>
      <c r="AS28" s="54">
        <f>SUM(AR20:AR28)</f>
        <v>32006</v>
      </c>
      <c r="AT28" s="54">
        <v>45805</v>
      </c>
      <c r="AU28" s="25">
        <f>AS28/AT28-1</f>
        <v>-0.30125532147145506</v>
      </c>
      <c r="AV28" s="25">
        <f t="shared" si="8"/>
        <v>1.8855099219069835E-2</v>
      </c>
      <c r="AW28" s="25">
        <f t="shared" si="5"/>
        <v>1.2023217247097762E-2</v>
      </c>
      <c r="AX28" s="25">
        <f>AR28/AR24-1</f>
        <v>1.4767287911192639E-2</v>
      </c>
      <c r="AY28" s="25">
        <f>AS28/AS15-1</f>
        <v>0.13544770824464303</v>
      </c>
      <c r="AZ28" s="25"/>
      <c r="BA28" s="25"/>
    </row>
    <row r="29" spans="1:53" s="54" customFormat="1" ht="14.25" x14ac:dyDescent="0.2">
      <c r="A29" s="60"/>
      <c r="B29" s="74">
        <v>38534</v>
      </c>
      <c r="D29" s="54">
        <v>11627</v>
      </c>
      <c r="E29" s="54">
        <v>3932</v>
      </c>
      <c r="I29" s="25"/>
      <c r="J29" s="25">
        <f>D29/$G$42</f>
        <v>6.8982088507336059E-2</v>
      </c>
      <c r="K29" s="25">
        <f t="shared" si="3"/>
        <v>6.6501559346908934E-2</v>
      </c>
      <c r="L29" s="25"/>
      <c r="M29" s="25"/>
      <c r="N29" s="25"/>
      <c r="O29" s="25"/>
      <c r="P29" s="25"/>
      <c r="V29" s="25"/>
      <c r="W29" s="25"/>
      <c r="X29" s="25"/>
      <c r="Y29" s="25"/>
      <c r="Z29" s="25"/>
      <c r="AA29" s="25"/>
      <c r="AB29" s="25"/>
      <c r="AC29" s="57">
        <v>15451</v>
      </c>
      <c r="AD29" s="57">
        <v>4412</v>
      </c>
      <c r="AH29" s="25"/>
      <c r="AI29" s="25">
        <f>AC29/$G$42</f>
        <v>9.1669583686836628E-2</v>
      </c>
      <c r="AJ29" s="25">
        <f t="shared" si="4"/>
        <v>8.3140553803014328E-2</v>
      </c>
      <c r="AK29" s="25"/>
      <c r="AL29" s="25"/>
      <c r="AM29" s="25"/>
      <c r="AN29" s="25"/>
      <c r="AP29" s="58">
        <v>2780</v>
      </c>
      <c r="AQ29" s="59">
        <v>867</v>
      </c>
      <c r="AU29" s="25"/>
      <c r="AV29" s="25">
        <f>AP29/$G$42</f>
        <v>1.6493524215222693E-2</v>
      </c>
      <c r="AW29" s="25">
        <f t="shared" si="5"/>
        <v>0.13887750921753383</v>
      </c>
      <c r="AX29" s="25"/>
      <c r="AY29" s="25"/>
      <c r="AZ29" s="25"/>
      <c r="BA29" s="25"/>
    </row>
    <row r="30" spans="1:53" s="54" customFormat="1" ht="14.25" x14ac:dyDescent="0.2">
      <c r="A30" s="60"/>
      <c r="B30" s="74">
        <v>38541</v>
      </c>
      <c r="D30" s="54">
        <v>10436</v>
      </c>
      <c r="E30" s="54">
        <v>3461</v>
      </c>
      <c r="I30" s="25"/>
      <c r="J30" s="25">
        <f t="shared" ref="J30:J42" si="9">D30/$G$42</f>
        <v>6.191597795326044E-2</v>
      </c>
      <c r="K30" s="25">
        <f t="shared" si="3"/>
        <v>-0.10243398985120844</v>
      </c>
      <c r="L30" s="25"/>
      <c r="M30" s="25"/>
      <c r="N30" s="25"/>
      <c r="O30" s="25"/>
      <c r="P30" s="25"/>
      <c r="V30" s="25"/>
      <c r="W30" s="25"/>
      <c r="X30" s="25"/>
      <c r="Y30" s="25"/>
      <c r="Z30" s="25"/>
      <c r="AA30" s="25"/>
      <c r="AB30" s="25"/>
      <c r="AC30" s="57">
        <v>14196</v>
      </c>
      <c r="AD30" s="57">
        <v>4114</v>
      </c>
      <c r="AH30" s="25"/>
      <c r="AI30" s="25">
        <f t="shared" ref="AI30:AI42" si="10">AC30/$G$42</f>
        <v>8.4223766100468112E-2</v>
      </c>
      <c r="AJ30" s="25">
        <f t="shared" si="4"/>
        <v>-8.1224516212542897E-2</v>
      </c>
      <c r="AK30" s="25"/>
      <c r="AL30" s="25"/>
      <c r="AM30" s="25"/>
      <c r="AN30" s="25"/>
      <c r="AP30" s="58">
        <v>2421</v>
      </c>
      <c r="AQ30" s="59">
        <v>710</v>
      </c>
      <c r="AU30" s="25"/>
      <c r="AV30" s="25">
        <f t="shared" ref="AV30:AV42" si="11">AP30/$G$42</f>
        <v>1.4363605080954725E-2</v>
      </c>
      <c r="AW30" s="25">
        <f t="shared" si="5"/>
        <v>-0.12913669064748201</v>
      </c>
      <c r="AX30" s="25"/>
      <c r="AY30" s="25"/>
      <c r="AZ30" s="25"/>
      <c r="BA30" s="25"/>
    </row>
    <row r="31" spans="1:53" s="54" customFormat="1" ht="14.25" x14ac:dyDescent="0.2">
      <c r="A31" s="60"/>
      <c r="B31" s="74">
        <v>38548</v>
      </c>
      <c r="D31" s="54">
        <v>11630</v>
      </c>
      <c r="E31" s="54">
        <v>4012</v>
      </c>
      <c r="I31" s="25"/>
      <c r="J31" s="25">
        <f t="shared" si="9"/>
        <v>6.8999887274474786E-2</v>
      </c>
      <c r="K31" s="25">
        <f t="shared" si="3"/>
        <v>0.11441165197393643</v>
      </c>
      <c r="L31" s="25"/>
      <c r="M31" s="25"/>
      <c r="N31" s="25"/>
      <c r="O31" s="25"/>
      <c r="P31" s="25"/>
      <c r="V31" s="25"/>
      <c r="W31" s="25"/>
      <c r="X31" s="25"/>
      <c r="Y31" s="25"/>
      <c r="Z31" s="25"/>
      <c r="AA31" s="25"/>
      <c r="AB31" s="25"/>
      <c r="AC31" s="57">
        <v>14394</v>
      </c>
      <c r="AD31" s="57">
        <v>4267</v>
      </c>
      <c r="AH31" s="25"/>
      <c r="AI31" s="25">
        <f t="shared" si="10"/>
        <v>8.5398484731624258E-2</v>
      </c>
      <c r="AJ31" s="25">
        <f t="shared" si="4"/>
        <v>1.3947590870667881E-2</v>
      </c>
      <c r="AK31" s="25"/>
      <c r="AL31" s="25"/>
      <c r="AM31" s="25"/>
      <c r="AN31" s="25"/>
      <c r="AP31" s="58">
        <v>2699</v>
      </c>
      <c r="AQ31" s="59">
        <v>825</v>
      </c>
      <c r="AU31" s="25"/>
      <c r="AV31" s="25">
        <f t="shared" si="11"/>
        <v>1.6012957502476995E-2</v>
      </c>
      <c r="AW31" s="25">
        <f t="shared" si="5"/>
        <v>0.11482858323007017</v>
      </c>
      <c r="AX31" s="25"/>
      <c r="AY31" s="25"/>
      <c r="AZ31" s="25"/>
      <c r="BA31" s="25"/>
    </row>
    <row r="32" spans="1:53" s="54" customFormat="1" ht="14.25" x14ac:dyDescent="0.2">
      <c r="A32" s="60"/>
      <c r="B32" s="74">
        <v>38555</v>
      </c>
      <c r="D32" s="54">
        <v>11495</v>
      </c>
      <c r="E32" s="54">
        <v>3709</v>
      </c>
      <c r="I32" s="25"/>
      <c r="J32" s="25">
        <f t="shared" si="9"/>
        <v>6.8198942753231961E-2</v>
      </c>
      <c r="K32" s="25">
        <f t="shared" si="3"/>
        <v>-1.1607910576096336E-2</v>
      </c>
      <c r="L32" s="25"/>
      <c r="M32" s="25"/>
      <c r="N32" s="25"/>
      <c r="O32" s="25"/>
      <c r="P32" s="25"/>
      <c r="V32" s="25"/>
      <c r="W32" s="25"/>
      <c r="X32" s="25"/>
      <c r="Y32" s="25"/>
      <c r="Z32" s="25"/>
      <c r="AA32" s="25"/>
      <c r="AB32" s="25"/>
      <c r="AC32" s="57">
        <v>14061</v>
      </c>
      <c r="AD32" s="57">
        <v>4162</v>
      </c>
      <c r="AH32" s="25"/>
      <c r="AI32" s="25">
        <f t="shared" si="10"/>
        <v>8.3422821579225273E-2</v>
      </c>
      <c r="AJ32" s="25">
        <f t="shared" si="4"/>
        <v>-2.3134639433097126E-2</v>
      </c>
      <c r="AK32" s="25"/>
      <c r="AL32" s="25"/>
      <c r="AM32" s="25"/>
      <c r="AN32" s="25"/>
      <c r="AP32" s="58">
        <v>2483</v>
      </c>
      <c r="AQ32" s="59">
        <v>770</v>
      </c>
      <c r="AU32" s="25"/>
      <c r="AV32" s="25">
        <f t="shared" si="11"/>
        <v>1.473144626848847E-2</v>
      </c>
      <c r="AW32" s="25">
        <f t="shared" si="5"/>
        <v>-8.0029640607632402E-2</v>
      </c>
      <c r="AX32" s="25"/>
      <c r="AY32" s="25"/>
      <c r="AZ32" s="25"/>
      <c r="BA32" s="25"/>
    </row>
    <row r="33" spans="1:53" s="54" customFormat="1" ht="14.25" x14ac:dyDescent="0.2">
      <c r="A33" s="60"/>
      <c r="B33" s="74">
        <v>38562</v>
      </c>
      <c r="D33" s="54">
        <v>11227</v>
      </c>
      <c r="E33" s="54">
        <v>3785</v>
      </c>
      <c r="F33" s="54">
        <f>SUM(D29:D33)</f>
        <v>56415</v>
      </c>
      <c r="I33" s="25"/>
      <c r="J33" s="25">
        <f t="shared" si="9"/>
        <v>6.660891955550545E-2</v>
      </c>
      <c r="K33" s="25">
        <f t="shared" si="3"/>
        <v>-2.3314484558503712E-2</v>
      </c>
      <c r="L33" s="25">
        <f>F33/F28-1</f>
        <v>0.34066064638783278</v>
      </c>
      <c r="M33" s="25"/>
      <c r="N33" s="25"/>
      <c r="O33" s="25"/>
      <c r="P33" s="25"/>
      <c r="V33" s="25"/>
      <c r="W33" s="25"/>
      <c r="X33" s="25"/>
      <c r="Y33" s="25"/>
      <c r="Z33" s="25"/>
      <c r="AA33" s="25"/>
      <c r="AB33" s="25"/>
      <c r="AC33" s="57">
        <v>13868</v>
      </c>
      <c r="AD33" s="57">
        <v>4023</v>
      </c>
      <c r="AE33" s="54">
        <f>SUM(AC29:AC33)</f>
        <v>71970</v>
      </c>
      <c r="AH33" s="25"/>
      <c r="AI33" s="25">
        <f t="shared" si="10"/>
        <v>8.2277767559967019E-2</v>
      </c>
      <c r="AJ33" s="25">
        <f t="shared" si="4"/>
        <v>-1.3725908541355469E-2</v>
      </c>
      <c r="AK33" s="25">
        <f>AE33/AE28-1</f>
        <v>0.23276408420547789</v>
      </c>
      <c r="AL33" s="25"/>
      <c r="AM33" s="25"/>
      <c r="AN33" s="25"/>
      <c r="AP33" s="58">
        <v>2571</v>
      </c>
      <c r="AQ33" s="59">
        <v>740</v>
      </c>
      <c r="AR33" s="54">
        <f>SUM(AP29:AP33)</f>
        <v>12954</v>
      </c>
      <c r="AU33" s="25"/>
      <c r="AV33" s="25">
        <f t="shared" si="11"/>
        <v>1.5253543437891202E-2</v>
      </c>
      <c r="AW33" s="25">
        <f t="shared" si="5"/>
        <v>3.5440998791784084E-2</v>
      </c>
      <c r="AX33" s="25">
        <f>AR33/AR28-1</f>
        <v>0.30008028904054607</v>
      </c>
      <c r="AY33" s="25"/>
      <c r="AZ33" s="25"/>
      <c r="BA33" s="25"/>
    </row>
    <row r="34" spans="1:53" s="54" customFormat="1" ht="14.25" x14ac:dyDescent="0.2">
      <c r="A34" s="60"/>
      <c r="B34" s="74">
        <v>38569</v>
      </c>
      <c r="D34" s="54">
        <v>12048</v>
      </c>
      <c r="E34" s="54">
        <v>4068</v>
      </c>
      <c r="I34" s="25"/>
      <c r="J34" s="25">
        <f t="shared" si="9"/>
        <v>7.1479848829137771E-2</v>
      </c>
      <c r="K34" s="25">
        <f t="shared" si="3"/>
        <v>7.3127282444108044E-2</v>
      </c>
      <c r="L34" s="25"/>
      <c r="M34" s="25"/>
      <c r="N34" s="25"/>
      <c r="O34" s="25"/>
      <c r="P34" s="25"/>
      <c r="V34" s="25"/>
      <c r="W34" s="25"/>
      <c r="X34" s="25"/>
      <c r="Y34" s="25"/>
      <c r="Z34" s="25"/>
      <c r="AA34" s="25"/>
      <c r="AB34" s="25"/>
      <c r="AC34" s="57">
        <v>15194</v>
      </c>
      <c r="AD34" s="57">
        <v>4506</v>
      </c>
      <c r="AH34" s="25"/>
      <c r="AI34" s="25">
        <f t="shared" si="10"/>
        <v>9.0144822635285463E-2</v>
      </c>
      <c r="AJ34" s="25">
        <f t="shared" si="4"/>
        <v>9.5615806172483442E-2</v>
      </c>
      <c r="AK34" s="25"/>
      <c r="AL34" s="25"/>
      <c r="AM34" s="25"/>
      <c r="AN34" s="25"/>
      <c r="AP34" s="58">
        <v>2657</v>
      </c>
      <c r="AQ34" s="59">
        <v>812</v>
      </c>
      <c r="AU34" s="25"/>
      <c r="AV34" s="25">
        <f t="shared" si="11"/>
        <v>1.5763774762534783E-2</v>
      </c>
      <c r="AW34" s="25">
        <f t="shared" si="5"/>
        <v>3.3450019447685664E-2</v>
      </c>
      <c r="AX34" s="25"/>
      <c r="AY34" s="25"/>
      <c r="AZ34" s="25"/>
      <c r="BA34" s="25"/>
    </row>
    <row r="35" spans="1:53" s="54" customFormat="1" ht="14.25" x14ac:dyDescent="0.2">
      <c r="A35" s="60"/>
      <c r="B35" s="74">
        <v>38576</v>
      </c>
      <c r="D35" s="54">
        <v>11885</v>
      </c>
      <c r="E35" s="54">
        <v>4043</v>
      </c>
      <c r="I35" s="25"/>
      <c r="J35" s="25">
        <f t="shared" si="9"/>
        <v>7.05127824812668E-2</v>
      </c>
      <c r="K35" s="25">
        <f t="shared" si="3"/>
        <v>-1.3529216467463523E-2</v>
      </c>
      <c r="L35" s="25"/>
      <c r="M35" s="25"/>
      <c r="N35" s="25"/>
      <c r="O35" s="25"/>
      <c r="P35" s="25"/>
      <c r="V35" s="25"/>
      <c r="W35" s="25"/>
      <c r="X35" s="25"/>
      <c r="Y35" s="25"/>
      <c r="Z35" s="25"/>
      <c r="AA35" s="25"/>
      <c r="AB35" s="25"/>
      <c r="AC35" s="57">
        <v>14202</v>
      </c>
      <c r="AD35" s="57">
        <v>4300</v>
      </c>
      <c r="AH35" s="25"/>
      <c r="AI35" s="25">
        <f t="shared" si="10"/>
        <v>8.4259363634745565E-2</v>
      </c>
      <c r="AJ35" s="25">
        <f t="shared" si="4"/>
        <v>-6.5288929840726651E-2</v>
      </c>
      <c r="AK35" s="25"/>
      <c r="AL35" s="25"/>
      <c r="AM35" s="25"/>
      <c r="AN35" s="25"/>
      <c r="AP35" s="58">
        <v>2681</v>
      </c>
      <c r="AQ35" s="59">
        <v>908</v>
      </c>
      <c r="AU35" s="25"/>
      <c r="AV35" s="25">
        <f t="shared" si="11"/>
        <v>1.590616489964462E-2</v>
      </c>
      <c r="AW35" s="25">
        <f t="shared" si="5"/>
        <v>9.0327436958976826E-3</v>
      </c>
      <c r="AX35" s="25"/>
      <c r="AY35" s="25"/>
      <c r="AZ35" s="25"/>
      <c r="BA35" s="25"/>
    </row>
    <row r="36" spans="1:53" s="54" customFormat="1" ht="14.25" x14ac:dyDescent="0.2">
      <c r="A36" s="60"/>
      <c r="B36" s="74">
        <v>38583</v>
      </c>
      <c r="D36" s="54">
        <v>12067</v>
      </c>
      <c r="E36" s="54">
        <v>4158</v>
      </c>
      <c r="I36" s="25"/>
      <c r="J36" s="25">
        <f t="shared" si="9"/>
        <v>7.1592574354349722E-2</v>
      </c>
      <c r="K36" s="25">
        <f t="shared" si="3"/>
        <v>1.5313420277661027E-2</v>
      </c>
      <c r="L36" s="25"/>
      <c r="M36" s="25"/>
      <c r="N36" s="25"/>
      <c r="O36" s="25"/>
      <c r="P36" s="25"/>
      <c r="V36" s="25"/>
      <c r="W36" s="25"/>
      <c r="X36" s="25"/>
      <c r="Y36" s="25"/>
      <c r="Z36" s="25"/>
      <c r="AA36" s="25"/>
      <c r="AB36" s="25"/>
      <c r="AC36" s="57">
        <v>13487</v>
      </c>
      <c r="AD36" s="57">
        <v>3969</v>
      </c>
      <c r="AH36" s="25"/>
      <c r="AI36" s="25">
        <f t="shared" si="10"/>
        <v>8.0017324133348361E-2</v>
      </c>
      <c r="AJ36" s="25">
        <f t="shared" si="4"/>
        <v>-5.0345021827911562E-2</v>
      </c>
      <c r="AK36" s="25"/>
      <c r="AL36" s="25"/>
      <c r="AM36" s="25"/>
      <c r="AN36" s="25"/>
      <c r="AP36" s="58">
        <v>2706</v>
      </c>
      <c r="AQ36" s="59">
        <v>846</v>
      </c>
      <c r="AU36" s="25"/>
      <c r="AV36" s="25">
        <f t="shared" si="11"/>
        <v>1.6054487959134032E-2</v>
      </c>
      <c r="AW36" s="25">
        <f t="shared" si="5"/>
        <v>9.3248787765758401E-3</v>
      </c>
      <c r="AX36" s="25"/>
      <c r="AY36" s="25"/>
      <c r="AZ36" s="25"/>
      <c r="BA36" s="25"/>
    </row>
    <row r="37" spans="1:53" s="54" customFormat="1" ht="14.25" x14ac:dyDescent="0.2">
      <c r="A37" s="60"/>
      <c r="B37" s="74">
        <v>38590</v>
      </c>
      <c r="D37" s="54">
        <v>11776</v>
      </c>
      <c r="E37" s="54">
        <v>4119</v>
      </c>
      <c r="F37" s="54">
        <f>SUM(D34:D37)</f>
        <v>47776</v>
      </c>
      <c r="I37" s="25"/>
      <c r="J37" s="25">
        <f t="shared" si="9"/>
        <v>6.9866093941892957E-2</v>
      </c>
      <c r="K37" s="25">
        <f t="shared" si="3"/>
        <v>-2.4115355929394178E-2</v>
      </c>
      <c r="L37" s="25">
        <f>F37/F33-1</f>
        <v>-0.15313303199503681</v>
      </c>
      <c r="M37" s="25"/>
      <c r="N37" s="25"/>
      <c r="O37" s="25"/>
      <c r="P37" s="25"/>
      <c r="V37" s="25"/>
      <c r="W37" s="25"/>
      <c r="X37" s="25"/>
      <c r="Y37" s="25"/>
      <c r="Z37" s="25"/>
      <c r="AA37" s="25"/>
      <c r="AB37" s="25"/>
      <c r="AC37" s="57">
        <v>13644</v>
      </c>
      <c r="AD37" s="57">
        <v>4098</v>
      </c>
      <c r="AE37" s="54">
        <f>SUM(AC34:AC37)</f>
        <v>56527</v>
      </c>
      <c r="AH37" s="25"/>
      <c r="AI37" s="25">
        <f t="shared" si="10"/>
        <v>8.0948792946941878E-2</v>
      </c>
      <c r="AJ37" s="25">
        <f t="shared" si="4"/>
        <v>1.1640839326759078E-2</v>
      </c>
      <c r="AK37" s="25">
        <f>AE37/AE33-1</f>
        <v>-0.21457551757676807</v>
      </c>
      <c r="AL37" s="25"/>
      <c r="AM37" s="25"/>
      <c r="AN37" s="25"/>
      <c r="AP37" s="58">
        <v>2719</v>
      </c>
      <c r="AQ37" s="59">
        <v>858</v>
      </c>
      <c r="AR37" s="54">
        <f>SUM(AP34:AP37)</f>
        <v>10763</v>
      </c>
      <c r="AU37" s="25"/>
      <c r="AV37" s="25">
        <f t="shared" si="11"/>
        <v>1.6131615950068526E-2</v>
      </c>
      <c r="AW37" s="25">
        <f t="shared" si="5"/>
        <v>4.8041389504804854E-3</v>
      </c>
      <c r="AX37" s="25">
        <f>AR37/AR33-1</f>
        <v>-0.16913694611702945</v>
      </c>
      <c r="AY37" s="25"/>
      <c r="AZ37" s="25"/>
      <c r="BA37" s="25"/>
    </row>
    <row r="38" spans="1:53" s="54" customFormat="1" ht="14.25" x14ac:dyDescent="0.2">
      <c r="A38" s="60"/>
      <c r="B38" s="74">
        <v>38597</v>
      </c>
      <c r="D38" s="54">
        <v>13202</v>
      </c>
      <c r="E38" s="54">
        <v>4512</v>
      </c>
      <c r="I38" s="25"/>
      <c r="J38" s="25">
        <f t="shared" si="9"/>
        <v>7.8326441255169063E-2</v>
      </c>
      <c r="K38" s="25">
        <f t="shared" si="3"/>
        <v>0.12109375</v>
      </c>
      <c r="L38" s="25"/>
      <c r="M38" s="25"/>
      <c r="N38" s="25"/>
      <c r="O38" s="25"/>
      <c r="P38" s="25"/>
      <c r="V38" s="25"/>
      <c r="W38" s="25"/>
      <c r="X38" s="25"/>
      <c r="Y38" s="25"/>
      <c r="Z38" s="25"/>
      <c r="AA38" s="25"/>
      <c r="AB38" s="25"/>
      <c r="AC38" s="57">
        <v>15156</v>
      </c>
      <c r="AD38" s="57">
        <v>4317</v>
      </c>
      <c r="AH38" s="25"/>
      <c r="AI38" s="25">
        <f t="shared" si="10"/>
        <v>8.991937158486156E-2</v>
      </c>
      <c r="AJ38" s="25">
        <f t="shared" si="4"/>
        <v>0.1108179419525066</v>
      </c>
      <c r="AK38" s="25"/>
      <c r="AL38" s="25"/>
      <c r="AM38" s="25"/>
      <c r="AN38" s="25"/>
      <c r="AP38" s="58">
        <v>2940</v>
      </c>
      <c r="AQ38" s="59">
        <v>963</v>
      </c>
      <c r="AU38" s="25"/>
      <c r="AV38" s="25">
        <f t="shared" si="11"/>
        <v>1.7442791795954933E-2</v>
      </c>
      <c r="AW38" s="25">
        <f t="shared" si="5"/>
        <v>8.1279882309672757E-2</v>
      </c>
      <c r="AX38" s="25"/>
      <c r="AY38" s="25"/>
      <c r="AZ38" s="25"/>
      <c r="BA38" s="25"/>
    </row>
    <row r="39" spans="1:53" s="54" customFormat="1" ht="14.25" x14ac:dyDescent="0.2">
      <c r="A39" s="60"/>
      <c r="B39" s="74">
        <v>38604</v>
      </c>
      <c r="D39" s="54">
        <v>12042</v>
      </c>
      <c r="E39" s="54">
        <v>4156</v>
      </c>
      <c r="I39" s="25"/>
      <c r="J39" s="25">
        <f t="shared" si="9"/>
        <v>7.1444251294860303E-2</v>
      </c>
      <c r="K39" s="25">
        <f t="shared" si="3"/>
        <v>-8.7865474928041198E-2</v>
      </c>
      <c r="L39" s="25"/>
      <c r="M39" s="25"/>
      <c r="N39" s="25"/>
      <c r="O39" s="25"/>
      <c r="P39" s="25"/>
      <c r="V39" s="25"/>
      <c r="W39" s="25"/>
      <c r="X39" s="25"/>
      <c r="Y39" s="25"/>
      <c r="Z39" s="25"/>
      <c r="AA39" s="25"/>
      <c r="AB39" s="25"/>
      <c r="AC39" s="57">
        <v>13431</v>
      </c>
      <c r="AD39" s="57">
        <v>3904</v>
      </c>
      <c r="AH39" s="25"/>
      <c r="AI39" s="25">
        <f t="shared" si="10"/>
        <v>7.9685080480092083E-2</v>
      </c>
      <c r="AJ39" s="25">
        <f t="shared" si="4"/>
        <v>-0.1138163103721298</v>
      </c>
      <c r="AK39" s="25"/>
      <c r="AL39" s="25"/>
      <c r="AM39" s="25"/>
      <c r="AN39" s="25"/>
      <c r="AP39" s="58">
        <v>2607</v>
      </c>
      <c r="AQ39" s="59">
        <v>833</v>
      </c>
      <c r="AU39" s="25"/>
      <c r="AV39" s="25">
        <f t="shared" si="11"/>
        <v>1.5467128643555957E-2</v>
      </c>
      <c r="AW39" s="25">
        <f t="shared" si="5"/>
        <v>-0.11326530612244901</v>
      </c>
      <c r="AX39" s="25"/>
      <c r="AY39" s="25"/>
      <c r="AZ39" s="25"/>
      <c r="BA39" s="25"/>
    </row>
    <row r="40" spans="1:53" s="54" customFormat="1" ht="14.25" x14ac:dyDescent="0.2">
      <c r="A40" s="60"/>
      <c r="B40" s="74">
        <v>38611</v>
      </c>
      <c r="D40" s="54">
        <v>13238</v>
      </c>
      <c r="E40" s="54">
        <v>4675</v>
      </c>
      <c r="I40" s="25"/>
      <c r="J40" s="25">
        <f t="shared" si="9"/>
        <v>7.8540026460833814E-2</v>
      </c>
      <c r="K40" s="25">
        <f t="shared" si="3"/>
        <v>9.9319049991695829E-2</v>
      </c>
      <c r="L40" s="25"/>
      <c r="M40" s="25"/>
      <c r="N40" s="25"/>
      <c r="O40" s="25"/>
      <c r="P40" s="25"/>
      <c r="V40" s="25"/>
      <c r="W40" s="25"/>
      <c r="X40" s="25"/>
      <c r="Y40" s="25"/>
      <c r="Z40" s="25"/>
      <c r="AA40" s="25"/>
      <c r="AB40" s="25"/>
      <c r="AC40" s="57">
        <v>14051</v>
      </c>
      <c r="AD40" s="57">
        <v>4160</v>
      </c>
      <c r="AH40" s="25"/>
      <c r="AI40" s="25">
        <f t="shared" si="10"/>
        <v>8.3363492355429517E-2</v>
      </c>
      <c r="AJ40" s="25">
        <f t="shared" si="4"/>
        <v>4.6161864343682524E-2</v>
      </c>
      <c r="AK40" s="25"/>
      <c r="AL40" s="25"/>
      <c r="AM40" s="25"/>
      <c r="AN40" s="25"/>
      <c r="AP40" s="58">
        <v>2971</v>
      </c>
      <c r="AQ40" s="59">
        <v>880</v>
      </c>
      <c r="AU40" s="25"/>
      <c r="AV40" s="25">
        <f t="shared" si="11"/>
        <v>1.7626712389721806E-2</v>
      </c>
      <c r="AW40" s="25">
        <f t="shared" si="5"/>
        <v>0.13962408899117751</v>
      </c>
      <c r="AX40" s="25"/>
      <c r="AY40" s="25"/>
      <c r="AZ40" s="25"/>
      <c r="BA40" s="25"/>
    </row>
    <row r="41" spans="1:53" s="54" customFormat="1" ht="14.25" x14ac:dyDescent="0.2">
      <c r="A41" s="60"/>
      <c r="B41" s="74">
        <v>38618</v>
      </c>
      <c r="D41" s="54">
        <v>12884</v>
      </c>
      <c r="E41" s="54">
        <v>4580</v>
      </c>
      <c r="I41" s="25"/>
      <c r="J41" s="25">
        <f t="shared" si="9"/>
        <v>7.6439771938463727E-2</v>
      </c>
      <c r="K41" s="25">
        <f t="shared" si="3"/>
        <v>-2.6741199576975405E-2</v>
      </c>
      <c r="L41" s="25"/>
      <c r="M41" s="25"/>
      <c r="N41" s="25"/>
      <c r="O41" s="25"/>
      <c r="P41" s="25"/>
      <c r="V41" s="25"/>
      <c r="W41" s="25"/>
      <c r="X41" s="25"/>
      <c r="Y41" s="25"/>
      <c r="Z41" s="25"/>
      <c r="AA41" s="25"/>
      <c r="AB41" s="25"/>
      <c r="AC41" s="57">
        <v>13216</v>
      </c>
      <c r="AD41" s="57">
        <v>3983</v>
      </c>
      <c r="AH41" s="25"/>
      <c r="AI41" s="25">
        <f t="shared" si="10"/>
        <v>7.8409502168483136E-2</v>
      </c>
      <c r="AJ41" s="25">
        <f t="shared" si="4"/>
        <v>-5.9426375346950389E-2</v>
      </c>
      <c r="AK41" s="25"/>
      <c r="AL41" s="25"/>
      <c r="AM41" s="25"/>
      <c r="AN41" s="25"/>
      <c r="AP41" s="58">
        <v>2770</v>
      </c>
      <c r="AQ41" s="59">
        <v>893</v>
      </c>
      <c r="AU41" s="25"/>
      <c r="AV41" s="25">
        <f t="shared" si="11"/>
        <v>1.6434194991426926E-2</v>
      </c>
      <c r="AW41" s="25">
        <f t="shared" si="5"/>
        <v>-6.7653988556041766E-2</v>
      </c>
      <c r="AX41" s="25"/>
      <c r="AY41" s="25"/>
      <c r="AZ41" s="25"/>
      <c r="BA41" s="25"/>
    </row>
    <row r="42" spans="1:53" s="54" customFormat="1" ht="14.25" x14ac:dyDescent="0.2">
      <c r="A42" s="60"/>
      <c r="B42" s="74">
        <v>38625</v>
      </c>
      <c r="D42" s="54">
        <v>12994</v>
      </c>
      <c r="E42" s="54">
        <v>4562</v>
      </c>
      <c r="F42" s="54">
        <f>SUM(D38:D42)</f>
        <v>64360</v>
      </c>
      <c r="G42" s="54">
        <f>SUM(F33:F42)</f>
        <v>168551</v>
      </c>
      <c r="H42" s="54">
        <v>189395</v>
      </c>
      <c r="I42" s="25">
        <f>G42/H42-1</f>
        <v>-0.11005570368805939</v>
      </c>
      <c r="J42" s="25">
        <f t="shared" si="9"/>
        <v>7.7092393400217146E-2</v>
      </c>
      <c r="K42" s="25">
        <f t="shared" si="3"/>
        <v>8.5377212045949502E-3</v>
      </c>
      <c r="L42" s="25">
        <f>F42/F37-1</f>
        <v>0.34711989283322175</v>
      </c>
      <c r="M42" s="25">
        <f>G42/G28-1</f>
        <v>0.30194421486007372</v>
      </c>
      <c r="N42" s="25"/>
      <c r="O42" s="25"/>
      <c r="P42" s="25"/>
      <c r="V42" s="25"/>
      <c r="W42" s="25"/>
      <c r="X42" s="25"/>
      <c r="Y42" s="25"/>
      <c r="Z42" s="25"/>
      <c r="AA42" s="25"/>
      <c r="AB42" s="25"/>
      <c r="AC42" s="57">
        <v>13884</v>
      </c>
      <c r="AD42" s="57">
        <v>4274</v>
      </c>
      <c r="AE42" s="54">
        <f>SUM(AC38:AC42)</f>
        <v>69738</v>
      </c>
      <c r="AF42" s="54">
        <f>SUM(AE33:AE42)</f>
        <v>198235</v>
      </c>
      <c r="AG42" s="54">
        <v>189395</v>
      </c>
      <c r="AH42" s="25">
        <f>AF42/AG42-1</f>
        <v>4.6674938620343775E-2</v>
      </c>
      <c r="AI42" s="25">
        <f t="shared" si="10"/>
        <v>8.2372694318040243E-2</v>
      </c>
      <c r="AJ42" s="25">
        <f t="shared" si="4"/>
        <v>5.054479418886193E-2</v>
      </c>
      <c r="AK42" s="25">
        <f>AE42/AE37-1</f>
        <v>0.23371132379217019</v>
      </c>
      <c r="AL42" s="25">
        <f>AF42/AF28-1</f>
        <v>8.721714218836718E-3</v>
      </c>
      <c r="AM42" s="25"/>
      <c r="AN42" s="25"/>
      <c r="AP42" s="58">
        <v>2950</v>
      </c>
      <c r="AQ42" s="59">
        <v>846</v>
      </c>
      <c r="AR42" s="54">
        <f>SUM(AP38:AP42)</f>
        <v>14238</v>
      </c>
      <c r="AS42" s="54">
        <f>SUM(AR33:AR42)</f>
        <v>37955</v>
      </c>
      <c r="AT42" s="54">
        <v>46893</v>
      </c>
      <c r="AU42" s="25">
        <f>AS42/AT42-1</f>
        <v>-0.19060414134305759</v>
      </c>
      <c r="AV42" s="25">
        <f t="shared" si="11"/>
        <v>1.75021210197507E-2</v>
      </c>
      <c r="AW42" s="25">
        <f t="shared" si="5"/>
        <v>6.498194945848379E-2</v>
      </c>
      <c r="AX42" s="25">
        <f>AR42/AR37-1</f>
        <v>0.32286537210814825</v>
      </c>
      <c r="AY42" s="25">
        <f>AS42/AS28-1</f>
        <v>0.18587139911266637</v>
      </c>
      <c r="AZ42" s="25"/>
      <c r="BA42" s="25"/>
    </row>
    <row r="43" spans="1:53" s="54" customFormat="1" ht="14.25" x14ac:dyDescent="0.2">
      <c r="A43" s="60"/>
      <c r="B43" s="74">
        <v>38632</v>
      </c>
      <c r="D43" s="54">
        <v>13936</v>
      </c>
      <c r="E43" s="54">
        <v>4818</v>
      </c>
      <c r="I43" s="25"/>
      <c r="J43" s="25">
        <f>D43/$G$55</f>
        <v>7.554042627002884E-2</v>
      </c>
      <c r="K43" s="25">
        <f t="shared" si="3"/>
        <v>7.2494997691242125E-2</v>
      </c>
      <c r="L43" s="25"/>
      <c r="M43" s="25"/>
      <c r="N43" s="25"/>
      <c r="O43" s="25"/>
      <c r="P43" s="25"/>
      <c r="V43" s="25"/>
      <c r="W43" s="25"/>
      <c r="X43" s="25"/>
      <c r="Y43" s="25"/>
      <c r="Z43" s="25"/>
      <c r="AA43" s="25"/>
      <c r="AB43" s="25"/>
      <c r="AC43" s="57">
        <v>14854</v>
      </c>
      <c r="AD43" s="57">
        <v>4336</v>
      </c>
      <c r="AH43" s="25"/>
      <c r="AI43" s="25">
        <f>AC43/$G$55</f>
        <v>8.0516467552741708E-2</v>
      </c>
      <c r="AJ43" s="25">
        <f t="shared" si="4"/>
        <v>6.986459233650244E-2</v>
      </c>
      <c r="AK43" s="25"/>
      <c r="AL43" s="25"/>
      <c r="AM43" s="25"/>
      <c r="AN43" s="25"/>
      <c r="AP43" s="58">
        <v>2980</v>
      </c>
      <c r="AQ43" s="59">
        <v>911</v>
      </c>
      <c r="AU43" s="25"/>
      <c r="AV43" s="25">
        <f>AP43/$G$55</f>
        <v>1.6153162333860931E-2</v>
      </c>
      <c r="AW43" s="25">
        <f t="shared" si="5"/>
        <v>1.0169491525423791E-2</v>
      </c>
      <c r="AX43" s="25"/>
      <c r="AY43" s="25"/>
      <c r="AZ43" s="25"/>
      <c r="BA43" s="25"/>
    </row>
    <row r="44" spans="1:53" s="54" customFormat="1" ht="14.25" x14ac:dyDescent="0.2">
      <c r="A44" s="60"/>
      <c r="B44" s="74">
        <v>38639</v>
      </c>
      <c r="D44" s="54">
        <v>13247</v>
      </c>
      <c r="E44" s="54">
        <v>4426</v>
      </c>
      <c r="I44" s="25"/>
      <c r="J44" s="25">
        <f t="shared" ref="J44:J55" si="12">D44/$G$55</f>
        <v>7.1805685045857631E-2</v>
      </c>
      <c r="K44" s="25">
        <f t="shared" si="3"/>
        <v>-4.9440298507462677E-2</v>
      </c>
      <c r="L44" s="25"/>
      <c r="M44" s="25"/>
      <c r="N44" s="25"/>
      <c r="O44" s="25"/>
      <c r="P44" s="25"/>
      <c r="V44" s="25"/>
      <c r="W44" s="25"/>
      <c r="X44" s="25"/>
      <c r="Y44" s="25"/>
      <c r="Z44" s="25"/>
      <c r="AA44" s="25"/>
      <c r="AB44" s="25"/>
      <c r="AC44" s="57">
        <v>13193</v>
      </c>
      <c r="AD44" s="57">
        <v>3971</v>
      </c>
      <c r="AH44" s="25"/>
      <c r="AI44" s="25">
        <f t="shared" ref="AI44:AI55" si="13">AC44/$G$55</f>
        <v>7.1512976735109826E-2</v>
      </c>
      <c r="AJ44" s="25">
        <f t="shared" si="4"/>
        <v>-0.11182173152012931</v>
      </c>
      <c r="AK44" s="25"/>
      <c r="AL44" s="25"/>
      <c r="AM44" s="25"/>
      <c r="AN44" s="25"/>
      <c r="AP44" s="58">
        <v>2901</v>
      </c>
      <c r="AQ44" s="59">
        <v>882</v>
      </c>
      <c r="AU44" s="25"/>
      <c r="AV44" s="25">
        <f t="shared" ref="AV44:AV55" si="14">AP44/$G$55</f>
        <v>1.5724940916285422E-2</v>
      </c>
      <c r="AW44" s="25">
        <f t="shared" si="5"/>
        <v>-2.6510067114093983E-2</v>
      </c>
      <c r="AX44" s="25"/>
      <c r="AY44" s="25"/>
      <c r="AZ44" s="25"/>
      <c r="BA44" s="25"/>
    </row>
    <row r="45" spans="1:53" s="54" customFormat="1" ht="14.25" x14ac:dyDescent="0.2">
      <c r="A45" s="60"/>
      <c r="B45" s="74">
        <v>38646</v>
      </c>
      <c r="D45" s="54">
        <v>13370</v>
      </c>
      <c r="E45" s="54">
        <v>4785</v>
      </c>
      <c r="I45" s="25"/>
      <c r="J45" s="25">
        <f t="shared" si="12"/>
        <v>7.2472409531449886E-2</v>
      </c>
      <c r="K45" s="25">
        <f t="shared" si="3"/>
        <v>9.2851211595077476E-3</v>
      </c>
      <c r="L45" s="25"/>
      <c r="M45" s="25"/>
      <c r="N45" s="25"/>
      <c r="O45" s="25"/>
      <c r="P45" s="25"/>
      <c r="V45" s="25"/>
      <c r="W45" s="25"/>
      <c r="X45" s="25"/>
      <c r="Y45" s="25"/>
      <c r="Z45" s="25"/>
      <c r="AA45" s="25"/>
      <c r="AB45" s="25"/>
      <c r="AC45" s="57">
        <v>13422</v>
      </c>
      <c r="AD45" s="57">
        <v>3995</v>
      </c>
      <c r="AH45" s="25"/>
      <c r="AI45" s="25">
        <f t="shared" si="13"/>
        <v>7.2754276793651484E-2</v>
      </c>
      <c r="AJ45" s="25">
        <f t="shared" si="4"/>
        <v>1.7357689683923372E-2</v>
      </c>
      <c r="AK45" s="25"/>
      <c r="AL45" s="25"/>
      <c r="AM45" s="25"/>
      <c r="AN45" s="25"/>
      <c r="AP45" s="58">
        <v>2764</v>
      </c>
      <c r="AQ45" s="59">
        <v>826</v>
      </c>
      <c r="AU45" s="25"/>
      <c r="AV45" s="25">
        <f t="shared" si="14"/>
        <v>1.4982329090869669E-2</v>
      </c>
      <c r="AW45" s="25">
        <f t="shared" si="5"/>
        <v>-4.7225094794898337E-2</v>
      </c>
      <c r="AX45" s="25"/>
      <c r="AY45" s="25"/>
      <c r="AZ45" s="25"/>
      <c r="BA45" s="25"/>
    </row>
    <row r="46" spans="1:53" s="54" customFormat="1" ht="14.25" x14ac:dyDescent="0.2">
      <c r="A46" s="60"/>
      <c r="B46" s="74">
        <v>38653</v>
      </c>
      <c r="D46" s="54">
        <v>13296</v>
      </c>
      <c r="E46" s="54">
        <v>4602</v>
      </c>
      <c r="F46" s="54">
        <f>SUM(D43:D46)</f>
        <v>53849</v>
      </c>
      <c r="I46" s="25"/>
      <c r="J46" s="25">
        <f t="shared" si="12"/>
        <v>7.2071290735239907E-2</v>
      </c>
      <c r="K46" s="25">
        <f t="shared" si="3"/>
        <v>-5.5347793567689374E-3</v>
      </c>
      <c r="L46" s="25">
        <f>F46/F42-1</f>
        <v>-0.16331572405220629</v>
      </c>
      <c r="M46" s="25"/>
      <c r="N46" s="25"/>
      <c r="O46" s="25"/>
      <c r="P46" s="25"/>
      <c r="V46" s="25"/>
      <c r="W46" s="25"/>
      <c r="X46" s="25"/>
      <c r="Y46" s="25"/>
      <c r="Z46" s="25"/>
      <c r="AA46" s="25"/>
      <c r="AB46" s="25"/>
      <c r="AC46" s="57">
        <v>12759</v>
      </c>
      <c r="AD46" s="57">
        <v>3663</v>
      </c>
      <c r="AE46" s="54">
        <f>SUM(AC43:AC46)</f>
        <v>54228</v>
      </c>
      <c r="AH46" s="25"/>
      <c r="AI46" s="25">
        <f t="shared" si="13"/>
        <v>6.9160469200581082E-2</v>
      </c>
      <c r="AJ46" s="25">
        <f t="shared" si="4"/>
        <v>-4.9396513187304425E-2</v>
      </c>
      <c r="AK46" s="25">
        <f>AE46/AE42-1</f>
        <v>-0.22240385442656796</v>
      </c>
      <c r="AL46" s="25"/>
      <c r="AM46" s="25"/>
      <c r="AN46" s="25"/>
      <c r="AP46" s="58">
        <v>2936</v>
      </c>
      <c r="AQ46" s="59">
        <v>937</v>
      </c>
      <c r="AR46" s="54">
        <f>SUM(AP43:AP46)</f>
        <v>11581</v>
      </c>
      <c r="AU46" s="25"/>
      <c r="AV46" s="25">
        <f t="shared" si="14"/>
        <v>1.5914659265844192E-2</v>
      </c>
      <c r="AW46" s="25">
        <f t="shared" si="5"/>
        <v>6.2228654124457217E-2</v>
      </c>
      <c r="AX46" s="25">
        <f>AR46/AR42-1</f>
        <v>-0.1866132883831999</v>
      </c>
      <c r="AY46" s="25"/>
      <c r="AZ46" s="25"/>
      <c r="BA46" s="25"/>
    </row>
    <row r="47" spans="1:53" s="54" customFormat="1" ht="14.25" x14ac:dyDescent="0.2">
      <c r="A47" s="60"/>
      <c r="B47" s="74">
        <v>38660</v>
      </c>
      <c r="D47" s="54">
        <v>14413</v>
      </c>
      <c r="E47" s="54">
        <v>4984</v>
      </c>
      <c r="I47" s="25"/>
      <c r="J47" s="25">
        <f t="shared" si="12"/>
        <v>7.8126016348301214E-2</v>
      </c>
      <c r="K47" s="25">
        <f t="shared" si="3"/>
        <v>8.4010228640192475E-2</v>
      </c>
      <c r="L47" s="25"/>
      <c r="M47" s="25"/>
      <c r="N47" s="25"/>
      <c r="O47" s="25"/>
      <c r="P47" s="25"/>
      <c r="V47" s="25"/>
      <c r="W47" s="25"/>
      <c r="X47" s="25"/>
      <c r="Y47" s="25"/>
      <c r="Z47" s="25"/>
      <c r="AA47" s="25"/>
      <c r="AB47" s="25"/>
      <c r="AC47" s="57">
        <v>14537</v>
      </c>
      <c r="AD47" s="57">
        <v>4233</v>
      </c>
      <c r="AH47" s="25"/>
      <c r="AI47" s="25">
        <f t="shared" si="13"/>
        <v>7.8798161358166557E-2</v>
      </c>
      <c r="AJ47" s="25">
        <f t="shared" si="4"/>
        <v>0.13935261384121023</v>
      </c>
      <c r="AK47" s="25"/>
      <c r="AL47" s="25"/>
      <c r="AM47" s="25"/>
      <c r="AN47" s="25"/>
      <c r="AP47" s="58">
        <v>2928</v>
      </c>
      <c r="AQ47" s="59">
        <v>909</v>
      </c>
      <c r="AU47" s="25"/>
      <c r="AV47" s="25">
        <f t="shared" si="14"/>
        <v>1.5871295071659332E-2</v>
      </c>
      <c r="AW47" s="25">
        <f t="shared" si="5"/>
        <v>-2.7247956403270157E-3</v>
      </c>
      <c r="AX47" s="25"/>
      <c r="AY47" s="25"/>
      <c r="AZ47" s="25"/>
      <c r="BA47" s="25"/>
    </row>
    <row r="48" spans="1:53" s="54" customFormat="1" ht="14.25" x14ac:dyDescent="0.2">
      <c r="A48" s="60"/>
      <c r="B48" s="74">
        <v>38667</v>
      </c>
      <c r="D48" s="54">
        <v>13981</v>
      </c>
      <c r="E48" s="54">
        <v>4973</v>
      </c>
      <c r="I48" s="25"/>
      <c r="J48" s="25">
        <f t="shared" si="12"/>
        <v>7.578434986231869E-2</v>
      </c>
      <c r="K48" s="25">
        <f t="shared" si="3"/>
        <v>-2.997294109484494E-2</v>
      </c>
      <c r="L48" s="25"/>
      <c r="M48" s="25"/>
      <c r="N48" s="25"/>
      <c r="O48" s="25"/>
      <c r="P48" s="25"/>
      <c r="V48" s="25"/>
      <c r="W48" s="25"/>
      <c r="X48" s="25"/>
      <c r="Y48" s="25"/>
      <c r="Z48" s="25"/>
      <c r="AA48" s="25"/>
      <c r="AB48" s="25"/>
      <c r="AC48" s="57">
        <v>13175</v>
      </c>
      <c r="AD48" s="57">
        <v>3912</v>
      </c>
      <c r="AH48" s="25"/>
      <c r="AI48" s="25">
        <f t="shared" si="13"/>
        <v>7.1415407298193886E-2</v>
      </c>
      <c r="AJ48" s="25">
        <f t="shared" si="4"/>
        <v>-9.3691958450849544E-2</v>
      </c>
      <c r="AK48" s="25"/>
      <c r="AL48" s="25"/>
      <c r="AM48" s="25"/>
      <c r="AN48" s="25"/>
      <c r="AP48" s="58">
        <v>2961</v>
      </c>
      <c r="AQ48" s="59">
        <v>984</v>
      </c>
      <c r="AU48" s="25"/>
      <c r="AV48" s="25">
        <f t="shared" si="14"/>
        <v>1.6050172372671884E-2</v>
      </c>
      <c r="AW48" s="25">
        <f t="shared" si="5"/>
        <v>1.1270491803278659E-2</v>
      </c>
      <c r="AX48" s="25"/>
      <c r="AY48" s="25"/>
      <c r="AZ48" s="25"/>
      <c r="BA48" s="25"/>
    </row>
    <row r="49" spans="1:53" s="54" customFormat="1" ht="14.25" x14ac:dyDescent="0.2">
      <c r="A49" s="60"/>
      <c r="B49" s="74">
        <v>38674</v>
      </c>
      <c r="D49" s="54">
        <v>14673</v>
      </c>
      <c r="E49" s="54">
        <v>5083</v>
      </c>
      <c r="I49" s="25"/>
      <c r="J49" s="25">
        <f t="shared" si="12"/>
        <v>7.9535352659309208E-2</v>
      </c>
      <c r="K49" s="25">
        <f t="shared" si="3"/>
        <v>4.9495744224304472E-2</v>
      </c>
      <c r="L49" s="25"/>
      <c r="M49" s="25"/>
      <c r="N49" s="25"/>
      <c r="O49" s="25"/>
      <c r="P49" s="25"/>
      <c r="V49" s="25"/>
      <c r="W49" s="25"/>
      <c r="X49" s="25"/>
      <c r="Y49" s="25"/>
      <c r="Z49" s="25"/>
      <c r="AA49" s="25"/>
      <c r="AB49" s="25"/>
      <c r="AC49" s="57">
        <v>13028</v>
      </c>
      <c r="AD49" s="57">
        <v>3882</v>
      </c>
      <c r="AH49" s="25"/>
      <c r="AI49" s="25">
        <f t="shared" si="13"/>
        <v>7.0618590230047046E-2</v>
      </c>
      <c r="AJ49" s="25">
        <f t="shared" si="4"/>
        <v>-1.1157495256166938E-2</v>
      </c>
      <c r="AK49" s="25"/>
      <c r="AL49" s="25"/>
      <c r="AM49" s="25"/>
      <c r="AN49" s="25"/>
      <c r="AP49" s="58">
        <v>2950</v>
      </c>
      <c r="AQ49" s="59">
        <v>870</v>
      </c>
      <c r="AU49" s="25"/>
      <c r="AV49" s="25">
        <f t="shared" si="14"/>
        <v>1.5990546605667701E-2</v>
      </c>
      <c r="AW49" s="25">
        <f t="shared" si="5"/>
        <v>-3.7149611617697254E-3</v>
      </c>
      <c r="AX49" s="25"/>
      <c r="AY49" s="25"/>
      <c r="AZ49" s="25"/>
      <c r="BA49" s="25"/>
    </row>
    <row r="50" spans="1:53" s="54" customFormat="1" ht="14.25" x14ac:dyDescent="0.2">
      <c r="A50" s="60"/>
      <c r="B50" s="74">
        <v>38681</v>
      </c>
      <c r="D50" s="54">
        <v>12272</v>
      </c>
      <c r="E50" s="54">
        <v>4168</v>
      </c>
      <c r="F50" s="54">
        <f>SUM(D47:D50)</f>
        <v>55339</v>
      </c>
      <c r="I50" s="25"/>
      <c r="J50" s="25">
        <f t="shared" si="12"/>
        <v>6.6520673879577635E-2</v>
      </c>
      <c r="K50" s="25">
        <f t="shared" si="3"/>
        <v>-0.16363388536768209</v>
      </c>
      <c r="L50" s="25">
        <f>F50/F46-1</f>
        <v>2.7669966016081959E-2</v>
      </c>
      <c r="M50" s="25"/>
      <c r="N50" s="25"/>
      <c r="O50" s="25"/>
      <c r="P50" s="25"/>
      <c r="V50" s="25"/>
      <c r="W50" s="25"/>
      <c r="X50" s="25"/>
      <c r="Y50" s="25"/>
      <c r="Z50" s="25"/>
      <c r="AA50" s="25"/>
      <c r="AB50" s="25"/>
      <c r="AC50" s="57">
        <v>11417</v>
      </c>
      <c r="AD50" s="57">
        <v>3352</v>
      </c>
      <c r="AE50" s="54">
        <f>SUM(AC47:AC50)</f>
        <v>52157</v>
      </c>
      <c r="AH50" s="25"/>
      <c r="AI50" s="25">
        <f t="shared" si="13"/>
        <v>6.1886125626070557E-2</v>
      </c>
      <c r="AJ50" s="25">
        <f t="shared" si="4"/>
        <v>-0.12365673933067245</v>
      </c>
      <c r="AK50" s="25">
        <f>AE50/AE46-1</f>
        <v>-3.8190602640702176E-2</v>
      </c>
      <c r="AL50" s="25"/>
      <c r="AM50" s="25"/>
      <c r="AN50" s="25"/>
      <c r="AP50" s="58">
        <v>2679</v>
      </c>
      <c r="AQ50" s="59">
        <v>817</v>
      </c>
      <c r="AR50" s="54">
        <f>SUM(AP47:AP50)</f>
        <v>11518</v>
      </c>
      <c r="AU50" s="25"/>
      <c r="AV50" s="25">
        <f t="shared" si="14"/>
        <v>1.4521584527655515E-2</v>
      </c>
      <c r="AW50" s="25">
        <f t="shared" si="5"/>
        <v>-9.1864406779661012E-2</v>
      </c>
      <c r="AX50" s="25">
        <f>AR50/AR46-1</f>
        <v>-5.4399447370693244E-3</v>
      </c>
      <c r="AY50" s="25"/>
      <c r="AZ50" s="25"/>
      <c r="BA50" s="25"/>
    </row>
    <row r="51" spans="1:53" s="54" customFormat="1" ht="14.25" x14ac:dyDescent="0.2">
      <c r="A51" s="60"/>
      <c r="B51" s="74">
        <v>38688</v>
      </c>
      <c r="D51" s="54">
        <v>15906</v>
      </c>
      <c r="E51" s="54">
        <v>5192</v>
      </c>
      <c r="I51" s="25"/>
      <c r="J51" s="25">
        <f t="shared" si="12"/>
        <v>8.6218859088050992E-2</v>
      </c>
      <c r="K51" s="25">
        <f t="shared" si="3"/>
        <v>0.29612125162972625</v>
      </c>
      <c r="L51" s="25"/>
      <c r="M51" s="25"/>
      <c r="N51" s="25"/>
      <c r="O51" s="25"/>
      <c r="P51" s="25"/>
      <c r="V51" s="25"/>
      <c r="W51" s="25"/>
      <c r="X51" s="25"/>
      <c r="Y51" s="25"/>
      <c r="Z51" s="25"/>
      <c r="AA51" s="25"/>
      <c r="AB51" s="25"/>
      <c r="AC51" s="57">
        <v>14524</v>
      </c>
      <c r="AD51" s="57">
        <v>4109</v>
      </c>
      <c r="AH51" s="25"/>
      <c r="AI51" s="25">
        <f t="shared" si="13"/>
        <v>7.8727694542616161E-2</v>
      </c>
      <c r="AJ51" s="25">
        <f t="shared" si="4"/>
        <v>0.27213803976526241</v>
      </c>
      <c r="AK51" s="25"/>
      <c r="AL51" s="25"/>
      <c r="AM51" s="25"/>
      <c r="AN51" s="25"/>
      <c r="AP51" s="58">
        <v>3149</v>
      </c>
      <c r="AQ51" s="59">
        <v>955</v>
      </c>
      <c r="AU51" s="25"/>
      <c r="AV51" s="25">
        <f t="shared" si="14"/>
        <v>1.706923093601613E-2</v>
      </c>
      <c r="AW51" s="25">
        <f t="shared" si="5"/>
        <v>0.17543859649122817</v>
      </c>
      <c r="AX51" s="25"/>
      <c r="AY51" s="25"/>
      <c r="AZ51" s="25"/>
      <c r="BA51" s="25"/>
    </row>
    <row r="52" spans="1:53" s="54" customFormat="1" ht="14.25" x14ac:dyDescent="0.2">
      <c r="A52" s="60"/>
      <c r="B52" s="74">
        <v>38695</v>
      </c>
      <c r="D52" s="54">
        <v>15363</v>
      </c>
      <c r="E52" s="54">
        <v>5369</v>
      </c>
      <c r="I52" s="25"/>
      <c r="J52" s="25">
        <f t="shared" si="12"/>
        <v>8.327551440775352E-2</v>
      </c>
      <c r="K52" s="25">
        <f t="shared" si="3"/>
        <v>-3.4138061109015516E-2</v>
      </c>
      <c r="L52" s="25"/>
      <c r="M52" s="25"/>
      <c r="N52" s="25"/>
      <c r="O52" s="25"/>
      <c r="P52" s="25"/>
      <c r="V52" s="25"/>
      <c r="W52" s="25"/>
      <c r="X52" s="25"/>
      <c r="Y52" s="25"/>
      <c r="Z52" s="25"/>
      <c r="AA52" s="25"/>
      <c r="AB52" s="25"/>
      <c r="AC52" s="57">
        <v>13467</v>
      </c>
      <c r="AD52" s="57">
        <v>3905</v>
      </c>
      <c r="AH52" s="25"/>
      <c r="AI52" s="25">
        <f t="shared" si="13"/>
        <v>7.2998200385941334E-2</v>
      </c>
      <c r="AJ52" s="25">
        <f t="shared" si="4"/>
        <v>-7.2776094739741115E-2</v>
      </c>
      <c r="AK52" s="25"/>
      <c r="AL52" s="25"/>
      <c r="AM52" s="25"/>
      <c r="AN52" s="25"/>
      <c r="AP52" s="58">
        <v>3069</v>
      </c>
      <c r="AQ52" s="59">
        <v>919</v>
      </c>
      <c r="AU52" s="25"/>
      <c r="AV52" s="25">
        <f t="shared" si="14"/>
        <v>1.6635588994167515E-2</v>
      </c>
      <c r="AW52" s="25">
        <f t="shared" si="5"/>
        <v>-2.5404890441409922E-2</v>
      </c>
      <c r="AX52" s="25"/>
      <c r="AY52" s="25"/>
      <c r="AZ52" s="25"/>
      <c r="BA52" s="25"/>
    </row>
    <row r="53" spans="1:53" s="54" customFormat="1" ht="14.25" x14ac:dyDescent="0.2">
      <c r="A53" s="60"/>
      <c r="B53" s="74">
        <v>38702</v>
      </c>
      <c r="D53" s="54">
        <v>15177</v>
      </c>
      <c r="E53" s="54">
        <v>5166</v>
      </c>
      <c r="I53" s="25"/>
      <c r="J53" s="25">
        <f t="shared" si="12"/>
        <v>8.2267296892955491E-2</v>
      </c>
      <c r="K53" s="25">
        <f t="shared" si="3"/>
        <v>-1.2107010349541092E-2</v>
      </c>
      <c r="L53" s="25"/>
      <c r="M53" s="25"/>
      <c r="N53" s="25"/>
      <c r="O53" s="25"/>
      <c r="P53" s="25"/>
      <c r="V53" s="25"/>
      <c r="W53" s="25"/>
      <c r="X53" s="25"/>
      <c r="Y53" s="25"/>
      <c r="Z53" s="25"/>
      <c r="AA53" s="25"/>
      <c r="AB53" s="25"/>
      <c r="AC53" s="57">
        <v>13157</v>
      </c>
      <c r="AD53" s="57">
        <v>3956</v>
      </c>
      <c r="AH53" s="25"/>
      <c r="AI53" s="25">
        <f t="shared" si="13"/>
        <v>7.1317837861277947E-2</v>
      </c>
      <c r="AJ53" s="25">
        <f t="shared" si="4"/>
        <v>-2.3019232197222794E-2</v>
      </c>
      <c r="AK53" s="25"/>
      <c r="AL53" s="25"/>
      <c r="AM53" s="25"/>
      <c r="AN53" s="25"/>
      <c r="AP53" s="58">
        <v>3005</v>
      </c>
      <c r="AQ53" s="59">
        <v>915</v>
      </c>
      <c r="AU53" s="25"/>
      <c r="AV53" s="25">
        <f t="shared" si="14"/>
        <v>1.6288675440688623E-2</v>
      </c>
      <c r="AW53" s="25">
        <f t="shared" si="5"/>
        <v>-2.0853698273053167E-2</v>
      </c>
      <c r="AX53" s="25"/>
      <c r="AY53" s="25"/>
      <c r="AZ53" s="25"/>
      <c r="BA53" s="25"/>
    </row>
    <row r="54" spans="1:53" s="54" customFormat="1" ht="14.25" x14ac:dyDescent="0.2">
      <c r="A54" s="60"/>
      <c r="B54" s="74">
        <v>38709</v>
      </c>
      <c r="D54" s="54">
        <v>15083</v>
      </c>
      <c r="E54" s="54">
        <v>5161</v>
      </c>
      <c r="I54" s="25"/>
      <c r="J54" s="25">
        <f t="shared" si="12"/>
        <v>8.1757767611283366E-2</v>
      </c>
      <c r="K54" s="25">
        <f t="shared" si="3"/>
        <v>-6.193582394412589E-3</v>
      </c>
      <c r="L54" s="25"/>
      <c r="M54" s="25"/>
      <c r="N54" s="25"/>
      <c r="O54" s="25"/>
      <c r="P54" s="25"/>
      <c r="V54" s="25"/>
      <c r="W54" s="25"/>
      <c r="X54" s="25"/>
      <c r="Y54" s="25"/>
      <c r="Z54" s="25"/>
      <c r="AA54" s="25"/>
      <c r="AB54" s="25"/>
      <c r="AC54" s="57">
        <v>13166</v>
      </c>
      <c r="AD54" s="57">
        <v>3853</v>
      </c>
      <c r="AH54" s="25"/>
      <c r="AI54" s="25">
        <f t="shared" si="13"/>
        <v>7.1366622579735917E-2</v>
      </c>
      <c r="AJ54" s="25">
        <f t="shared" si="4"/>
        <v>6.8404651516296155E-4</v>
      </c>
      <c r="AK54" s="25"/>
      <c r="AL54" s="25"/>
      <c r="AM54" s="25"/>
      <c r="AN54" s="25"/>
      <c r="AP54" s="58">
        <v>3144</v>
      </c>
      <c r="AQ54" s="59">
        <v>940</v>
      </c>
      <c r="AU54" s="25"/>
      <c r="AV54" s="25">
        <f t="shared" si="14"/>
        <v>1.7042128314650594E-2</v>
      </c>
      <c r="AW54" s="25">
        <f t="shared" si="5"/>
        <v>4.6256239600665605E-2</v>
      </c>
      <c r="AX54" s="25"/>
      <c r="AY54" s="25"/>
      <c r="AZ54" s="25"/>
      <c r="BA54" s="25"/>
    </row>
    <row r="55" spans="1:53" s="54" customFormat="1" ht="14.25" x14ac:dyDescent="0.2">
      <c r="A55" s="60"/>
      <c r="B55" s="74">
        <v>38716</v>
      </c>
      <c r="D55" s="54">
        <v>13767</v>
      </c>
      <c r="E55" s="54">
        <v>4480</v>
      </c>
      <c r="F55" s="54">
        <f>SUM(D51:D55)</f>
        <v>75296</v>
      </c>
      <c r="G55" s="54">
        <f>SUM(F46:F55)</f>
        <v>184484</v>
      </c>
      <c r="H55" s="54">
        <v>191100</v>
      </c>
      <c r="I55" s="25">
        <f>G55/H55-1</f>
        <v>-3.4620617477760351E-2</v>
      </c>
      <c r="J55" s="25">
        <f t="shared" si="12"/>
        <v>7.4624357667873634E-2</v>
      </c>
      <c r="K55" s="25">
        <f t="shared" si="3"/>
        <v>-8.7250546973413723E-2</v>
      </c>
      <c r="L55" s="25">
        <f>F55/F50-1</f>
        <v>0.36063174253239128</v>
      </c>
      <c r="M55" s="25">
        <f>G55/G42-1</f>
        <v>9.4529252273792608E-2</v>
      </c>
      <c r="N55" s="25"/>
      <c r="O55" s="25"/>
      <c r="P55" s="25"/>
      <c r="V55" s="25"/>
      <c r="W55" s="25"/>
      <c r="X55" s="25"/>
      <c r="Y55" s="25"/>
      <c r="Z55" s="25"/>
      <c r="AA55" s="25"/>
      <c r="AB55" s="25"/>
      <c r="AC55" s="57">
        <v>12382</v>
      </c>
      <c r="AD55" s="57">
        <v>3643</v>
      </c>
      <c r="AE55" s="54">
        <f>SUM(AC51:AC55)</f>
        <v>66696</v>
      </c>
      <c r="AF55" s="54">
        <f>SUM(AE46:AE55)</f>
        <v>173081</v>
      </c>
      <c r="AG55" s="54">
        <v>182400</v>
      </c>
      <c r="AH55" s="25">
        <f>AF55/AG55-1</f>
        <v>-5.1091008771929847E-2</v>
      </c>
      <c r="AI55" s="25">
        <f t="shared" si="13"/>
        <v>6.711693154961948E-2</v>
      </c>
      <c r="AJ55" s="25">
        <f t="shared" si="4"/>
        <v>-5.9547318851587372E-2</v>
      </c>
      <c r="AK55" s="25">
        <f>AE55/AE50-1</f>
        <v>0.27875452959334313</v>
      </c>
      <c r="AL55" s="25">
        <f>AF55/AF42-1</f>
        <v>-0.12688980250712534</v>
      </c>
      <c r="AM55" s="25"/>
      <c r="AN55" s="25"/>
      <c r="AP55" s="58">
        <v>2858</v>
      </c>
      <c r="AQ55" s="59">
        <v>821</v>
      </c>
      <c r="AR55" s="54">
        <f>SUM(AP51:AP55)</f>
        <v>15225</v>
      </c>
      <c r="AS55" s="54">
        <f>SUM(AR46:AR55)</f>
        <v>38324</v>
      </c>
      <c r="AT55" s="54">
        <v>51900</v>
      </c>
      <c r="AU55" s="25">
        <f>AS55/AT55-1</f>
        <v>-0.26157996146435458</v>
      </c>
      <c r="AV55" s="25">
        <f t="shared" si="14"/>
        <v>1.5491858372541792E-2</v>
      </c>
      <c r="AW55" s="25">
        <f t="shared" si="5"/>
        <v>-9.0966921119592925E-2</v>
      </c>
      <c r="AX55" s="25">
        <f>AR55/AR50-1</f>
        <v>0.32184407015106786</v>
      </c>
      <c r="AY55" s="25">
        <f>AS55/AS42-1</f>
        <v>9.7220392570149805E-3</v>
      </c>
      <c r="AZ55" s="25"/>
      <c r="BA55" s="25"/>
    </row>
    <row r="56" spans="1:53" s="54" customFormat="1" ht="14.25" x14ac:dyDescent="0.2">
      <c r="A56" s="60"/>
      <c r="B56" s="74">
        <v>38723</v>
      </c>
      <c r="D56" s="54">
        <v>14131</v>
      </c>
      <c r="E56" s="54">
        <v>4742</v>
      </c>
      <c r="I56" s="25"/>
      <c r="J56" s="25">
        <f>D56/$G$68</f>
        <v>6.8849759310869008E-2</v>
      </c>
      <c r="K56" s="25">
        <f t="shared" si="3"/>
        <v>2.6440037771482627E-2</v>
      </c>
      <c r="L56" s="25"/>
      <c r="M56" s="25"/>
      <c r="N56" s="25"/>
      <c r="O56" s="25">
        <f t="shared" ref="O56:O116" si="15">D56/D4-1</f>
        <v>1.4452327392282402</v>
      </c>
      <c r="P56" s="25"/>
      <c r="V56" s="25"/>
      <c r="W56" s="25"/>
      <c r="X56" s="25"/>
      <c r="Y56" s="25"/>
      <c r="Z56" s="25"/>
      <c r="AA56" s="25"/>
      <c r="AB56" s="25"/>
      <c r="AC56" s="57">
        <v>12088</v>
      </c>
      <c r="AD56" s="57">
        <v>3625</v>
      </c>
      <c r="AH56" s="25"/>
      <c r="AI56" s="25">
        <f>AC56/$G$68</f>
        <v>5.8895753347235485E-2</v>
      </c>
      <c r="AJ56" s="25">
        <f t="shared" si="4"/>
        <v>-2.3744144726215444E-2</v>
      </c>
      <c r="AK56" s="25"/>
      <c r="AL56" s="25"/>
      <c r="AM56" s="25"/>
      <c r="AN56" s="25">
        <f t="shared" ref="AN56:AN119" si="16">AC56/AC4-1</f>
        <v>-0.29318208396678747</v>
      </c>
      <c r="AP56" s="58">
        <v>2820</v>
      </c>
      <c r="AQ56" s="59">
        <v>790</v>
      </c>
      <c r="AU56" s="25"/>
      <c r="AV56" s="25">
        <f>AP56/$G$68</f>
        <v>1.373974391456023E-2</v>
      </c>
      <c r="AW56" s="25">
        <f t="shared" si="5"/>
        <v>-1.3296011196641033E-2</v>
      </c>
      <c r="AX56" s="25"/>
      <c r="AY56" s="25"/>
      <c r="AZ56" s="25"/>
      <c r="BA56" s="25">
        <f t="shared" ref="BA56:BA119" si="17">AP56/AP4-1</f>
        <v>0.31529850746268662</v>
      </c>
    </row>
    <row r="57" spans="1:53" s="54" customFormat="1" ht="14.25" x14ac:dyDescent="0.2">
      <c r="A57" s="60"/>
      <c r="B57" s="74">
        <v>38730</v>
      </c>
      <c r="D57" s="54">
        <v>15610</v>
      </c>
      <c r="E57" s="54">
        <v>5654</v>
      </c>
      <c r="I57" s="25"/>
      <c r="J57" s="25">
        <f t="shared" ref="J57:J68" si="18">D57/$G$68</f>
        <v>7.6055816491590503E-2</v>
      </c>
      <c r="K57" s="25">
        <f t="shared" si="3"/>
        <v>0.10466350576746164</v>
      </c>
      <c r="L57" s="25"/>
      <c r="M57" s="25"/>
      <c r="N57" s="25"/>
      <c r="O57" s="25">
        <f t="shared" si="15"/>
        <v>1.4598172076898832</v>
      </c>
      <c r="P57" s="25"/>
      <c r="V57" s="25"/>
      <c r="W57" s="25"/>
      <c r="X57" s="25"/>
      <c r="Y57" s="25"/>
      <c r="Z57" s="25"/>
      <c r="AA57" s="25"/>
      <c r="AB57" s="25"/>
      <c r="AC57" s="57">
        <v>12438</v>
      </c>
      <c r="AD57" s="57">
        <v>3977</v>
      </c>
      <c r="AH57" s="25"/>
      <c r="AI57" s="25">
        <f t="shared" ref="AI57:AI68" si="19">AC57/$G$68</f>
        <v>6.0601040712517783E-2</v>
      </c>
      <c r="AJ57" s="25">
        <f t="shared" si="4"/>
        <v>2.8954334877564492E-2</v>
      </c>
      <c r="AK57" s="25"/>
      <c r="AL57" s="25"/>
      <c r="AM57" s="25"/>
      <c r="AN57" s="25">
        <f t="shared" si="16"/>
        <v>-0.25238925287010883</v>
      </c>
      <c r="AP57" s="58">
        <v>3161</v>
      </c>
      <c r="AQ57" s="59">
        <v>955</v>
      </c>
      <c r="AU57" s="25"/>
      <c r="AV57" s="25">
        <f t="shared" ref="AV57:AV68" si="20">AP57/$G$68</f>
        <v>1.5401181033306698E-2</v>
      </c>
      <c r="AW57" s="25">
        <f t="shared" si="5"/>
        <v>0.12092198581560276</v>
      </c>
      <c r="AX57" s="25"/>
      <c r="AY57" s="25"/>
      <c r="AZ57" s="25"/>
      <c r="BA57" s="25">
        <f t="shared" si="17"/>
        <v>0.35723486474881927</v>
      </c>
    </row>
    <row r="58" spans="1:53" s="54" customFormat="1" ht="14.25" x14ac:dyDescent="0.2">
      <c r="A58" s="60"/>
      <c r="B58" s="74">
        <v>38737</v>
      </c>
      <c r="D58" s="54">
        <v>14929</v>
      </c>
      <c r="E58" s="54">
        <v>5441</v>
      </c>
      <c r="I58" s="25"/>
      <c r="J58" s="25">
        <f t="shared" si="18"/>
        <v>7.2737814503712653E-2</v>
      </c>
      <c r="K58" s="25">
        <f t="shared" si="3"/>
        <v>-4.3625880845611809E-2</v>
      </c>
      <c r="L58" s="25"/>
      <c r="M58" s="25"/>
      <c r="N58" s="25"/>
      <c r="O58" s="25">
        <f t="shared" si="15"/>
        <v>1.3924679487179485</v>
      </c>
      <c r="P58" s="25"/>
      <c r="V58" s="25"/>
      <c r="W58" s="25"/>
      <c r="X58" s="25"/>
      <c r="Y58" s="25"/>
      <c r="Z58" s="25"/>
      <c r="AA58" s="25"/>
      <c r="AB58" s="25"/>
      <c r="AC58" s="57">
        <v>12210</v>
      </c>
      <c r="AD58" s="57">
        <v>3867</v>
      </c>
      <c r="AH58" s="25"/>
      <c r="AI58" s="25">
        <f t="shared" si="19"/>
        <v>5.9490167800276744E-2</v>
      </c>
      <c r="AJ58" s="25">
        <f t="shared" si="4"/>
        <v>-1.8330921369995146E-2</v>
      </c>
      <c r="AK58" s="25"/>
      <c r="AL58" s="25"/>
      <c r="AM58" s="25"/>
      <c r="AN58" s="25">
        <f t="shared" si="16"/>
        <v>-0.21930946291560105</v>
      </c>
      <c r="AP58" s="58">
        <v>2897</v>
      </c>
      <c r="AQ58" s="59">
        <v>868</v>
      </c>
      <c r="AU58" s="25"/>
      <c r="AV58" s="25">
        <f t="shared" si="20"/>
        <v>1.4114907134922337E-2</v>
      </c>
      <c r="AW58" s="25">
        <f t="shared" si="5"/>
        <v>-8.3517874090477728E-2</v>
      </c>
      <c r="AX58" s="25"/>
      <c r="AY58" s="25"/>
      <c r="AZ58" s="25"/>
      <c r="BA58" s="25">
        <f t="shared" si="17"/>
        <v>0.30085316569375853</v>
      </c>
    </row>
    <row r="59" spans="1:53" s="54" customFormat="1" ht="14.25" x14ac:dyDescent="0.2">
      <c r="A59" s="60"/>
      <c r="B59" s="74">
        <v>38744</v>
      </c>
      <c r="D59" s="54">
        <v>14597</v>
      </c>
      <c r="E59" s="54">
        <v>5348</v>
      </c>
      <c r="F59" s="54">
        <f>SUM(D56:D59)</f>
        <v>59267</v>
      </c>
      <c r="I59" s="25"/>
      <c r="J59" s="25">
        <f t="shared" si="18"/>
        <v>7.1120227631502012E-2</v>
      </c>
      <c r="K59" s="25">
        <f t="shared" si="3"/>
        <v>-2.2238596021166845E-2</v>
      </c>
      <c r="L59" s="25">
        <f>F59/F55-1</f>
        <v>-0.2128798342541437</v>
      </c>
      <c r="M59" s="25"/>
      <c r="N59" s="25"/>
      <c r="O59" s="25">
        <f t="shared" si="15"/>
        <v>1.2829214888958398</v>
      </c>
      <c r="P59" s="25"/>
      <c r="V59" s="25"/>
      <c r="W59" s="25"/>
      <c r="X59" s="25"/>
      <c r="Y59" s="25"/>
      <c r="Z59" s="25"/>
      <c r="AA59" s="25"/>
      <c r="AB59" s="25"/>
      <c r="AC59" s="57">
        <v>11936</v>
      </c>
      <c r="AD59" s="57">
        <v>3862</v>
      </c>
      <c r="AE59" s="54">
        <f>SUM(AC56:AC59)</f>
        <v>48672</v>
      </c>
      <c r="AH59" s="25"/>
      <c r="AI59" s="25">
        <f t="shared" si="19"/>
        <v>5.815517140574146E-2</v>
      </c>
      <c r="AJ59" s="25">
        <f t="shared" si="4"/>
        <v>-2.2440622440622393E-2</v>
      </c>
      <c r="AK59" s="25">
        <f>AE59/AE55-1</f>
        <v>-0.27024109391867579</v>
      </c>
      <c r="AL59" s="25"/>
      <c r="AM59" s="25"/>
      <c r="AN59" s="25">
        <f t="shared" si="16"/>
        <v>-0.23858127073232971</v>
      </c>
      <c r="AP59" s="58">
        <v>2974</v>
      </c>
      <c r="AQ59" s="59">
        <v>895</v>
      </c>
      <c r="AR59" s="54">
        <f>SUM(AP56:AP59)</f>
        <v>11852</v>
      </c>
      <c r="AU59" s="25"/>
      <c r="AV59" s="25">
        <f t="shared" si="20"/>
        <v>1.4490070355284441E-2</v>
      </c>
      <c r="AW59" s="25">
        <f t="shared" si="5"/>
        <v>2.6579219882637117E-2</v>
      </c>
      <c r="AX59" s="25">
        <f>AR59/AR55-1</f>
        <v>-0.22154351395730709</v>
      </c>
      <c r="AY59" s="25"/>
      <c r="AZ59" s="25"/>
      <c r="BA59" s="25">
        <f t="shared" si="17"/>
        <v>0.34997730367680435</v>
      </c>
    </row>
    <row r="60" spans="1:53" s="54" customFormat="1" ht="14.25" x14ac:dyDescent="0.2">
      <c r="A60" s="60"/>
      <c r="B60" s="74">
        <v>38751</v>
      </c>
      <c r="D60" s="54">
        <v>15766</v>
      </c>
      <c r="E60" s="54">
        <v>5773</v>
      </c>
      <c r="I60" s="25"/>
      <c r="J60" s="25">
        <f t="shared" si="18"/>
        <v>7.6815887431544896E-2</v>
      </c>
      <c r="K60" s="25">
        <f t="shared" si="3"/>
        <v>8.0084948962115599E-2</v>
      </c>
      <c r="L60" s="25"/>
      <c r="M60" s="25"/>
      <c r="N60" s="25"/>
      <c r="O60" s="25">
        <f t="shared" si="15"/>
        <v>1.2407617964752702</v>
      </c>
      <c r="P60" s="25"/>
      <c r="V60" s="25"/>
      <c r="W60" s="25"/>
      <c r="X60" s="25"/>
      <c r="Y60" s="25"/>
      <c r="Z60" s="25"/>
      <c r="AA60" s="25"/>
      <c r="AB60" s="25"/>
      <c r="AC60" s="54">
        <v>12392</v>
      </c>
      <c r="AD60" s="54">
        <v>3909</v>
      </c>
      <c r="AH60" s="25"/>
      <c r="AI60" s="25">
        <f t="shared" si="19"/>
        <v>6.0376917230223537E-2</v>
      </c>
      <c r="AJ60" s="25">
        <f t="shared" si="4"/>
        <v>3.8203753351206515E-2</v>
      </c>
      <c r="AK60" s="25"/>
      <c r="AL60" s="25"/>
      <c r="AM60" s="25"/>
      <c r="AN60" s="25">
        <f t="shared" si="16"/>
        <v>-0.31592602815346393</v>
      </c>
      <c r="AP60" s="59">
        <v>2892</v>
      </c>
      <c r="AQ60" s="59">
        <v>858</v>
      </c>
      <c r="AU60" s="25"/>
      <c r="AV60" s="25">
        <f t="shared" si="20"/>
        <v>1.4090545886846875E-2</v>
      </c>
      <c r="AW60" s="25">
        <f t="shared" si="5"/>
        <v>-2.7572293207800969E-2</v>
      </c>
      <c r="AX60" s="25"/>
      <c r="AY60" s="25"/>
      <c r="AZ60" s="25"/>
      <c r="BA60" s="25">
        <f t="shared" si="17"/>
        <v>0.21410579345088165</v>
      </c>
    </row>
    <row r="61" spans="1:53" s="54" customFormat="1" ht="14.25" x14ac:dyDescent="0.2">
      <c r="A61" s="60"/>
      <c r="B61" s="74">
        <v>38758</v>
      </c>
      <c r="D61" s="54">
        <v>15493</v>
      </c>
      <c r="E61" s="54">
        <v>5558</v>
      </c>
      <c r="I61" s="25"/>
      <c r="J61" s="25">
        <f t="shared" si="18"/>
        <v>7.5485763286624694E-2</v>
      </c>
      <c r="K61" s="25">
        <f t="shared" si="3"/>
        <v>-1.7315742737536444E-2</v>
      </c>
      <c r="L61" s="25"/>
      <c r="M61" s="25"/>
      <c r="N61" s="25"/>
      <c r="O61" s="25">
        <f t="shared" si="15"/>
        <v>1.1944759206798867</v>
      </c>
      <c r="P61" s="25"/>
      <c r="V61" s="25"/>
      <c r="W61" s="25"/>
      <c r="X61" s="25"/>
      <c r="Y61" s="25"/>
      <c r="Z61" s="25"/>
      <c r="AA61" s="25"/>
      <c r="AB61" s="25"/>
      <c r="AC61" s="54">
        <v>12323</v>
      </c>
      <c r="AD61" s="54">
        <v>3900</v>
      </c>
      <c r="AH61" s="25"/>
      <c r="AI61" s="25">
        <f t="shared" si="19"/>
        <v>6.0040732006782171E-2</v>
      </c>
      <c r="AJ61" s="25">
        <f t="shared" si="4"/>
        <v>-5.5681084570691208E-3</v>
      </c>
      <c r="AK61" s="25"/>
      <c r="AL61" s="25"/>
      <c r="AM61" s="25"/>
      <c r="AN61" s="25">
        <f t="shared" si="16"/>
        <v>-0.21897578907339332</v>
      </c>
      <c r="AP61" s="59">
        <v>3019</v>
      </c>
      <c r="AQ61" s="59">
        <v>936</v>
      </c>
      <c r="AU61" s="25"/>
      <c r="AV61" s="25">
        <f t="shared" si="20"/>
        <v>1.4709321587963595E-2</v>
      </c>
      <c r="AW61" s="25">
        <f t="shared" si="5"/>
        <v>4.3914246196403939E-2</v>
      </c>
      <c r="AX61" s="25"/>
      <c r="AY61" s="25"/>
      <c r="AZ61" s="25"/>
      <c r="BA61" s="25">
        <f t="shared" si="17"/>
        <v>0.37227272727272731</v>
      </c>
    </row>
    <row r="62" spans="1:53" s="54" customFormat="1" ht="14.25" x14ac:dyDescent="0.2">
      <c r="A62" s="60"/>
      <c r="B62" s="74">
        <v>38765</v>
      </c>
      <c r="D62" s="54">
        <v>15956</v>
      </c>
      <c r="E62" s="54">
        <v>5636</v>
      </c>
      <c r="I62" s="25"/>
      <c r="J62" s="25">
        <f t="shared" si="18"/>
        <v>7.7741614858412425E-2</v>
      </c>
      <c r="K62" s="25">
        <f t="shared" si="3"/>
        <v>2.9884463951461937E-2</v>
      </c>
      <c r="L62" s="25"/>
      <c r="M62" s="25"/>
      <c r="N62" s="25"/>
      <c r="O62" s="25">
        <f t="shared" si="15"/>
        <v>1.2056953276195741</v>
      </c>
      <c r="P62" s="25"/>
      <c r="V62" s="25"/>
      <c r="W62" s="25"/>
      <c r="X62" s="25"/>
      <c r="Y62" s="25"/>
      <c r="Z62" s="25"/>
      <c r="AA62" s="25"/>
      <c r="AB62" s="25"/>
      <c r="AC62" s="54">
        <v>11763</v>
      </c>
      <c r="AD62" s="54">
        <v>3719</v>
      </c>
      <c r="AH62" s="25"/>
      <c r="AI62" s="25">
        <f t="shared" si="19"/>
        <v>5.7312272222330492E-2</v>
      </c>
      <c r="AJ62" s="25">
        <f t="shared" si="4"/>
        <v>-4.5443479672157783E-2</v>
      </c>
      <c r="AK62" s="25"/>
      <c r="AL62" s="25"/>
      <c r="AM62" s="25"/>
      <c r="AN62" s="25">
        <f t="shared" si="16"/>
        <v>-0.23368078175895768</v>
      </c>
      <c r="AP62" s="59">
        <v>2990</v>
      </c>
      <c r="AQ62" s="59">
        <v>909</v>
      </c>
      <c r="AU62" s="25"/>
      <c r="AV62" s="25">
        <f t="shared" si="20"/>
        <v>1.4568026349125919E-2</v>
      </c>
      <c r="AW62" s="25">
        <f t="shared" si="5"/>
        <v>-9.605829744948613E-3</v>
      </c>
      <c r="AX62" s="25"/>
      <c r="AY62" s="25"/>
      <c r="AZ62" s="25"/>
      <c r="BA62" s="25">
        <f t="shared" si="17"/>
        <v>0.2437603993344426</v>
      </c>
    </row>
    <row r="63" spans="1:53" s="54" customFormat="1" ht="14.25" x14ac:dyDescent="0.2">
      <c r="A63" s="60"/>
      <c r="B63" s="74">
        <v>38772</v>
      </c>
      <c r="D63" s="54">
        <v>15310</v>
      </c>
      <c r="E63" s="54">
        <v>5319</v>
      </c>
      <c r="F63" s="54">
        <f>SUM(D60:D63)</f>
        <v>62525</v>
      </c>
      <c r="I63" s="25"/>
      <c r="J63" s="25">
        <f t="shared" si="18"/>
        <v>7.4594141607062819E-2</v>
      </c>
      <c r="K63" s="25">
        <f t="shared" si="3"/>
        <v>-4.0486337427926844E-2</v>
      </c>
      <c r="L63" s="25">
        <f>F63/F59-1</f>
        <v>5.4971569338755133E-2</v>
      </c>
      <c r="M63" s="25"/>
      <c r="N63" s="25"/>
      <c r="O63" s="25">
        <f t="shared" si="15"/>
        <v>1.1391644543803268</v>
      </c>
      <c r="P63" s="25"/>
      <c r="V63" s="25"/>
      <c r="W63" s="25"/>
      <c r="X63" s="25"/>
      <c r="Y63" s="25"/>
      <c r="Z63" s="25"/>
      <c r="AA63" s="25"/>
      <c r="AB63" s="25"/>
      <c r="AC63" s="54">
        <v>11640</v>
      </c>
      <c r="AD63" s="54">
        <v>3493</v>
      </c>
      <c r="AE63" s="54">
        <f>SUM(AC60:AC63)</f>
        <v>48118</v>
      </c>
      <c r="AH63" s="25"/>
      <c r="AI63" s="25">
        <f t="shared" si="19"/>
        <v>5.6712985519674144E-2</v>
      </c>
      <c r="AJ63" s="25">
        <f t="shared" si="4"/>
        <v>-1.045651619484822E-2</v>
      </c>
      <c r="AK63" s="25">
        <f>AE63/AE59-1</f>
        <v>-1.1382314266929705E-2</v>
      </c>
      <c r="AL63" s="25"/>
      <c r="AM63" s="25"/>
      <c r="AN63" s="25">
        <f t="shared" si="16"/>
        <v>-0.24317295188556565</v>
      </c>
      <c r="AP63" s="59">
        <v>3111</v>
      </c>
      <c r="AQ63" s="59">
        <v>916</v>
      </c>
      <c r="AR63" s="54">
        <f>SUM(AP60:AP63)</f>
        <v>12012</v>
      </c>
      <c r="AU63" s="25"/>
      <c r="AV63" s="25">
        <f t="shared" si="20"/>
        <v>1.5157568552552084E-2</v>
      </c>
      <c r="AW63" s="25">
        <f t="shared" si="5"/>
        <v>4.0468227424749204E-2</v>
      </c>
      <c r="AX63" s="25">
        <f>AR63/AR59-1</f>
        <v>1.3499831252109296E-2</v>
      </c>
      <c r="AY63" s="25"/>
      <c r="AZ63" s="25"/>
      <c r="BA63" s="25">
        <f t="shared" si="17"/>
        <v>0.2797202797202798</v>
      </c>
    </row>
    <row r="64" spans="1:53" s="54" customFormat="1" ht="14.25" x14ac:dyDescent="0.2">
      <c r="A64" s="60"/>
      <c r="B64" s="74">
        <v>38779</v>
      </c>
      <c r="D64" s="54">
        <v>17152</v>
      </c>
      <c r="E64" s="54">
        <v>5846</v>
      </c>
      <c r="I64" s="25"/>
      <c r="J64" s="25">
        <f t="shared" si="18"/>
        <v>8.356882539806279E-2</v>
      </c>
      <c r="K64" s="25">
        <f t="shared" si="3"/>
        <v>0.12031352057478761</v>
      </c>
      <c r="L64" s="25"/>
      <c r="M64" s="25"/>
      <c r="N64" s="25"/>
      <c r="O64" s="25">
        <f t="shared" si="15"/>
        <v>0.98174465626805318</v>
      </c>
      <c r="P64" s="25"/>
      <c r="V64" s="25"/>
      <c r="W64" s="25"/>
      <c r="X64" s="25"/>
      <c r="Y64" s="25"/>
      <c r="Z64" s="25"/>
      <c r="AA64" s="25"/>
      <c r="AB64" s="25"/>
      <c r="AC64" s="54">
        <v>13250</v>
      </c>
      <c r="AD64" s="54">
        <v>3936</v>
      </c>
      <c r="AH64" s="25"/>
      <c r="AI64" s="25">
        <f t="shared" si="19"/>
        <v>6.4557307399972716E-2</v>
      </c>
      <c r="AJ64" s="25">
        <f t="shared" si="4"/>
        <v>0.13831615120274909</v>
      </c>
      <c r="AK64" s="25"/>
      <c r="AL64" s="25"/>
      <c r="AM64" s="25"/>
      <c r="AN64" s="25">
        <f t="shared" si="16"/>
        <v>-0.24975935677481453</v>
      </c>
      <c r="AP64" s="59">
        <v>3110</v>
      </c>
      <c r="AQ64" s="59">
        <v>1024</v>
      </c>
      <c r="AU64" s="25"/>
      <c r="AV64" s="25">
        <f t="shared" si="20"/>
        <v>1.5152696302936992E-2</v>
      </c>
      <c r="AW64" s="25">
        <f t="shared" si="5"/>
        <v>-3.2144005143042165E-4</v>
      </c>
      <c r="AX64" s="25"/>
      <c r="AY64" s="25"/>
      <c r="AZ64" s="25"/>
      <c r="BA64" s="25">
        <f t="shared" si="17"/>
        <v>0.1874761359297441</v>
      </c>
    </row>
    <row r="65" spans="1:53" s="54" customFormat="1" ht="14.25" x14ac:dyDescent="0.2">
      <c r="A65" s="60"/>
      <c r="B65" s="74">
        <v>38786</v>
      </c>
      <c r="D65" s="54">
        <v>16849</v>
      </c>
      <c r="E65" s="54">
        <v>5837</v>
      </c>
      <c r="I65" s="25"/>
      <c r="J65" s="25">
        <f t="shared" si="18"/>
        <v>8.2092533764689835E-2</v>
      </c>
      <c r="K65" s="25">
        <f t="shared" si="3"/>
        <v>-1.7665578358208922E-2</v>
      </c>
      <c r="L65" s="25"/>
      <c r="M65" s="25"/>
      <c r="N65" s="25">
        <f>(F63+F67)/(F11+F15)-1</f>
        <v>7.703837413573611E-3</v>
      </c>
      <c r="O65" s="25">
        <f t="shared" si="15"/>
        <v>1.0099009900990099</v>
      </c>
      <c r="P65" s="25"/>
      <c r="V65" s="25"/>
      <c r="W65" s="25"/>
      <c r="X65" s="25"/>
      <c r="Y65" s="25"/>
      <c r="Z65" s="25"/>
      <c r="AA65" s="25"/>
      <c r="AB65" s="25"/>
      <c r="AC65" s="54">
        <v>12388</v>
      </c>
      <c r="AD65" s="54">
        <v>3907</v>
      </c>
      <c r="AH65" s="25"/>
      <c r="AI65" s="25">
        <f t="shared" si="19"/>
        <v>6.0357428231763169E-2</v>
      </c>
      <c r="AJ65" s="25">
        <f t="shared" si="4"/>
        <v>-6.5056603773584909E-2</v>
      </c>
      <c r="AK65" s="25"/>
      <c r="AL65" s="25"/>
      <c r="AM65" s="25">
        <f>(AE63+AE67)/(AE11+AE15)-1</f>
        <v>-0.62462652219023762</v>
      </c>
      <c r="AN65" s="25">
        <f t="shared" si="16"/>
        <v>-0.22473246135552916</v>
      </c>
      <c r="AP65" s="59">
        <v>3134</v>
      </c>
      <c r="AQ65" s="59">
        <v>953</v>
      </c>
      <c r="AU65" s="25"/>
      <c r="AV65" s="25">
        <f t="shared" si="20"/>
        <v>1.5269630293699207E-2</v>
      </c>
      <c r="AW65" s="25">
        <f t="shared" si="5"/>
        <v>7.7170418006431429E-3</v>
      </c>
      <c r="AX65" s="25"/>
      <c r="AY65" s="25"/>
      <c r="AZ65" s="25">
        <f>(AR63+AR67)/(AR11+AR15)-1</f>
        <v>-0.3771324863883847</v>
      </c>
      <c r="BA65" s="25">
        <f t="shared" si="17"/>
        <v>0.33589087809036666</v>
      </c>
    </row>
    <row r="66" spans="1:53" s="54" customFormat="1" ht="14.25" x14ac:dyDescent="0.2">
      <c r="A66" s="60"/>
      <c r="B66" s="74">
        <v>38793</v>
      </c>
      <c r="D66" s="54">
        <v>16419</v>
      </c>
      <c r="E66" s="54">
        <v>5684</v>
      </c>
      <c r="I66" s="25"/>
      <c r="J66" s="25">
        <f t="shared" si="18"/>
        <v>7.9997466430200156E-2</v>
      </c>
      <c r="K66" s="25">
        <f t="shared" si="3"/>
        <v>-2.552080242150867E-2</v>
      </c>
      <c r="L66" s="25"/>
      <c r="M66" s="25"/>
      <c r="N66" s="25"/>
      <c r="O66" s="25">
        <f t="shared" si="15"/>
        <v>1.0003654970760234</v>
      </c>
      <c r="P66" s="25"/>
      <c r="V66" s="25"/>
      <c r="W66" s="25"/>
      <c r="X66" s="25"/>
      <c r="Y66" s="25"/>
      <c r="Z66" s="25"/>
      <c r="AA66" s="25"/>
      <c r="AB66" s="25"/>
      <c r="AC66" s="54">
        <v>11739</v>
      </c>
      <c r="AD66" s="54">
        <v>3618</v>
      </c>
      <c r="AH66" s="25"/>
      <c r="AI66" s="25">
        <f t="shared" si="19"/>
        <v>5.7195338231568277E-2</v>
      </c>
      <c r="AJ66" s="25">
        <f t="shared" si="4"/>
        <v>-5.2389409105586093E-2</v>
      </c>
      <c r="AK66" s="25"/>
      <c r="AL66" s="25"/>
      <c r="AM66" s="25"/>
      <c r="AN66" s="25">
        <f t="shared" si="16"/>
        <v>-0.22468793342579751</v>
      </c>
      <c r="AP66" s="59">
        <v>2990</v>
      </c>
      <c r="AQ66" s="59">
        <v>943</v>
      </c>
      <c r="AU66" s="25"/>
      <c r="AV66" s="25">
        <f t="shared" si="20"/>
        <v>1.4568026349125919E-2</v>
      </c>
      <c r="AW66" s="25">
        <f t="shared" si="5"/>
        <v>-4.5947670708359922E-2</v>
      </c>
      <c r="AX66" s="25"/>
      <c r="AY66" s="25"/>
      <c r="AZ66" s="25"/>
      <c r="BA66" s="25">
        <f t="shared" si="17"/>
        <v>0.24947764312578347</v>
      </c>
    </row>
    <row r="67" spans="1:53" s="54" customFormat="1" ht="14.25" x14ac:dyDescent="0.2">
      <c r="A67" s="60"/>
      <c r="B67" s="74">
        <v>38800</v>
      </c>
      <c r="D67" s="54">
        <v>16242</v>
      </c>
      <c r="E67" s="54">
        <v>5711</v>
      </c>
      <c r="I67" s="25"/>
      <c r="J67" s="25">
        <f t="shared" si="18"/>
        <v>7.9135078248328813E-2</v>
      </c>
      <c r="K67" s="25">
        <f t="shared" si="3"/>
        <v>-1.0780193678055938E-2</v>
      </c>
      <c r="L67" s="25"/>
      <c r="M67" s="25"/>
      <c r="N67" s="25"/>
      <c r="O67" s="25">
        <f t="shared" si="15"/>
        <v>0.95357228770748126</v>
      </c>
      <c r="P67" s="25"/>
      <c r="V67" s="25"/>
      <c r="W67" s="25"/>
      <c r="X67" s="25"/>
      <c r="Y67" s="25"/>
      <c r="Z67" s="25"/>
      <c r="AA67" s="25"/>
      <c r="AB67" s="25"/>
      <c r="AC67" s="54">
        <v>11435</v>
      </c>
      <c r="AD67" s="54">
        <v>3519</v>
      </c>
      <c r="AH67" s="25"/>
      <c r="AI67" s="25">
        <f t="shared" si="19"/>
        <v>5.5714174348580225E-2</v>
      </c>
      <c r="AJ67" s="25">
        <f t="shared" si="4"/>
        <v>-2.5896584036118941E-2</v>
      </c>
      <c r="AK67" s="25"/>
      <c r="AL67" s="25"/>
      <c r="AM67" s="25"/>
      <c r="AN67" s="25">
        <f t="shared" si="16"/>
        <v>-0.22647635797875942</v>
      </c>
      <c r="AP67" s="59">
        <v>3130</v>
      </c>
      <c r="AQ67" s="59">
        <v>949</v>
      </c>
      <c r="AU67" s="25"/>
      <c r="AV67" s="25">
        <f t="shared" si="20"/>
        <v>1.5250141295238837E-2</v>
      </c>
      <c r="AW67" s="25">
        <f t="shared" si="5"/>
        <v>4.6822742474916357E-2</v>
      </c>
      <c r="AX67" s="25"/>
      <c r="AY67" s="25"/>
      <c r="AZ67" s="25"/>
      <c r="BA67" s="25">
        <f t="shared" si="17"/>
        <v>0.24701195219123506</v>
      </c>
    </row>
    <row r="68" spans="1:53" s="54" customFormat="1" ht="14.25" x14ac:dyDescent="0.2">
      <c r="A68" s="60"/>
      <c r="B68" s="74">
        <v>38807</v>
      </c>
      <c r="D68" s="54">
        <v>16790</v>
      </c>
      <c r="E68" s="54">
        <v>5817</v>
      </c>
      <c r="F68" s="54">
        <f>SUM(D64:D68)</f>
        <v>83452</v>
      </c>
      <c r="G68" s="54">
        <f>SUM(F59:F68)</f>
        <v>205244</v>
      </c>
      <c r="H68" s="54">
        <v>248946</v>
      </c>
      <c r="I68" s="25">
        <f>G68/H68-1</f>
        <v>-0.17554811083528155</v>
      </c>
      <c r="J68" s="25">
        <f t="shared" si="18"/>
        <v>8.1805071037399382E-2</v>
      </c>
      <c r="K68" s="25">
        <f t="shared" si="3"/>
        <v>3.3739687230636584E-2</v>
      </c>
      <c r="L68" s="25">
        <f>F68/F63-1</f>
        <v>0.33469812075169925</v>
      </c>
      <c r="M68" s="25">
        <f>G68/G55-1</f>
        <v>0.11253008390971564</v>
      </c>
      <c r="N68" s="25"/>
      <c r="O68" s="25">
        <f t="shared" si="15"/>
        <v>0.87555853440571929</v>
      </c>
      <c r="P68" s="25"/>
      <c r="V68" s="25"/>
      <c r="W68" s="25"/>
      <c r="X68" s="25"/>
      <c r="Y68" s="25"/>
      <c r="Z68" s="25"/>
      <c r="AA68" s="25"/>
      <c r="AB68" s="25"/>
      <c r="AC68" s="54">
        <v>11611</v>
      </c>
      <c r="AD68" s="54">
        <v>3388</v>
      </c>
      <c r="AE68" s="54">
        <f>SUM(AC64:AC68)</f>
        <v>60423</v>
      </c>
      <c r="AF68" s="54">
        <f>SUM(AE59:AE68)</f>
        <v>157213</v>
      </c>
      <c r="AG68" s="54">
        <v>191775</v>
      </c>
      <c r="AH68" s="25">
        <f>AF68/AG68-1</f>
        <v>-0.18022161387042102</v>
      </c>
      <c r="AI68" s="25">
        <f t="shared" si="19"/>
        <v>5.6571690280836466E-2</v>
      </c>
      <c r="AJ68" s="25">
        <f t="shared" si="4"/>
        <v>1.5391342369917016E-2</v>
      </c>
      <c r="AK68" s="25">
        <f>AE68/AE63-1</f>
        <v>0.25572550812585737</v>
      </c>
      <c r="AL68" s="25">
        <f>AF68/AF55-1</f>
        <v>-9.1679618213437619E-2</v>
      </c>
      <c r="AM68" s="25"/>
      <c r="AN68" s="25">
        <f t="shared" si="16"/>
        <v>-0.2574187771808647</v>
      </c>
      <c r="AP68" s="59">
        <v>3017</v>
      </c>
      <c r="AQ68" s="59">
        <v>981</v>
      </c>
      <c r="AR68" s="54">
        <f>SUM(AP64:AP68)</f>
        <v>15381</v>
      </c>
      <c r="AS68" s="54">
        <f>SUM(AR59:AR68)</f>
        <v>39245</v>
      </c>
      <c r="AT68" s="54">
        <v>52665</v>
      </c>
      <c r="AU68" s="25">
        <f>AS68/AT68-1</f>
        <v>-0.25481819044906484</v>
      </c>
      <c r="AV68" s="25">
        <f t="shared" si="20"/>
        <v>1.469957708873341E-2</v>
      </c>
      <c r="AW68" s="25">
        <f t="shared" si="5"/>
        <v>-3.6102236421725276E-2</v>
      </c>
      <c r="AX68" s="25">
        <f>AR68/AR63-1</f>
        <v>0.28046953046953038</v>
      </c>
      <c r="AY68" s="25">
        <f>AS68/AS55-1</f>
        <v>2.4031938211042769E-2</v>
      </c>
      <c r="AZ68" s="25"/>
      <c r="BA68" s="25">
        <f t="shared" si="17"/>
        <v>0.27730736663844202</v>
      </c>
    </row>
    <row r="69" spans="1:53" s="54" customFormat="1" ht="14.25" x14ac:dyDescent="0.2">
      <c r="A69" s="60"/>
      <c r="B69" s="74">
        <v>38814</v>
      </c>
      <c r="D69" s="54">
        <v>17444</v>
      </c>
      <c r="E69" s="54">
        <v>5766</v>
      </c>
      <c r="I69" s="25"/>
      <c r="J69" s="25">
        <f>D69/$G$81</f>
        <v>7.3576366481502564E-2</v>
      </c>
      <c r="K69" s="25">
        <f t="shared" si="3"/>
        <v>3.8951756998213183E-2</v>
      </c>
      <c r="L69" s="25"/>
      <c r="M69" s="25"/>
      <c r="N69" s="25"/>
      <c r="O69" s="25">
        <f t="shared" si="15"/>
        <v>0.90312022692559468</v>
      </c>
      <c r="P69" s="25"/>
      <c r="V69" s="25"/>
      <c r="W69" s="25"/>
      <c r="X69" s="25"/>
      <c r="Y69" s="25"/>
      <c r="Z69" s="25"/>
      <c r="AA69" s="25"/>
      <c r="AB69" s="25"/>
      <c r="AC69" s="54">
        <v>12350</v>
      </c>
      <c r="AD69" s="54">
        <v>3609</v>
      </c>
      <c r="AH69" s="25"/>
      <c r="AI69" s="25">
        <f>AC69/$G$81</f>
        <v>5.2090582781848013E-2</v>
      </c>
      <c r="AJ69" s="25">
        <f t="shared" si="4"/>
        <v>6.3646542072173018E-2</v>
      </c>
      <c r="AK69" s="25"/>
      <c r="AL69" s="25"/>
      <c r="AM69" s="25"/>
      <c r="AN69" s="25">
        <f t="shared" si="16"/>
        <v>-0.23453576298500067</v>
      </c>
      <c r="AP69" s="59">
        <v>3137</v>
      </c>
      <c r="AQ69" s="59">
        <v>913</v>
      </c>
      <c r="AU69" s="25"/>
      <c r="AV69" s="25">
        <f>AP69/$G$81</f>
        <v>1.3231429812684796E-2</v>
      </c>
      <c r="AW69" s="25">
        <f t="shared" si="5"/>
        <v>3.9774610540271871E-2</v>
      </c>
      <c r="AX69" s="25"/>
      <c r="AY69" s="25"/>
      <c r="AZ69" s="25"/>
      <c r="BA69" s="25">
        <f t="shared" si="17"/>
        <v>0.30165975103734444</v>
      </c>
    </row>
    <row r="70" spans="1:53" s="54" customFormat="1" ht="14.25" x14ac:dyDescent="0.2">
      <c r="A70" s="60"/>
      <c r="B70" s="74">
        <v>38821</v>
      </c>
      <c r="D70" s="54">
        <v>17044</v>
      </c>
      <c r="E70" s="54">
        <v>5795</v>
      </c>
      <c r="I70" s="25"/>
      <c r="J70" s="25">
        <f t="shared" ref="J70:J81" si="21">D70/$G$81</f>
        <v>7.1889222099904254E-2</v>
      </c>
      <c r="K70" s="25">
        <f t="shared" ref="K70:K133" si="22">D70/D69-1</f>
        <v>-2.2930520522815856E-2</v>
      </c>
      <c r="L70" s="25"/>
      <c r="M70" s="25"/>
      <c r="N70" s="25">
        <f>(F68+F72)/(F15+F20)-1</f>
        <v>0.90653202351678264</v>
      </c>
      <c r="O70" s="25">
        <f t="shared" si="15"/>
        <v>0.83091631754216344</v>
      </c>
      <c r="P70" s="25"/>
      <c r="V70" s="25"/>
      <c r="W70" s="25"/>
      <c r="X70" s="25"/>
      <c r="Y70" s="25"/>
      <c r="Z70" s="25"/>
      <c r="AA70" s="25"/>
      <c r="AB70" s="25"/>
      <c r="AC70" s="54">
        <v>11674</v>
      </c>
      <c r="AD70" s="54">
        <v>3439</v>
      </c>
      <c r="AH70" s="25"/>
      <c r="AI70" s="25">
        <f t="shared" ref="AI70:AI81" si="23">AC70/$G$81</f>
        <v>4.9239308776946857E-2</v>
      </c>
      <c r="AJ70" s="25">
        <f t="shared" ref="AJ70:AJ133" si="24">AC70/AC69-1</f>
        <v>-5.4736842105263195E-2</v>
      </c>
      <c r="AK70" s="25"/>
      <c r="AL70" s="25"/>
      <c r="AM70" s="25">
        <f>(AE68+AE72)/(AE15+AE20)-1</f>
        <v>-0.23558715315584589</v>
      </c>
      <c r="AN70" s="25">
        <f t="shared" si="16"/>
        <v>-0.22328675981370594</v>
      </c>
      <c r="AP70" s="59">
        <v>3229</v>
      </c>
      <c r="AQ70" s="59">
        <v>944</v>
      </c>
      <c r="AU70" s="25"/>
      <c r="AV70" s="25">
        <f t="shared" ref="AV70:AV81" si="25">AP70/$G$81</f>
        <v>1.3619473020452407E-2</v>
      </c>
      <c r="AW70" s="25">
        <f t="shared" ref="AW70:AW133" si="26">AP70/AP69-1</f>
        <v>2.9327382849856587E-2</v>
      </c>
      <c r="AX70" s="25"/>
      <c r="AY70" s="25"/>
      <c r="AZ70" s="25">
        <f>(AR68+AR72)/(AR15+AR20)-1</f>
        <v>0.26114707346883348</v>
      </c>
      <c r="BA70" s="25">
        <f t="shared" si="17"/>
        <v>0.26976012583562725</v>
      </c>
    </row>
    <row r="71" spans="1:53" s="54" customFormat="1" ht="14.25" x14ac:dyDescent="0.2">
      <c r="A71" s="60"/>
      <c r="B71" s="74">
        <v>38828</v>
      </c>
      <c r="D71" s="54">
        <v>17347</v>
      </c>
      <c r="E71" s="54">
        <v>5911</v>
      </c>
      <c r="I71" s="25"/>
      <c r="J71" s="25">
        <f t="shared" si="21"/>
        <v>7.3167233968964976E-2</v>
      </c>
      <c r="K71" s="25">
        <f t="shared" si="22"/>
        <v>1.777751701478536E-2</v>
      </c>
      <c r="L71" s="25"/>
      <c r="M71" s="25"/>
      <c r="N71" s="25"/>
      <c r="O71" s="25">
        <f t="shared" si="15"/>
        <v>0.83488470488682043</v>
      </c>
      <c r="P71" s="25"/>
      <c r="V71" s="25"/>
      <c r="W71" s="25"/>
      <c r="X71" s="25"/>
      <c r="Y71" s="25"/>
      <c r="Z71" s="25"/>
      <c r="AA71" s="25"/>
      <c r="AB71" s="25"/>
      <c r="AC71" s="54">
        <v>11226</v>
      </c>
      <c r="AD71" s="54">
        <v>3303</v>
      </c>
      <c r="AH71" s="25"/>
      <c r="AI71" s="25">
        <f t="shared" si="23"/>
        <v>4.7349707069556747E-2</v>
      </c>
      <c r="AJ71" s="25">
        <f t="shared" si="24"/>
        <v>-3.8375878019530574E-2</v>
      </c>
      <c r="AK71" s="25"/>
      <c r="AL71" s="25"/>
      <c r="AM71" s="25"/>
      <c r="AN71" s="25">
        <f t="shared" si="16"/>
        <v>-0.24924764261352239</v>
      </c>
      <c r="AP71" s="59">
        <v>2984</v>
      </c>
      <c r="AQ71" s="59">
        <v>917</v>
      </c>
      <c r="AU71" s="25"/>
      <c r="AV71" s="25">
        <f t="shared" si="25"/>
        <v>1.2586097086723438E-2</v>
      </c>
      <c r="AW71" s="25">
        <f t="shared" si="26"/>
        <v>-7.5874883864973652E-2</v>
      </c>
      <c r="AX71" s="25"/>
      <c r="AY71" s="25"/>
      <c r="AZ71" s="25"/>
      <c r="BA71" s="25">
        <f t="shared" si="17"/>
        <v>0.22646937936703648</v>
      </c>
    </row>
    <row r="72" spans="1:53" s="54" customFormat="1" ht="14.25" x14ac:dyDescent="0.2">
      <c r="A72" s="60"/>
      <c r="B72" s="74">
        <v>38835</v>
      </c>
      <c r="D72" s="54">
        <v>17451</v>
      </c>
      <c r="E72" s="54">
        <v>5979</v>
      </c>
      <c r="F72" s="54">
        <f>SUM(D69:D72)</f>
        <v>69286</v>
      </c>
      <c r="I72" s="25"/>
      <c r="J72" s="25">
        <f t="shared" si="21"/>
        <v>7.3605891508180546E-2</v>
      </c>
      <c r="K72" s="25">
        <f t="shared" si="22"/>
        <v>5.995272957860065E-3</v>
      </c>
      <c r="L72" s="25">
        <f>F72/F68-1</f>
        <v>-0.16975027560753486</v>
      </c>
      <c r="M72" s="25"/>
      <c r="N72" s="25"/>
      <c r="O72" s="25">
        <f t="shared" si="15"/>
        <v>0.80428039702233245</v>
      </c>
      <c r="P72" s="25"/>
      <c r="V72" s="25"/>
      <c r="W72" s="25"/>
      <c r="X72" s="25"/>
      <c r="Y72" s="25"/>
      <c r="Z72" s="25"/>
      <c r="AA72" s="25"/>
      <c r="AB72" s="25"/>
      <c r="AC72" s="54">
        <v>11740</v>
      </c>
      <c r="AD72" s="54">
        <v>3530</v>
      </c>
      <c r="AE72" s="54">
        <f>SUM(AC69:AC72)</f>
        <v>46990</v>
      </c>
      <c r="AH72" s="25"/>
      <c r="AI72" s="25">
        <f t="shared" si="23"/>
        <v>4.9517687599910584E-2</v>
      </c>
      <c r="AJ72" s="25">
        <f t="shared" si="24"/>
        <v>4.5786566898271763E-2</v>
      </c>
      <c r="AK72" s="25">
        <f>AE72/AE68-1</f>
        <v>-0.2223160054945964</v>
      </c>
      <c r="AL72" s="25"/>
      <c r="AM72" s="25"/>
      <c r="AN72" s="25">
        <f t="shared" si="16"/>
        <v>-0.22763157894736841</v>
      </c>
      <c r="AP72" s="59">
        <v>3129</v>
      </c>
      <c r="AQ72" s="59">
        <v>929</v>
      </c>
      <c r="AR72" s="54">
        <f>SUM(AP69:AP72)</f>
        <v>12479</v>
      </c>
      <c r="AU72" s="25"/>
      <c r="AV72" s="25">
        <f t="shared" si="25"/>
        <v>1.3197686925052828E-2</v>
      </c>
      <c r="AW72" s="25">
        <f t="shared" si="26"/>
        <v>4.8592493297587191E-2</v>
      </c>
      <c r="AX72" s="25">
        <f>AR72/AR68-1</f>
        <v>-0.18867433846954029</v>
      </c>
      <c r="AY72" s="25"/>
      <c r="AZ72" s="25"/>
      <c r="BA72" s="25">
        <f t="shared" si="17"/>
        <v>0.26424242424242417</v>
      </c>
    </row>
    <row r="73" spans="1:53" s="54" customFormat="1" ht="14.25" x14ac:dyDescent="0.2">
      <c r="A73" s="60"/>
      <c r="B73" s="74">
        <v>38842</v>
      </c>
      <c r="D73" s="54">
        <v>18955</v>
      </c>
      <c r="E73" s="54">
        <v>6324</v>
      </c>
      <c r="I73" s="25"/>
      <c r="J73" s="25">
        <f t="shared" si="21"/>
        <v>7.9949554382990215E-2</v>
      </c>
      <c r="K73" s="25">
        <f t="shared" si="22"/>
        <v>8.6184172826772043E-2</v>
      </c>
      <c r="L73" s="25"/>
      <c r="M73" s="25"/>
      <c r="N73" s="25"/>
      <c r="O73" s="25">
        <f t="shared" si="15"/>
        <v>0.83352679435093835</v>
      </c>
      <c r="P73" s="25"/>
      <c r="V73" s="25"/>
      <c r="W73" s="25"/>
      <c r="X73" s="25"/>
      <c r="Y73" s="25"/>
      <c r="Z73" s="25"/>
      <c r="AA73" s="25"/>
      <c r="AB73" s="25"/>
      <c r="AC73" s="54">
        <v>12912</v>
      </c>
      <c r="AD73" s="54">
        <v>3814</v>
      </c>
      <c r="AH73" s="25"/>
      <c r="AI73" s="25">
        <f t="shared" si="23"/>
        <v>5.446102063799365E-2</v>
      </c>
      <c r="AJ73" s="25">
        <f t="shared" si="24"/>
        <v>9.9829642248722372E-2</v>
      </c>
      <c r="AK73" s="25"/>
      <c r="AL73" s="25"/>
      <c r="AM73" s="25"/>
      <c r="AN73" s="25">
        <f t="shared" si="16"/>
        <v>-0.22291766971593641</v>
      </c>
      <c r="AP73" s="59">
        <v>3146</v>
      </c>
      <c r="AQ73" s="59">
        <v>910</v>
      </c>
      <c r="AU73" s="25"/>
      <c r="AV73" s="25">
        <f t="shared" si="25"/>
        <v>1.3269390561270758E-2</v>
      </c>
      <c r="AW73" s="25">
        <f t="shared" si="26"/>
        <v>5.4330457015021594E-3</v>
      </c>
      <c r="AX73" s="25"/>
      <c r="AY73" s="25"/>
      <c r="AZ73" s="25"/>
      <c r="BA73" s="25">
        <f t="shared" si="17"/>
        <v>0.24841269841269842</v>
      </c>
    </row>
    <row r="74" spans="1:53" s="54" customFormat="1" ht="14.25" x14ac:dyDescent="0.2">
      <c r="A74" s="60"/>
      <c r="B74" s="74">
        <v>38849</v>
      </c>
      <c r="D74" s="54">
        <v>17564</v>
      </c>
      <c r="E74" s="54">
        <v>5947</v>
      </c>
      <c r="I74" s="25"/>
      <c r="J74" s="25">
        <f t="shared" si="21"/>
        <v>7.4082509795982063E-2</v>
      </c>
      <c r="K74" s="25">
        <f t="shared" si="22"/>
        <v>-7.3384331310999751E-2</v>
      </c>
      <c r="L74" s="25"/>
      <c r="M74" s="25"/>
      <c r="N74" s="25">
        <f>(F72+F76)/(F20+F24)-1</f>
        <v>0.62847758666071574</v>
      </c>
      <c r="O74" s="25">
        <f t="shared" si="15"/>
        <v>0.77074301844944038</v>
      </c>
      <c r="P74" s="25"/>
      <c r="V74" s="25"/>
      <c r="W74" s="25"/>
      <c r="X74" s="25"/>
      <c r="Y74" s="25"/>
      <c r="Z74" s="25"/>
      <c r="AA74" s="25"/>
      <c r="AB74" s="25"/>
      <c r="AC74" s="54">
        <v>11433</v>
      </c>
      <c r="AD74" s="54">
        <v>3233</v>
      </c>
      <c r="AH74" s="25"/>
      <c r="AI74" s="25">
        <f t="shared" si="23"/>
        <v>4.8222804287033877E-2</v>
      </c>
      <c r="AJ74" s="25">
        <f t="shared" si="24"/>
        <v>-0.11454460966542745</v>
      </c>
      <c r="AK74" s="25"/>
      <c r="AL74" s="25"/>
      <c r="AM74" s="25">
        <f>(AE72+AE76)/(AE20+AE24)-1</f>
        <v>-0.3171782249891415</v>
      </c>
      <c r="AN74" s="25">
        <f t="shared" si="16"/>
        <v>-0.23611946281820007</v>
      </c>
      <c r="AP74" s="59">
        <v>3079</v>
      </c>
      <c r="AQ74" s="59">
        <v>908</v>
      </c>
      <c r="AU74" s="25"/>
      <c r="AV74" s="25">
        <f t="shared" si="25"/>
        <v>1.2986793877353039E-2</v>
      </c>
      <c r="AW74" s="25">
        <f t="shared" si="26"/>
        <v>-2.129688493324855E-2</v>
      </c>
      <c r="AX74" s="25"/>
      <c r="AY74" s="25"/>
      <c r="AZ74" s="25">
        <f>(AR72+AR76)/(AR20+AR24)-1</f>
        <v>0.13937029307685322</v>
      </c>
      <c r="BA74" s="25">
        <f t="shared" si="17"/>
        <v>0.28613199665831246</v>
      </c>
    </row>
    <row r="75" spans="1:53" s="54" customFormat="1" ht="14.25" x14ac:dyDescent="0.2">
      <c r="A75" s="60"/>
      <c r="B75" s="74">
        <v>38856</v>
      </c>
      <c r="D75" s="54">
        <v>18219</v>
      </c>
      <c r="E75" s="54">
        <v>6094</v>
      </c>
      <c r="I75" s="25"/>
      <c r="J75" s="25">
        <f t="shared" si="21"/>
        <v>7.6845208720849309E-2</v>
      </c>
      <c r="K75" s="25">
        <f t="shared" si="22"/>
        <v>3.7292188567524587E-2</v>
      </c>
      <c r="L75" s="25"/>
      <c r="M75" s="25"/>
      <c r="N75" s="25"/>
      <c r="O75" s="25">
        <f t="shared" si="15"/>
        <v>0.7971000197277569</v>
      </c>
      <c r="P75" s="25"/>
      <c r="V75" s="25"/>
      <c r="W75" s="25"/>
      <c r="X75" s="25"/>
      <c r="Y75" s="25"/>
      <c r="Z75" s="25"/>
      <c r="AA75" s="25"/>
      <c r="AB75" s="25"/>
      <c r="AC75" s="54">
        <v>11373</v>
      </c>
      <c r="AD75" s="54">
        <v>3297</v>
      </c>
      <c r="AH75" s="25"/>
      <c r="AI75" s="25">
        <f t="shared" si="23"/>
        <v>4.7969732629794128E-2</v>
      </c>
      <c r="AJ75" s="25">
        <f t="shared" si="24"/>
        <v>-5.2479664130149484E-3</v>
      </c>
      <c r="AK75" s="25"/>
      <c r="AL75" s="25"/>
      <c r="AM75" s="25"/>
      <c r="AN75" s="25">
        <f t="shared" si="16"/>
        <v>-0.22044005757762697</v>
      </c>
      <c r="AP75" s="59">
        <v>3147</v>
      </c>
      <c r="AQ75" s="59">
        <v>910</v>
      </c>
      <c r="AU75" s="25"/>
      <c r="AV75" s="25">
        <f t="shared" si="25"/>
        <v>1.3273608422224753E-2</v>
      </c>
      <c r="AW75" s="25">
        <f t="shared" si="26"/>
        <v>2.2085092562520225E-2</v>
      </c>
      <c r="AX75" s="25"/>
      <c r="AY75" s="25"/>
      <c r="AZ75" s="25"/>
      <c r="BA75" s="25">
        <f t="shared" si="17"/>
        <v>0.31398747390396653</v>
      </c>
    </row>
    <row r="76" spans="1:53" s="54" customFormat="1" ht="14.25" x14ac:dyDescent="0.2">
      <c r="A76" s="60"/>
      <c r="B76" s="74">
        <v>38863</v>
      </c>
      <c r="D76" s="54">
        <v>18274</v>
      </c>
      <c r="E76" s="54">
        <v>6058</v>
      </c>
      <c r="F76" s="54">
        <f>SUM(D73:D76)</f>
        <v>73012</v>
      </c>
      <c r="I76" s="25"/>
      <c r="J76" s="25">
        <f t="shared" si="21"/>
        <v>7.7077191073319076E-2</v>
      </c>
      <c r="K76" s="25">
        <f t="shared" si="22"/>
        <v>3.0188264998078918E-3</v>
      </c>
      <c r="L76" s="25">
        <f>F76/F72-1</f>
        <v>5.3777097826400722E-2</v>
      </c>
      <c r="M76" s="25"/>
      <c r="N76" s="25"/>
      <c r="O76" s="25">
        <f t="shared" si="15"/>
        <v>0.75155755774944888</v>
      </c>
      <c r="P76" s="25"/>
      <c r="V76" s="25"/>
      <c r="W76" s="25"/>
      <c r="X76" s="25"/>
      <c r="Y76" s="25"/>
      <c r="Z76" s="25"/>
      <c r="AA76" s="25"/>
      <c r="AB76" s="25"/>
      <c r="AC76" s="54">
        <v>11617</v>
      </c>
      <c r="AD76" s="54">
        <v>3349</v>
      </c>
      <c r="AE76" s="54">
        <f>SUM(AC73:AC76)</f>
        <v>47335</v>
      </c>
      <c r="AH76" s="25"/>
      <c r="AI76" s="25">
        <f t="shared" si="23"/>
        <v>4.8998890702569096E-2</v>
      </c>
      <c r="AJ76" s="25">
        <f t="shared" si="24"/>
        <v>2.1454321638969542E-2</v>
      </c>
      <c r="AK76" s="25">
        <f>AE76/AE72-1</f>
        <v>7.3419876569482678E-3</v>
      </c>
      <c r="AL76" s="25"/>
      <c r="AM76" s="25"/>
      <c r="AN76" s="25">
        <f t="shared" si="16"/>
        <v>-0.22630702630702626</v>
      </c>
      <c r="AP76" s="59">
        <v>3263</v>
      </c>
      <c r="AQ76" s="59">
        <v>975</v>
      </c>
      <c r="AR76" s="54">
        <f>SUM(AP73:AP76)</f>
        <v>12635</v>
      </c>
      <c r="AU76" s="25"/>
      <c r="AV76" s="25">
        <f t="shared" si="25"/>
        <v>1.3762880292888264E-2</v>
      </c>
      <c r="AW76" s="25">
        <f t="shared" si="26"/>
        <v>3.68605020654591E-2</v>
      </c>
      <c r="AX76" s="25">
        <f>AR76/AR72-1</f>
        <v>1.2501001682827084E-2</v>
      </c>
      <c r="AY76" s="25"/>
      <c r="AZ76" s="25"/>
      <c r="BA76" s="25">
        <f t="shared" si="17"/>
        <v>0.30000000000000004</v>
      </c>
    </row>
    <row r="77" spans="1:53" s="54" customFormat="1" ht="14.25" x14ac:dyDescent="0.2">
      <c r="A77" s="60"/>
      <c r="B77" s="74">
        <v>38870</v>
      </c>
      <c r="D77" s="54">
        <v>18302</v>
      </c>
      <c r="E77" s="54">
        <v>5863</v>
      </c>
      <c r="I77" s="25"/>
      <c r="J77" s="25">
        <f t="shared" si="21"/>
        <v>7.7195291180030962E-2</v>
      </c>
      <c r="K77" s="25">
        <f t="shared" si="22"/>
        <v>1.5322315858596891E-3</v>
      </c>
      <c r="L77" s="25"/>
      <c r="M77" s="25"/>
      <c r="N77" s="25"/>
      <c r="O77" s="25">
        <f t="shared" si="15"/>
        <v>0.83497092440344889</v>
      </c>
      <c r="P77" s="25"/>
      <c r="V77" s="25"/>
      <c r="W77" s="25"/>
      <c r="X77" s="25"/>
      <c r="Y77" s="25"/>
      <c r="Z77" s="25"/>
      <c r="AA77" s="25"/>
      <c r="AB77" s="25"/>
      <c r="AC77" s="54">
        <v>11694</v>
      </c>
      <c r="AD77" s="54">
        <v>3393</v>
      </c>
      <c r="AH77" s="25"/>
      <c r="AI77" s="25">
        <f t="shared" si="23"/>
        <v>4.9323665996026778E-2</v>
      </c>
      <c r="AJ77" s="25">
        <f t="shared" si="24"/>
        <v>6.6282172677971651E-3</v>
      </c>
      <c r="AK77" s="25"/>
      <c r="AL77" s="25"/>
      <c r="AM77" s="25"/>
      <c r="AN77" s="25">
        <f t="shared" si="16"/>
        <v>-0.22837347410095676</v>
      </c>
      <c r="AP77" s="59">
        <v>3054</v>
      </c>
      <c r="AQ77" s="59">
        <v>850</v>
      </c>
      <c r="AU77" s="25"/>
      <c r="AV77" s="25">
        <f t="shared" si="25"/>
        <v>1.2881347353503145E-2</v>
      </c>
      <c r="AW77" s="25">
        <f t="shared" si="26"/>
        <v>-6.4051486362243337E-2</v>
      </c>
      <c r="AX77" s="25"/>
      <c r="AY77" s="25"/>
      <c r="AZ77" s="25"/>
      <c r="BA77" s="25">
        <f t="shared" si="17"/>
        <v>0.21818907060231352</v>
      </c>
    </row>
    <row r="78" spans="1:53" s="54" customFormat="1" ht="14.25" x14ac:dyDescent="0.2">
      <c r="A78" s="60"/>
      <c r="B78" s="74">
        <v>38877</v>
      </c>
      <c r="D78" s="54">
        <v>18963</v>
      </c>
      <c r="E78" s="54">
        <v>6251</v>
      </c>
      <c r="I78" s="25"/>
      <c r="J78" s="25">
        <f t="shared" si="21"/>
        <v>7.9983297270622172E-2</v>
      </c>
      <c r="K78" s="25">
        <f t="shared" si="22"/>
        <v>3.6116271445743697E-2</v>
      </c>
      <c r="L78" s="25"/>
      <c r="M78" s="25"/>
      <c r="N78" s="25">
        <f>(F76+F80)/(F24+F28)-1</f>
        <v>-0.11936121966517099</v>
      </c>
      <c r="O78" s="25">
        <f t="shared" si="15"/>
        <v>0.76564245810055875</v>
      </c>
      <c r="P78" s="25"/>
      <c r="V78" s="25"/>
      <c r="W78" s="25"/>
      <c r="X78" s="25"/>
      <c r="Y78" s="25"/>
      <c r="Z78" s="25"/>
      <c r="AA78" s="25"/>
      <c r="AB78" s="25"/>
      <c r="AC78" s="54">
        <v>12213</v>
      </c>
      <c r="AD78" s="54">
        <v>3707</v>
      </c>
      <c r="AH78" s="25"/>
      <c r="AI78" s="25">
        <f t="shared" si="23"/>
        <v>5.151273583115059E-2</v>
      </c>
      <c r="AJ78" s="25">
        <f t="shared" si="24"/>
        <v>4.4381734222678215E-2</v>
      </c>
      <c r="AK78" s="25"/>
      <c r="AL78" s="25"/>
      <c r="AM78" s="25">
        <f>(AE76+AE80)/(AE24+AE28)-1</f>
        <v>-0.6041164860163255</v>
      </c>
      <c r="AN78" s="25">
        <f t="shared" si="16"/>
        <v>-0.17295320647389445</v>
      </c>
      <c r="AP78" s="59">
        <v>3226</v>
      </c>
      <c r="AQ78" s="59">
        <v>943</v>
      </c>
      <c r="AU78" s="25"/>
      <c r="AV78" s="25">
        <f t="shared" si="25"/>
        <v>1.360681943759042E-2</v>
      </c>
      <c r="AW78" s="25">
        <f t="shared" si="26"/>
        <v>5.6319580877537634E-2</v>
      </c>
      <c r="AX78" s="25"/>
      <c r="AY78" s="25"/>
      <c r="AZ78" s="25">
        <f>(AR76+AR80)/(AR24+AR28)-1</f>
        <v>-0.36132032553202242</v>
      </c>
      <c r="BA78" s="25">
        <f t="shared" si="17"/>
        <v>0.23886328725038397</v>
      </c>
    </row>
    <row r="79" spans="1:53" s="54" customFormat="1" ht="14.25" x14ac:dyDescent="0.2">
      <c r="A79" s="60"/>
      <c r="B79" s="74">
        <v>38884</v>
      </c>
      <c r="D79" s="54">
        <v>18834</v>
      </c>
      <c r="E79" s="54">
        <v>6131</v>
      </c>
      <c r="I79" s="25"/>
      <c r="J79" s="25">
        <f t="shared" si="21"/>
        <v>7.9439193207556713E-2</v>
      </c>
      <c r="K79" s="25">
        <f t="shared" si="22"/>
        <v>-6.8027210884353817E-3</v>
      </c>
      <c r="L79" s="25"/>
      <c r="M79" s="25"/>
      <c r="N79" s="25"/>
      <c r="O79" s="25">
        <f t="shared" si="15"/>
        <v>0.79988532110091737</v>
      </c>
      <c r="P79" s="25"/>
      <c r="V79" s="25"/>
      <c r="W79" s="25"/>
      <c r="X79" s="25"/>
      <c r="Y79" s="25"/>
      <c r="Z79" s="25"/>
      <c r="AA79" s="25"/>
      <c r="AB79" s="25"/>
      <c r="AC79" s="54">
        <v>11368</v>
      </c>
      <c r="AD79" s="54">
        <v>3449</v>
      </c>
      <c r="AH79" s="25"/>
      <c r="AI79" s="25">
        <f t="shared" si="23"/>
        <v>4.7948643325024146E-2</v>
      </c>
      <c r="AJ79" s="25">
        <f t="shared" si="24"/>
        <v>-6.9188569557029345E-2</v>
      </c>
      <c r="AK79" s="25"/>
      <c r="AL79" s="25"/>
      <c r="AM79" s="25"/>
      <c r="AN79" s="25">
        <f t="shared" si="16"/>
        <v>-0.19909821051148369</v>
      </c>
      <c r="AP79" s="59">
        <v>3093</v>
      </c>
      <c r="AQ79" s="59">
        <v>941</v>
      </c>
      <c r="AU79" s="25"/>
      <c r="AV79" s="25">
        <f t="shared" si="25"/>
        <v>1.304584393070898E-2</v>
      </c>
      <c r="AW79" s="25">
        <f t="shared" si="26"/>
        <v>-4.1227526348419086E-2</v>
      </c>
      <c r="AX79" s="25"/>
      <c r="AY79" s="25"/>
      <c r="AZ79" s="25"/>
      <c r="BA79" s="25">
        <f t="shared" si="17"/>
        <v>0.28233830845771135</v>
      </c>
    </row>
    <row r="80" spans="1:53" s="54" customFormat="1" ht="14.25" x14ac:dyDescent="0.2">
      <c r="A80" s="60"/>
      <c r="B80" s="74">
        <v>38891</v>
      </c>
      <c r="D80" s="54">
        <v>19007</v>
      </c>
      <c r="E80" s="54">
        <v>6267</v>
      </c>
      <c r="I80" s="25"/>
      <c r="J80" s="25">
        <f t="shared" si="21"/>
        <v>8.0168883152597986E-2</v>
      </c>
      <c r="K80" s="25">
        <f t="shared" si="22"/>
        <v>9.1855155569713354E-3</v>
      </c>
      <c r="L80" s="25"/>
      <c r="M80" s="25"/>
      <c r="N80" s="25"/>
      <c r="O80" s="25">
        <f t="shared" si="15"/>
        <v>0.74344157035406355</v>
      </c>
      <c r="P80" s="25"/>
      <c r="V80" s="25"/>
      <c r="W80" s="25"/>
      <c r="X80" s="25"/>
      <c r="Y80" s="25"/>
      <c r="Z80" s="25"/>
      <c r="AA80" s="25"/>
      <c r="AB80" s="25"/>
      <c r="AC80" s="54">
        <v>11740</v>
      </c>
      <c r="AD80" s="54">
        <v>3561</v>
      </c>
      <c r="AH80" s="25"/>
      <c r="AI80" s="25">
        <f t="shared" si="23"/>
        <v>4.9517687599910584E-2</v>
      </c>
      <c r="AJ80" s="25">
        <f t="shared" si="24"/>
        <v>3.2723434201266777E-2</v>
      </c>
      <c r="AK80" s="25"/>
      <c r="AL80" s="25"/>
      <c r="AM80" s="25"/>
      <c r="AN80" s="25">
        <f t="shared" si="16"/>
        <v>-0.17700665965650197</v>
      </c>
      <c r="AP80" s="59">
        <v>3175</v>
      </c>
      <c r="AQ80" s="59">
        <v>965</v>
      </c>
      <c r="AU80" s="25"/>
      <c r="AV80" s="25">
        <f t="shared" si="25"/>
        <v>1.3391708528936635E-2</v>
      </c>
      <c r="AW80" s="25">
        <f t="shared" si="26"/>
        <v>2.6511477529906236E-2</v>
      </c>
      <c r="AX80" s="25"/>
      <c r="AY80" s="25"/>
      <c r="AZ80" s="25"/>
      <c r="BA80" s="25">
        <f t="shared" si="17"/>
        <v>0.30069643588693151</v>
      </c>
    </row>
    <row r="81" spans="1:53" s="54" customFormat="1" ht="14.25" x14ac:dyDescent="0.2">
      <c r="A81" s="60"/>
      <c r="B81" s="74">
        <v>38898</v>
      </c>
      <c r="D81" s="54">
        <v>19683</v>
      </c>
      <c r="E81" s="54">
        <v>6340</v>
      </c>
      <c r="F81" s="54">
        <f>SUM(D77:D81)</f>
        <v>94789</v>
      </c>
      <c r="G81" s="54">
        <f>SUM(F72:F81)</f>
        <v>237087</v>
      </c>
      <c r="H81" s="54">
        <v>299255</v>
      </c>
      <c r="I81" s="25">
        <f>G81/H81-1</f>
        <v>-0.20774256069238606</v>
      </c>
      <c r="J81" s="25">
        <f t="shared" si="21"/>
        <v>8.302015715749915E-2</v>
      </c>
      <c r="K81" s="25">
        <f t="shared" si="22"/>
        <v>3.5565844162676941E-2</v>
      </c>
      <c r="L81" s="25">
        <f>F81/F76-1</f>
        <v>0.29826603845943134</v>
      </c>
      <c r="M81" s="25">
        <f>G81/G68-1</f>
        <v>0.15514704449338357</v>
      </c>
      <c r="N81" s="25"/>
      <c r="O81" s="25">
        <f t="shared" si="15"/>
        <v>0.69287004386342144</v>
      </c>
      <c r="P81" s="25"/>
      <c r="V81" s="25"/>
      <c r="W81" s="25"/>
      <c r="X81" s="25"/>
      <c r="Y81" s="25"/>
      <c r="Z81" s="25"/>
      <c r="AA81" s="25"/>
      <c r="AB81" s="25"/>
      <c r="AC81" s="54">
        <v>12076</v>
      </c>
      <c r="AD81" s="54">
        <v>3576</v>
      </c>
      <c r="AE81" s="54">
        <f>SUM(AC77:AC81)</f>
        <v>59091</v>
      </c>
      <c r="AF81" s="54">
        <f>SUM(AE72:AE81)</f>
        <v>153416</v>
      </c>
      <c r="AG81" s="54">
        <v>167441</v>
      </c>
      <c r="AH81" s="25">
        <f>AF81/AG81-1</f>
        <v>-8.3760847104353164E-2</v>
      </c>
      <c r="AI81" s="25">
        <f t="shared" si="23"/>
        <v>5.0934888880453166E-2</v>
      </c>
      <c r="AJ81" s="25">
        <f t="shared" si="24"/>
        <v>2.8620102214650833E-2</v>
      </c>
      <c r="AK81" s="25">
        <f>AE81/AE76-1</f>
        <v>0.24835745220238725</v>
      </c>
      <c r="AL81" s="25">
        <f>AF81/AF68-1</f>
        <v>-2.4151946721963191E-2</v>
      </c>
      <c r="AM81" s="25"/>
      <c r="AN81" s="25">
        <f t="shared" si="16"/>
        <v>-0.21843246391819304</v>
      </c>
      <c r="AP81" s="59">
        <v>3278</v>
      </c>
      <c r="AQ81" s="59">
        <v>1019</v>
      </c>
      <c r="AR81" s="54">
        <f>SUM(AP77:AP81)</f>
        <v>15826</v>
      </c>
      <c r="AS81" s="54">
        <f>SUM(AR72:AR81)</f>
        <v>40940</v>
      </c>
      <c r="AT81" s="54">
        <v>56844</v>
      </c>
      <c r="AU81" s="25">
        <f>AS81/AT81-1</f>
        <v>-0.27978326648370977</v>
      </c>
      <c r="AV81" s="25">
        <f t="shared" si="25"/>
        <v>1.3826148207198201E-2</v>
      </c>
      <c r="AW81" s="25">
        <f t="shared" si="26"/>
        <v>3.2440944881889866E-2</v>
      </c>
      <c r="AX81" s="25">
        <f>AR81/AR76-1</f>
        <v>0.25255243371586866</v>
      </c>
      <c r="AY81" s="25">
        <f>AS81/AS68-1</f>
        <v>4.3190215314052649E-2</v>
      </c>
      <c r="AZ81" s="25"/>
      <c r="BA81" s="25">
        <f t="shared" si="17"/>
        <v>0.17913669064748206</v>
      </c>
    </row>
    <row r="82" spans="1:53" s="54" customFormat="1" ht="14.25" x14ac:dyDescent="0.2">
      <c r="A82" s="60"/>
      <c r="B82" s="74">
        <v>38905</v>
      </c>
      <c r="D82" s="54">
        <v>18298</v>
      </c>
      <c r="E82" s="54">
        <v>5849</v>
      </c>
      <c r="I82" s="25"/>
      <c r="J82" s="25">
        <f>D82/$G$94</f>
        <v>7.5385724585436187E-2</v>
      </c>
      <c r="K82" s="25">
        <f t="shared" si="22"/>
        <v>-7.036528984402779E-2</v>
      </c>
      <c r="L82" s="25"/>
      <c r="M82" s="25"/>
      <c r="N82" s="25"/>
      <c r="O82" s="25">
        <f t="shared" si="15"/>
        <v>0.75335377539287074</v>
      </c>
      <c r="P82" s="25"/>
      <c r="V82" s="25"/>
      <c r="W82" s="25"/>
      <c r="X82" s="25"/>
      <c r="Y82" s="25"/>
      <c r="Z82" s="25"/>
      <c r="AA82" s="25"/>
      <c r="AB82" s="25"/>
      <c r="AC82" s="54">
        <v>11271</v>
      </c>
      <c r="AD82" s="54">
        <v>3152</v>
      </c>
      <c r="AH82" s="25"/>
      <c r="AI82" s="25">
        <f>AC82/$G$94</f>
        <v>4.6435266247811309E-2</v>
      </c>
      <c r="AJ82" s="25">
        <f t="shared" si="24"/>
        <v>-6.6661146074859179E-2</v>
      </c>
      <c r="AK82" s="25"/>
      <c r="AL82" s="25"/>
      <c r="AM82" s="25"/>
      <c r="AN82" s="25">
        <f t="shared" si="16"/>
        <v>-0.20604395604395609</v>
      </c>
      <c r="AP82" s="59">
        <v>3062</v>
      </c>
      <c r="AQ82" s="59">
        <v>851</v>
      </c>
      <c r="AU82" s="25"/>
      <c r="AV82" s="25">
        <f>AP82/$G$94</f>
        <v>1.2615099392316408E-2</v>
      </c>
      <c r="AW82" s="25">
        <f t="shared" si="26"/>
        <v>-6.5893837705918279E-2</v>
      </c>
      <c r="AX82" s="25"/>
      <c r="AY82" s="25"/>
      <c r="AZ82" s="25"/>
      <c r="BA82" s="25">
        <f t="shared" si="17"/>
        <v>0.26476662536142093</v>
      </c>
    </row>
    <row r="83" spans="1:53" s="54" customFormat="1" ht="14.25" x14ac:dyDescent="0.2">
      <c r="A83" s="60"/>
      <c r="B83" s="74">
        <v>38912</v>
      </c>
      <c r="D83" s="54">
        <v>19728</v>
      </c>
      <c r="E83" s="54">
        <v>6555</v>
      </c>
      <c r="I83" s="25"/>
      <c r="J83" s="25">
        <f t="shared" ref="J83:J94" si="27">D83/$G$94</f>
        <v>8.1277165516531052E-2</v>
      </c>
      <c r="K83" s="25">
        <f t="shared" si="22"/>
        <v>7.8150617553831125E-2</v>
      </c>
      <c r="L83" s="25"/>
      <c r="M83" s="25"/>
      <c r="N83" s="25">
        <f>(F81+F85)/(F28+F33)-1</f>
        <v>0.7353165135286055</v>
      </c>
      <c r="O83" s="25">
        <f t="shared" si="15"/>
        <v>0.69630266552020625</v>
      </c>
      <c r="P83" s="25"/>
      <c r="V83" s="25"/>
      <c r="W83" s="25"/>
      <c r="X83" s="25"/>
      <c r="Y83" s="25"/>
      <c r="Z83" s="25"/>
      <c r="AA83" s="25"/>
      <c r="AB83" s="25"/>
      <c r="AC83" s="54">
        <v>11671</v>
      </c>
      <c r="AD83" s="54">
        <v>3437</v>
      </c>
      <c r="AH83" s="25"/>
      <c r="AI83" s="25">
        <f t="shared" ref="AI83:AI94" si="28">AC83/$G$94</f>
        <v>4.8083221753012668E-2</v>
      </c>
      <c r="AJ83" s="25">
        <f t="shared" si="24"/>
        <v>3.5489308845710221E-2</v>
      </c>
      <c r="AK83" s="25"/>
      <c r="AL83" s="25"/>
      <c r="AM83" s="25">
        <f>(AE81+AE85)/(AE28+AE33)-1</f>
        <v>-0.19809591027303208</v>
      </c>
      <c r="AN83" s="25">
        <f t="shared" si="16"/>
        <v>-0.18917604557454493</v>
      </c>
      <c r="AP83" s="59">
        <v>3270</v>
      </c>
      <c r="AQ83" s="59">
        <v>977</v>
      </c>
      <c r="AU83" s="25"/>
      <c r="AV83" s="25">
        <f t="shared" ref="AV83:AV94" si="29">AP83/$G$94</f>
        <v>1.3472036255021115E-2</v>
      </c>
      <c r="AW83" s="25">
        <f t="shared" si="26"/>
        <v>6.7929457870672838E-2</v>
      </c>
      <c r="AX83" s="25"/>
      <c r="AY83" s="25"/>
      <c r="AZ83" s="25">
        <f>(AR81+AR85)/(AR28+AR33)-1</f>
        <v>0.23758617680425864</v>
      </c>
      <c r="BA83" s="25">
        <f t="shared" si="17"/>
        <v>0.21155983697665803</v>
      </c>
    </row>
    <row r="84" spans="1:53" s="54" customFormat="1" ht="14.25" x14ac:dyDescent="0.2">
      <c r="A84" s="60"/>
      <c r="B84" s="74">
        <v>38919</v>
      </c>
      <c r="D84" s="54">
        <v>19199</v>
      </c>
      <c r="E84" s="54">
        <v>6193</v>
      </c>
      <c r="I84" s="25"/>
      <c r="J84" s="25">
        <f t="shared" si="27"/>
        <v>7.909774436090225E-2</v>
      </c>
      <c r="K84" s="25">
        <f t="shared" si="22"/>
        <v>-2.6814679643146766E-2</v>
      </c>
      <c r="L84" s="25"/>
      <c r="M84" s="25"/>
      <c r="N84" s="25"/>
      <c r="O84" s="25">
        <f t="shared" si="15"/>
        <v>0.67020443671161378</v>
      </c>
      <c r="P84" s="25"/>
      <c r="Q84" s="54">
        <v>354</v>
      </c>
      <c r="R84" s="54">
        <v>354</v>
      </c>
      <c r="V84" s="25"/>
      <c r="W84" s="25">
        <f t="shared" ref="W84:W94" si="30">Q84/$G$94</f>
        <v>1.4584406221032032E-3</v>
      </c>
      <c r="X84" s="25"/>
      <c r="Y84" s="25"/>
      <c r="Z84" s="25"/>
      <c r="AA84" s="25"/>
      <c r="AB84" s="25"/>
      <c r="AC84" s="54">
        <v>11131</v>
      </c>
      <c r="AD84" s="54">
        <v>3346</v>
      </c>
      <c r="AH84" s="25"/>
      <c r="AI84" s="25">
        <f t="shared" si="28"/>
        <v>4.585848182099083E-2</v>
      </c>
      <c r="AJ84" s="25">
        <f t="shared" si="24"/>
        <v>-4.6268528832148048E-2</v>
      </c>
      <c r="AK84" s="25"/>
      <c r="AL84" s="25"/>
      <c r="AM84" s="25"/>
      <c r="AN84" s="25">
        <f t="shared" si="16"/>
        <v>-0.20837778251902428</v>
      </c>
      <c r="AP84" s="59">
        <v>3116</v>
      </c>
      <c r="AQ84" s="59">
        <v>944</v>
      </c>
      <c r="AU84" s="25"/>
      <c r="AV84" s="25">
        <f t="shared" si="29"/>
        <v>1.2837573385518591E-2</v>
      </c>
      <c r="AW84" s="25">
        <f t="shared" si="26"/>
        <v>-4.7094801223241611E-2</v>
      </c>
      <c r="AX84" s="25"/>
      <c r="AY84" s="25"/>
      <c r="AZ84" s="25"/>
      <c r="BA84" s="25">
        <f t="shared" si="17"/>
        <v>0.25493354812726543</v>
      </c>
    </row>
    <row r="85" spans="1:53" s="54" customFormat="1" ht="14.25" x14ac:dyDescent="0.2">
      <c r="A85" s="60"/>
      <c r="B85" s="74">
        <v>38926</v>
      </c>
      <c r="D85" s="54">
        <v>18906</v>
      </c>
      <c r="E85" s="54">
        <v>6042</v>
      </c>
      <c r="F85" s="54">
        <f>SUM(D82:D85)</f>
        <v>76131</v>
      </c>
      <c r="I85" s="25"/>
      <c r="J85" s="25">
        <f t="shared" si="27"/>
        <v>7.7890616953342262E-2</v>
      </c>
      <c r="K85" s="25">
        <f t="shared" si="22"/>
        <v>-1.5261211521433449E-2</v>
      </c>
      <c r="L85" s="25">
        <f>F85/F81-1</f>
        <v>-0.19683718574940134</v>
      </c>
      <c r="M85" s="25"/>
      <c r="N85" s="25"/>
      <c r="O85" s="25">
        <f t="shared" si="15"/>
        <v>0.68397612897479299</v>
      </c>
      <c r="P85" s="25"/>
      <c r="Q85" s="54">
        <v>1062</v>
      </c>
      <c r="R85" s="54">
        <v>1060</v>
      </c>
      <c r="S85" s="54">
        <f>SUM(Q82:Q85)</f>
        <v>1416</v>
      </c>
      <c r="V85" s="25"/>
      <c r="W85" s="25">
        <f t="shared" si="30"/>
        <v>4.3753218663096097E-3</v>
      </c>
      <c r="X85" s="25">
        <f t="shared" ref="X85:X133" si="31">Q85/Q84-1</f>
        <v>2</v>
      </c>
      <c r="Y85" s="25"/>
      <c r="Z85" s="25"/>
      <c r="AA85" s="25"/>
      <c r="AB85" s="25"/>
      <c r="AC85" s="54">
        <v>11365</v>
      </c>
      <c r="AD85" s="54">
        <v>3369</v>
      </c>
      <c r="AE85" s="54">
        <f>SUM(AC82:AC85)</f>
        <v>45438</v>
      </c>
      <c r="AH85" s="25"/>
      <c r="AI85" s="25">
        <f t="shared" si="28"/>
        <v>4.6822535791533629E-2</v>
      </c>
      <c r="AJ85" s="25">
        <f t="shared" si="24"/>
        <v>2.1022369957775622E-2</v>
      </c>
      <c r="AK85" s="25">
        <f>AE85/AE81-1</f>
        <v>-0.23105041376859425</v>
      </c>
      <c r="AL85" s="25"/>
      <c r="AM85" s="25"/>
      <c r="AN85" s="25">
        <f t="shared" si="16"/>
        <v>-0.18048745312950676</v>
      </c>
      <c r="AP85" s="59">
        <v>3089</v>
      </c>
      <c r="AQ85" s="59">
        <v>901</v>
      </c>
      <c r="AR85" s="54">
        <f>SUM(AP82:AP85)</f>
        <v>12537</v>
      </c>
      <c r="AU85" s="25"/>
      <c r="AV85" s="25">
        <f t="shared" si="29"/>
        <v>1.2726336388917498E-2</v>
      </c>
      <c r="AW85" s="25">
        <f t="shared" si="26"/>
        <v>-8.6649550706033862E-3</v>
      </c>
      <c r="AX85" s="25">
        <f>AR85/AR81-1</f>
        <v>-0.2078225704536838</v>
      </c>
      <c r="AY85" s="25"/>
      <c r="AZ85" s="25"/>
      <c r="BA85" s="25">
        <f t="shared" si="17"/>
        <v>0.20147802411513038</v>
      </c>
    </row>
    <row r="86" spans="1:53" s="54" customFormat="1" ht="14.25" x14ac:dyDescent="0.2">
      <c r="A86" s="60"/>
      <c r="B86" s="74">
        <v>38933</v>
      </c>
      <c r="D86" s="54">
        <v>19383</v>
      </c>
      <c r="E86" s="54">
        <v>6139</v>
      </c>
      <c r="I86" s="25"/>
      <c r="J86" s="25">
        <f t="shared" si="27"/>
        <v>7.9855803893294885E-2</v>
      </c>
      <c r="K86" s="25">
        <f t="shared" si="22"/>
        <v>2.5230085687083514E-2</v>
      </c>
      <c r="L86" s="25"/>
      <c r="M86" s="25"/>
      <c r="N86" s="25"/>
      <c r="O86" s="25">
        <f t="shared" si="15"/>
        <v>0.60881474103585664</v>
      </c>
      <c r="P86" s="25"/>
      <c r="Q86" s="54">
        <v>1339</v>
      </c>
      <c r="R86" s="54">
        <v>1329</v>
      </c>
      <c r="V86" s="25"/>
      <c r="W86" s="25">
        <f t="shared" si="30"/>
        <v>5.5165310536615508E-3</v>
      </c>
      <c r="X86" s="25">
        <f t="shared" si="31"/>
        <v>0.26082862523540484</v>
      </c>
      <c r="Y86" s="25"/>
      <c r="Z86" s="25"/>
      <c r="AA86" s="25"/>
      <c r="AB86" s="25"/>
      <c r="AC86" s="54">
        <v>11895</v>
      </c>
      <c r="AD86" s="54">
        <v>3460</v>
      </c>
      <c r="AH86" s="25"/>
      <c r="AI86" s="25">
        <f t="shared" si="28"/>
        <v>4.9006076835925429E-2</v>
      </c>
      <c r="AJ86" s="25">
        <f t="shared" si="24"/>
        <v>4.663440387153539E-2</v>
      </c>
      <c r="AK86" s="25"/>
      <c r="AL86" s="25"/>
      <c r="AM86" s="25"/>
      <c r="AN86" s="25">
        <f t="shared" si="16"/>
        <v>-0.217125180992497</v>
      </c>
      <c r="AP86" s="59">
        <v>3225</v>
      </c>
      <c r="AQ86" s="59">
        <v>941</v>
      </c>
      <c r="AU86" s="25"/>
      <c r="AV86" s="25">
        <f t="shared" si="29"/>
        <v>1.3286641260685961E-2</v>
      </c>
      <c r="AW86" s="25">
        <f t="shared" si="26"/>
        <v>4.4027193266429343E-2</v>
      </c>
      <c r="AX86" s="25"/>
      <c r="AY86" s="25"/>
      <c r="AZ86" s="25"/>
      <c r="BA86" s="25">
        <f t="shared" si="17"/>
        <v>0.21377493413624382</v>
      </c>
    </row>
    <row r="87" spans="1:53" s="54" customFormat="1" ht="14.25" x14ac:dyDescent="0.2">
      <c r="A87" s="60"/>
      <c r="B87" s="74">
        <v>38940</v>
      </c>
      <c r="D87" s="54">
        <v>19305</v>
      </c>
      <c r="E87" s="54">
        <v>6160</v>
      </c>
      <c r="I87" s="25"/>
      <c r="J87" s="25">
        <f t="shared" si="27"/>
        <v>7.9534452569780617E-2</v>
      </c>
      <c r="K87" s="25">
        <f t="shared" si="22"/>
        <v>-4.0241448692153181E-3</v>
      </c>
      <c r="L87" s="25"/>
      <c r="M87" s="25"/>
      <c r="N87" s="25">
        <f>(F85+F89)/(F33+F37)-1</f>
        <v>0.45882081945657505</v>
      </c>
      <c r="O87" s="25">
        <f t="shared" si="15"/>
        <v>0.62431636516617584</v>
      </c>
      <c r="P87" s="25"/>
      <c r="Q87" s="54">
        <v>1891</v>
      </c>
      <c r="R87" s="54">
        <v>1852</v>
      </c>
      <c r="V87" s="25"/>
      <c r="W87" s="25">
        <f t="shared" si="30"/>
        <v>7.7907096508394273E-3</v>
      </c>
      <c r="X87" s="25">
        <f t="shared" si="31"/>
        <v>0.41224794622852867</v>
      </c>
      <c r="Y87" s="25"/>
      <c r="Z87" s="25"/>
      <c r="AA87" s="25"/>
      <c r="AB87" s="25"/>
      <c r="AC87" s="54">
        <v>11385</v>
      </c>
      <c r="AD87" s="54">
        <v>3321</v>
      </c>
      <c r="AH87" s="25"/>
      <c r="AI87" s="25">
        <f t="shared" si="28"/>
        <v>4.6904933566793698E-2</v>
      </c>
      <c r="AJ87" s="25">
        <f t="shared" si="24"/>
        <v>-4.2875157629255978E-2</v>
      </c>
      <c r="AK87" s="25"/>
      <c r="AL87" s="25"/>
      <c r="AM87" s="25">
        <f>(AE85+AE89)/(AE33+AE37)-1</f>
        <v>-0.28976551981758325</v>
      </c>
      <c r="AN87" s="25">
        <f t="shared" si="16"/>
        <v>-0.19835234474017749</v>
      </c>
      <c r="AP87" s="59">
        <v>3272</v>
      </c>
      <c r="AQ87" s="59">
        <v>931</v>
      </c>
      <c r="AU87" s="25"/>
      <c r="AV87" s="25">
        <f t="shared" si="29"/>
        <v>1.3480276032547121E-2</v>
      </c>
      <c r="AW87" s="25">
        <f t="shared" si="26"/>
        <v>1.4573643410852766E-2</v>
      </c>
      <c r="AX87" s="25"/>
      <c r="AY87" s="25"/>
      <c r="AZ87" s="25">
        <f>(AR85+AR89)/(AR33+AR37)-1</f>
        <v>7.1805034363536802E-2</v>
      </c>
      <c r="BA87" s="25">
        <f t="shared" si="17"/>
        <v>0.22044013427825448</v>
      </c>
    </row>
    <row r="88" spans="1:53" s="54" customFormat="1" ht="14.25" x14ac:dyDescent="0.2">
      <c r="A88" s="60"/>
      <c r="B88" s="74">
        <v>38947</v>
      </c>
      <c r="D88" s="54">
        <v>18605</v>
      </c>
      <c r="E88" s="54">
        <v>5872</v>
      </c>
      <c r="I88" s="25"/>
      <c r="J88" s="25">
        <f t="shared" si="27"/>
        <v>7.6650530435678238E-2</v>
      </c>
      <c r="K88" s="25">
        <f t="shared" si="22"/>
        <v>-3.6260036260036266E-2</v>
      </c>
      <c r="L88" s="25"/>
      <c r="M88" s="25"/>
      <c r="N88" s="25"/>
      <c r="O88" s="25">
        <f t="shared" si="15"/>
        <v>0.54180823734150985</v>
      </c>
      <c r="P88" s="25"/>
      <c r="Q88" s="54">
        <v>2201</v>
      </c>
      <c r="R88" s="54">
        <v>2037</v>
      </c>
      <c r="V88" s="25"/>
      <c r="W88" s="25">
        <f t="shared" si="30"/>
        <v>9.0678751673704816E-3</v>
      </c>
      <c r="X88" s="25">
        <f t="shared" si="31"/>
        <v>0.16393442622950816</v>
      </c>
      <c r="Y88" s="25"/>
      <c r="Z88" s="25"/>
      <c r="AA88" s="25"/>
      <c r="AB88" s="25"/>
      <c r="AC88" s="54">
        <v>11249</v>
      </c>
      <c r="AD88" s="54">
        <v>3353</v>
      </c>
      <c r="AH88" s="25"/>
      <c r="AI88" s="25">
        <f t="shared" si="28"/>
        <v>4.6344628695025238E-2</v>
      </c>
      <c r="AJ88" s="25">
        <f t="shared" si="24"/>
        <v>-1.1945542380324969E-2</v>
      </c>
      <c r="AK88" s="25"/>
      <c r="AL88" s="25"/>
      <c r="AM88" s="25"/>
      <c r="AN88" s="25">
        <f t="shared" si="16"/>
        <v>-0.16593756951138128</v>
      </c>
      <c r="AP88" s="59">
        <v>3228</v>
      </c>
      <c r="AQ88" s="59">
        <v>988</v>
      </c>
      <c r="AU88" s="25"/>
      <c r="AV88" s="25">
        <f t="shared" si="29"/>
        <v>1.3299000926974973E-2</v>
      </c>
      <c r="AW88" s="25">
        <f t="shared" si="26"/>
        <v>-1.344743276283622E-2</v>
      </c>
      <c r="AX88" s="25"/>
      <c r="AY88" s="25"/>
      <c r="AZ88" s="25"/>
      <c r="BA88" s="25">
        <f t="shared" si="17"/>
        <v>0.19290465631929044</v>
      </c>
    </row>
    <row r="89" spans="1:53" s="54" customFormat="1" ht="14.25" x14ac:dyDescent="0.2">
      <c r="A89" s="60"/>
      <c r="B89" s="74">
        <v>38954</v>
      </c>
      <c r="D89" s="54">
        <v>18572</v>
      </c>
      <c r="E89" s="54">
        <v>5695</v>
      </c>
      <c r="F89" s="54">
        <f>SUM(D86:D89)</f>
        <v>75865</v>
      </c>
      <c r="I89" s="25"/>
      <c r="J89" s="25">
        <f t="shared" si="27"/>
        <v>7.6514574106499131E-2</v>
      </c>
      <c r="K89" s="25">
        <f t="shared" si="22"/>
        <v>-1.7737167428111267E-3</v>
      </c>
      <c r="L89" s="25">
        <f>F89/F85-1</f>
        <v>-3.4939774861751927E-3</v>
      </c>
      <c r="M89" s="25"/>
      <c r="N89" s="25"/>
      <c r="O89" s="25">
        <f t="shared" si="15"/>
        <v>0.57710597826086962</v>
      </c>
      <c r="P89" s="25"/>
      <c r="Q89" s="54">
        <v>2801</v>
      </c>
      <c r="R89" s="54">
        <v>2299</v>
      </c>
      <c r="S89" s="54">
        <f>SUM(Q86:Q89)</f>
        <v>8232</v>
      </c>
      <c r="V89" s="25"/>
      <c r="W89" s="25">
        <f t="shared" si="30"/>
        <v>1.1539808425172521E-2</v>
      </c>
      <c r="X89" s="25">
        <f t="shared" si="31"/>
        <v>0.27260336210813274</v>
      </c>
      <c r="Y89" s="25">
        <f>S89/S85-1</f>
        <v>4.8135593220338979</v>
      </c>
      <c r="Z89" s="25"/>
      <c r="AA89" s="25"/>
      <c r="AB89" s="25"/>
      <c r="AC89" s="54">
        <v>11296</v>
      </c>
      <c r="AD89" s="54">
        <v>3353</v>
      </c>
      <c r="AE89" s="54">
        <f>SUM(AC86:AC89)</f>
        <v>45825</v>
      </c>
      <c r="AH89" s="25"/>
      <c r="AI89" s="25">
        <f t="shared" si="28"/>
        <v>4.6538263466886394E-2</v>
      </c>
      <c r="AJ89" s="25">
        <f t="shared" si="24"/>
        <v>4.1781491688150929E-3</v>
      </c>
      <c r="AK89" s="25">
        <f>AE89/AE85-1</f>
        <v>8.5171002244817107E-3</v>
      </c>
      <c r="AL89" s="25"/>
      <c r="AM89" s="25"/>
      <c r="AN89" s="25">
        <f t="shared" si="16"/>
        <v>-0.17209029610085014</v>
      </c>
      <c r="AP89" s="59">
        <v>3158</v>
      </c>
      <c r="AQ89" s="59">
        <v>983</v>
      </c>
      <c r="AR89" s="54">
        <f>SUM(AP86:AP89)</f>
        <v>12883</v>
      </c>
      <c r="AU89" s="25"/>
      <c r="AV89" s="25">
        <f t="shared" si="29"/>
        <v>1.3010608713564733E-2</v>
      </c>
      <c r="AW89" s="25">
        <f t="shared" si="26"/>
        <v>-2.1685254027261514E-2</v>
      </c>
      <c r="AX89" s="25">
        <f>AR89/AR85-1</f>
        <v>2.7598309005344213E-2</v>
      </c>
      <c r="AY89" s="25"/>
      <c r="AZ89" s="25"/>
      <c r="BA89" s="25">
        <f t="shared" si="17"/>
        <v>0.16145641780066211</v>
      </c>
    </row>
    <row r="90" spans="1:53" s="54" customFormat="1" ht="14.25" x14ac:dyDescent="0.2">
      <c r="A90" s="60"/>
      <c r="B90" s="74">
        <v>38961</v>
      </c>
      <c r="D90" s="54">
        <v>19053</v>
      </c>
      <c r="E90" s="54">
        <v>5841</v>
      </c>
      <c r="I90" s="25"/>
      <c r="J90" s="25">
        <f t="shared" si="27"/>
        <v>7.8496240601503758E-2</v>
      </c>
      <c r="K90" s="25">
        <f t="shared" si="22"/>
        <v>2.5899203101443113E-2</v>
      </c>
      <c r="L90" s="25"/>
      <c r="M90" s="25"/>
      <c r="N90" s="25"/>
      <c r="O90" s="25">
        <f t="shared" si="15"/>
        <v>0.44319042569307676</v>
      </c>
      <c r="P90" s="25"/>
      <c r="Q90" s="54">
        <v>3022</v>
      </c>
      <c r="R90" s="54">
        <v>2235</v>
      </c>
      <c r="V90" s="25"/>
      <c r="W90" s="25">
        <f t="shared" si="30"/>
        <v>1.2450303841796271E-2</v>
      </c>
      <c r="X90" s="25">
        <f t="shared" si="31"/>
        <v>7.8900392716886758E-2</v>
      </c>
      <c r="Y90" s="25"/>
      <c r="Z90" s="25"/>
      <c r="AA90" s="25"/>
      <c r="AB90" s="25"/>
      <c r="AC90" s="54">
        <v>11955</v>
      </c>
      <c r="AD90" s="54">
        <v>3454</v>
      </c>
      <c r="AH90" s="25"/>
      <c r="AI90" s="25">
        <f t="shared" si="28"/>
        <v>4.9253270161705637E-2</v>
      </c>
      <c r="AJ90" s="25">
        <f t="shared" si="24"/>
        <v>5.8339235127478739E-2</v>
      </c>
      <c r="AK90" s="25"/>
      <c r="AL90" s="25"/>
      <c r="AM90" s="25"/>
      <c r="AN90" s="25">
        <f t="shared" si="16"/>
        <v>-0.21120348376880438</v>
      </c>
      <c r="AP90" s="59">
        <v>3214</v>
      </c>
      <c r="AQ90" s="59">
        <v>964</v>
      </c>
      <c r="AU90" s="25"/>
      <c r="AV90" s="25">
        <f t="shared" si="29"/>
        <v>1.3241322484292923E-2</v>
      </c>
      <c r="AW90" s="25">
        <f t="shared" si="26"/>
        <v>1.7732742241925337E-2</v>
      </c>
      <c r="AX90" s="25"/>
      <c r="AY90" s="25"/>
      <c r="AZ90" s="25"/>
      <c r="BA90" s="25">
        <f t="shared" si="17"/>
        <v>9.3197278911564707E-2</v>
      </c>
    </row>
    <row r="91" spans="1:53" s="54" customFormat="1" ht="14.25" x14ac:dyDescent="0.2">
      <c r="A91" s="60"/>
      <c r="B91" s="74">
        <v>38968</v>
      </c>
      <c r="D91" s="54">
        <v>17536</v>
      </c>
      <c r="E91" s="54">
        <v>5260</v>
      </c>
      <c r="I91" s="25"/>
      <c r="J91" s="25">
        <f t="shared" si="27"/>
        <v>7.2246369348027598E-2</v>
      </c>
      <c r="K91" s="25">
        <f t="shared" si="22"/>
        <v>-7.9620007347924182E-2</v>
      </c>
      <c r="L91" s="25"/>
      <c r="M91" s="25"/>
      <c r="N91" s="25">
        <f>(F89+F94)/(F37+F42)-1</f>
        <v>0.48564243418705866</v>
      </c>
      <c r="O91" s="25">
        <f t="shared" si="15"/>
        <v>0.45623650556385975</v>
      </c>
      <c r="P91" s="25"/>
      <c r="Q91" s="54">
        <v>3227</v>
      </c>
      <c r="R91" s="54">
        <v>2193</v>
      </c>
      <c r="V91" s="25"/>
      <c r="W91" s="25">
        <f t="shared" si="30"/>
        <v>1.3294881038211968E-2</v>
      </c>
      <c r="X91" s="25">
        <f t="shared" si="31"/>
        <v>6.7835870284579824E-2</v>
      </c>
      <c r="Y91" s="25"/>
      <c r="Z91" s="25"/>
      <c r="AA91" s="25"/>
      <c r="AB91" s="25"/>
      <c r="AC91" s="54">
        <v>10836</v>
      </c>
      <c r="AD91" s="54">
        <v>3085</v>
      </c>
      <c r="AH91" s="25"/>
      <c r="AI91" s="25">
        <f t="shared" si="28"/>
        <v>4.4643114635904833E-2</v>
      </c>
      <c r="AJ91" s="25">
        <f t="shared" si="24"/>
        <v>-9.3601003764115398E-2</v>
      </c>
      <c r="AK91" s="25"/>
      <c r="AL91" s="25"/>
      <c r="AM91" s="25">
        <f>(AE89+AE94)/(AE37+AE42)-1</f>
        <v>-0.19372747792341505</v>
      </c>
      <c r="AN91" s="25">
        <f t="shared" si="16"/>
        <v>-0.19320973866428415</v>
      </c>
      <c r="AP91" s="59">
        <v>3309</v>
      </c>
      <c r="AQ91" s="59">
        <v>910</v>
      </c>
      <c r="AU91" s="25"/>
      <c r="AV91" s="25">
        <f t="shared" si="29"/>
        <v>1.3632711916778248E-2</v>
      </c>
      <c r="AW91" s="25">
        <f t="shared" si="26"/>
        <v>2.9558182949595446E-2</v>
      </c>
      <c r="AX91" s="25"/>
      <c r="AY91" s="25"/>
      <c r="AZ91" s="25">
        <f>(AR89+AR94)/(AR37+AR42)-1</f>
        <v>0.1795528178872845</v>
      </c>
      <c r="BA91" s="25">
        <f t="shared" si="17"/>
        <v>0.26927502876869958</v>
      </c>
    </row>
    <row r="92" spans="1:53" s="54" customFormat="1" ht="14.25" x14ac:dyDescent="0.2">
      <c r="A92" s="60"/>
      <c r="B92" s="74">
        <v>38975</v>
      </c>
      <c r="D92" s="54">
        <v>18324</v>
      </c>
      <c r="E92" s="54">
        <v>5749</v>
      </c>
      <c r="I92" s="25"/>
      <c r="J92" s="25">
        <f t="shared" si="27"/>
        <v>7.5492841693274276E-2</v>
      </c>
      <c r="K92" s="25">
        <f t="shared" si="22"/>
        <v>4.4936131386861256E-2</v>
      </c>
      <c r="L92" s="25"/>
      <c r="M92" s="25"/>
      <c r="N92" s="25"/>
      <c r="O92" s="25">
        <f t="shared" si="15"/>
        <v>0.38419700861157269</v>
      </c>
      <c r="P92" s="25"/>
      <c r="Q92" s="54">
        <v>3935</v>
      </c>
      <c r="R92" s="54">
        <v>2528</v>
      </c>
      <c r="V92" s="25"/>
      <c r="W92" s="25">
        <f t="shared" si="30"/>
        <v>1.6211762282418374E-2</v>
      </c>
      <c r="X92" s="25">
        <f t="shared" si="31"/>
        <v>0.21939882243569886</v>
      </c>
      <c r="Y92" s="25"/>
      <c r="Z92" s="25"/>
      <c r="AA92" s="25"/>
      <c r="AB92" s="25"/>
      <c r="AC92" s="54">
        <v>11230</v>
      </c>
      <c r="AD92" s="54">
        <v>3305</v>
      </c>
      <c r="AH92" s="25"/>
      <c r="AI92" s="25">
        <f t="shared" si="28"/>
        <v>4.6266350808528173E-2</v>
      </c>
      <c r="AJ92" s="25">
        <f t="shared" si="24"/>
        <v>3.6360280546327006E-2</v>
      </c>
      <c r="AK92" s="25"/>
      <c r="AL92" s="25"/>
      <c r="AM92" s="25"/>
      <c r="AN92" s="25">
        <f t="shared" si="16"/>
        <v>-0.20076862856736177</v>
      </c>
      <c r="AP92" s="59">
        <v>3499</v>
      </c>
      <c r="AQ92" s="59">
        <v>1126</v>
      </c>
      <c r="AU92" s="25"/>
      <c r="AV92" s="25">
        <f t="shared" si="29"/>
        <v>1.4415490781748893E-2</v>
      </c>
      <c r="AW92" s="25">
        <f t="shared" si="26"/>
        <v>5.7419159867029279E-2</v>
      </c>
      <c r="AX92" s="25"/>
      <c r="AY92" s="25"/>
      <c r="AZ92" s="25"/>
      <c r="BA92" s="25">
        <f t="shared" si="17"/>
        <v>0.17771794008751263</v>
      </c>
    </row>
    <row r="93" spans="1:53" s="54" customFormat="1" ht="14.25" x14ac:dyDescent="0.2">
      <c r="A93" s="60"/>
      <c r="B93" s="74">
        <v>38982</v>
      </c>
      <c r="D93" s="54">
        <v>17996</v>
      </c>
      <c r="E93" s="54">
        <v>6015</v>
      </c>
      <c r="I93" s="25"/>
      <c r="J93" s="25">
        <f t="shared" si="27"/>
        <v>7.4141518179009172E-2</v>
      </c>
      <c r="K93" s="25">
        <f t="shared" si="22"/>
        <v>-1.7900021829294954E-2</v>
      </c>
      <c r="L93" s="25"/>
      <c r="M93" s="25"/>
      <c r="N93" s="25"/>
      <c r="O93" s="25">
        <f t="shared" si="15"/>
        <v>0.39677118907171693</v>
      </c>
      <c r="P93" s="25"/>
      <c r="Q93" s="54">
        <v>4263</v>
      </c>
      <c r="R93" s="54">
        <v>2626</v>
      </c>
      <c r="V93" s="25"/>
      <c r="W93" s="25">
        <f t="shared" si="30"/>
        <v>1.7563085796683489E-2</v>
      </c>
      <c r="X93" s="25">
        <f t="shared" si="31"/>
        <v>8.3354510800508264E-2</v>
      </c>
      <c r="Y93" s="25"/>
      <c r="Z93" s="25"/>
      <c r="AA93" s="25"/>
      <c r="AB93" s="25"/>
      <c r="AC93" s="54">
        <v>10878</v>
      </c>
      <c r="AD93" s="54">
        <v>3190</v>
      </c>
      <c r="AH93" s="25"/>
      <c r="AI93" s="25">
        <f t="shared" si="28"/>
        <v>4.4816149963950974E-2</v>
      </c>
      <c r="AJ93" s="25">
        <f t="shared" si="24"/>
        <v>-3.1344612644701675E-2</v>
      </c>
      <c r="AK93" s="25"/>
      <c r="AL93" s="25"/>
      <c r="AM93" s="25"/>
      <c r="AN93" s="25">
        <f t="shared" si="16"/>
        <v>-0.17690677966101698</v>
      </c>
      <c r="AP93" s="59">
        <v>3334</v>
      </c>
      <c r="AQ93" s="59">
        <v>1144</v>
      </c>
      <c r="AU93" s="25"/>
      <c r="AV93" s="25">
        <f t="shared" si="29"/>
        <v>1.3735709135853333E-2</v>
      </c>
      <c r="AW93" s="25">
        <f t="shared" si="26"/>
        <v>-4.715633038010858E-2</v>
      </c>
      <c r="AX93" s="25"/>
      <c r="AY93" s="25"/>
      <c r="AZ93" s="25"/>
      <c r="BA93" s="25">
        <f t="shared" si="17"/>
        <v>0.2036101083032491</v>
      </c>
    </row>
    <row r="94" spans="1:53" s="54" customFormat="1" ht="14.25" x14ac:dyDescent="0.2">
      <c r="A94" s="60"/>
      <c r="B94" s="74">
        <v>38989</v>
      </c>
      <c r="D94" s="54">
        <v>17820</v>
      </c>
      <c r="E94" s="54">
        <v>5722</v>
      </c>
      <c r="F94" s="54">
        <f>SUM(D90:D94)</f>
        <v>90729</v>
      </c>
      <c r="G94" s="54">
        <f>SUM(F85:F94)</f>
        <v>242725</v>
      </c>
      <c r="H94" s="54">
        <v>170624</v>
      </c>
      <c r="I94" s="25">
        <f>G94/H94-1</f>
        <v>0.42257243998499616</v>
      </c>
      <c r="J94" s="25">
        <f t="shared" si="27"/>
        <v>7.3416417756720573E-2</v>
      </c>
      <c r="K94" s="25">
        <f t="shared" si="22"/>
        <v>-9.7799511002445438E-3</v>
      </c>
      <c r="L94" s="25">
        <f>F94/F89-1</f>
        <v>0.19592697554867189</v>
      </c>
      <c r="M94" s="25">
        <f>G94/G81-1</f>
        <v>2.3780300058628301E-2</v>
      </c>
      <c r="N94" s="25"/>
      <c r="O94" s="25">
        <f t="shared" si="15"/>
        <v>0.3714021856241343</v>
      </c>
      <c r="P94" s="25"/>
      <c r="Q94" s="54">
        <v>4640</v>
      </c>
      <c r="R94" s="54">
        <v>2651</v>
      </c>
      <c r="S94" s="54">
        <f>SUM(Q90:Q94)</f>
        <v>19087</v>
      </c>
      <c r="T94" s="54">
        <f>SUM(S85:S94)</f>
        <v>28735</v>
      </c>
      <c r="U94" s="54">
        <v>68373</v>
      </c>
      <c r="V94" s="25">
        <f>T94/U94-1</f>
        <v>-0.57973176546297522</v>
      </c>
      <c r="W94" s="25">
        <f t="shared" si="30"/>
        <v>1.9116283860335773E-2</v>
      </c>
      <c r="X94" s="25">
        <f t="shared" si="31"/>
        <v>8.8435374149659962E-2</v>
      </c>
      <c r="Y94" s="25">
        <f>S94/S89-1</f>
        <v>1.3186345966958211</v>
      </c>
      <c r="Z94" s="25"/>
      <c r="AA94" s="25"/>
      <c r="AB94" s="25"/>
      <c r="AC94" s="54">
        <v>11080</v>
      </c>
      <c r="AD94" s="54">
        <v>3301</v>
      </c>
      <c r="AE94" s="54">
        <f>SUM(AC90:AC94)</f>
        <v>55979</v>
      </c>
      <c r="AF94" s="54">
        <f>SUM(AE85:AE94)</f>
        <v>147242</v>
      </c>
      <c r="AG94" s="54">
        <v>170624</v>
      </c>
      <c r="AH94" s="25">
        <f>AF94/AG94-1</f>
        <v>-0.1370381657914479</v>
      </c>
      <c r="AI94" s="25">
        <f t="shared" si="28"/>
        <v>4.5648367494077663E-2</v>
      </c>
      <c r="AJ94" s="25">
        <f t="shared" si="24"/>
        <v>1.8569589998161495E-2</v>
      </c>
      <c r="AK94" s="25">
        <f>AE94/AE89-1</f>
        <v>0.22158210583742499</v>
      </c>
      <c r="AL94" s="25">
        <f>AF94/AF81-1</f>
        <v>-4.0243520884392758E-2</v>
      </c>
      <c r="AM94" s="25"/>
      <c r="AN94" s="25">
        <f t="shared" si="16"/>
        <v>-0.20195908959953901</v>
      </c>
      <c r="AP94" s="59">
        <v>3251</v>
      </c>
      <c r="AQ94" s="59">
        <v>959</v>
      </c>
      <c r="AR94" s="54">
        <f>SUM(AP90:AP94)</f>
        <v>16607</v>
      </c>
      <c r="AS94" s="54">
        <f>SUM(AR85:AR94)</f>
        <v>42027</v>
      </c>
      <c r="AT94" s="54">
        <v>55113</v>
      </c>
      <c r="AU94" s="25">
        <f>AS94/AT94-1</f>
        <v>-0.23743944259974958</v>
      </c>
      <c r="AV94" s="25">
        <f t="shared" si="29"/>
        <v>1.339375836852405E-2</v>
      </c>
      <c r="AW94" s="25">
        <f t="shared" si="26"/>
        <v>-2.4895020995800876E-2</v>
      </c>
      <c r="AX94" s="25">
        <f>AR94/AR89-1</f>
        <v>0.28906310641931232</v>
      </c>
      <c r="AY94" s="25">
        <f>AS94/AS81-1</f>
        <v>2.6551050317537905E-2</v>
      </c>
      <c r="AZ94" s="25"/>
      <c r="BA94" s="25">
        <f t="shared" si="17"/>
        <v>0.1020338983050848</v>
      </c>
    </row>
    <row r="95" spans="1:53" s="54" customFormat="1" ht="14.25" x14ac:dyDescent="0.2">
      <c r="A95" s="60"/>
      <c r="B95" s="74">
        <v>38996</v>
      </c>
      <c r="D95" s="54">
        <v>18577</v>
      </c>
      <c r="E95" s="54">
        <v>5913</v>
      </c>
      <c r="I95" s="25"/>
      <c r="J95" s="25">
        <f>D95/$G$107</f>
        <v>8.3159496844084344E-2</v>
      </c>
      <c r="K95" s="25">
        <f t="shared" si="22"/>
        <v>4.2480359147025748E-2</v>
      </c>
      <c r="L95" s="25"/>
      <c r="M95" s="25"/>
      <c r="N95" s="25"/>
      <c r="O95" s="25">
        <f t="shared" si="15"/>
        <v>0.33302238805970141</v>
      </c>
      <c r="P95" s="25"/>
      <c r="Q95" s="54">
        <v>5156</v>
      </c>
      <c r="R95" s="54">
        <v>2750</v>
      </c>
      <c r="V95" s="25"/>
      <c r="W95" s="25">
        <f>Q95/$G$107</f>
        <v>2.3080710864407539E-2</v>
      </c>
      <c r="X95" s="25">
        <f t="shared" si="31"/>
        <v>0.11120689655172411</v>
      </c>
      <c r="Y95" s="25"/>
      <c r="Z95" s="25"/>
      <c r="AA95" s="25"/>
      <c r="AB95" s="25"/>
      <c r="AC95" s="54">
        <v>11541</v>
      </c>
      <c r="AD95" s="54">
        <v>3359</v>
      </c>
      <c r="AH95" s="25"/>
      <c r="AI95" s="25">
        <f>AC95/$G$107</f>
        <v>5.1663010877836965E-2</v>
      </c>
      <c r="AJ95" s="25">
        <f t="shared" si="24"/>
        <v>4.1606498194945774E-2</v>
      </c>
      <c r="AK95" s="25"/>
      <c r="AL95" s="25"/>
      <c r="AM95" s="25"/>
      <c r="AN95" s="25">
        <f t="shared" si="16"/>
        <v>-0.2230375656388851</v>
      </c>
      <c r="AP95" s="59">
        <v>3513</v>
      </c>
      <c r="AQ95" s="59">
        <v>1076</v>
      </c>
      <c r="AU95" s="25"/>
      <c r="AV95" s="25">
        <f>AP95/$G$107</f>
        <v>1.5725860602533684E-2</v>
      </c>
      <c r="AW95" s="25">
        <f t="shared" si="26"/>
        <v>8.0590587511534917E-2</v>
      </c>
      <c r="AX95" s="25"/>
      <c r="AY95" s="25"/>
      <c r="AZ95" s="25"/>
      <c r="BA95" s="25">
        <f t="shared" si="17"/>
        <v>0.17885906040268451</v>
      </c>
    </row>
    <row r="96" spans="1:53" s="54" customFormat="1" ht="14.25" x14ac:dyDescent="0.2">
      <c r="A96" s="60"/>
      <c r="B96" s="74">
        <v>39003</v>
      </c>
      <c r="D96" s="54">
        <v>17873</v>
      </c>
      <c r="E96" s="54">
        <v>5786</v>
      </c>
      <c r="I96" s="25"/>
      <c r="J96" s="25">
        <f t="shared" ref="J96:J107" si="32">D96/$G$107</f>
        <v>8.0008057657012396E-2</v>
      </c>
      <c r="K96" s="25">
        <f t="shared" si="22"/>
        <v>-3.7896323410669064E-2</v>
      </c>
      <c r="L96" s="25"/>
      <c r="M96" s="25"/>
      <c r="N96" s="25">
        <f>(F94+F98)/(F42+F46)-1</f>
        <v>0.37809303860112164</v>
      </c>
      <c r="O96" s="25">
        <f t="shared" si="15"/>
        <v>0.3492111421453914</v>
      </c>
      <c r="P96" s="25"/>
      <c r="Q96" s="54">
        <v>5365</v>
      </c>
      <c r="R96" s="54">
        <v>2744</v>
      </c>
      <c r="V96" s="25"/>
      <c r="W96" s="25">
        <f t="shared" ref="W96:W107" si="33">Q96/$G$107</f>
        <v>2.401629437306952E-2</v>
      </c>
      <c r="X96" s="25">
        <f t="shared" si="31"/>
        <v>4.0535298681148246E-2</v>
      </c>
      <c r="Y96" s="25"/>
      <c r="Z96" s="25"/>
      <c r="AA96" s="25"/>
      <c r="AB96" s="25"/>
      <c r="AC96" s="54">
        <v>10890</v>
      </c>
      <c r="AD96" s="54">
        <v>3202</v>
      </c>
      <c r="AH96" s="25"/>
      <c r="AI96" s="25">
        <f t="shared" ref="AI96:AI107" si="34">AC96/$G$107</f>
        <v>4.8748824925019023E-2</v>
      </c>
      <c r="AJ96" s="25">
        <f t="shared" si="24"/>
        <v>-5.6407590330127322E-2</v>
      </c>
      <c r="AK96" s="25"/>
      <c r="AL96" s="25"/>
      <c r="AM96" s="25">
        <f>(AE94+AE98)/(AE42+AE46)-1</f>
        <v>-0.19382733975444877</v>
      </c>
      <c r="AN96" s="25">
        <f t="shared" si="16"/>
        <v>-0.17456226786932461</v>
      </c>
      <c r="AP96" s="59">
        <v>3420</v>
      </c>
      <c r="AQ96" s="59">
        <v>1080</v>
      </c>
      <c r="AU96" s="25"/>
      <c r="AV96" s="25">
        <f t="shared" ref="AV96:AV107" si="35">AP96/$G$107</f>
        <v>1.5309548323559694E-2</v>
      </c>
      <c r="AW96" s="25">
        <f t="shared" si="26"/>
        <v>-2.6473099914602893E-2</v>
      </c>
      <c r="AX96" s="25"/>
      <c r="AY96" s="25"/>
      <c r="AZ96" s="25">
        <f>(AR94+AR98)/(AR42+AR46)-1</f>
        <v>0.16801580231612379</v>
      </c>
      <c r="BA96" s="25">
        <f t="shared" si="17"/>
        <v>0.17890382626680457</v>
      </c>
    </row>
    <row r="97" spans="1:53" s="54" customFormat="1" ht="14.25" x14ac:dyDescent="0.2">
      <c r="A97" s="60"/>
      <c r="B97" s="74">
        <v>39010</v>
      </c>
      <c r="D97" s="54">
        <v>17043</v>
      </c>
      <c r="E97" s="54">
        <v>5504</v>
      </c>
      <c r="I97" s="25"/>
      <c r="J97" s="25">
        <f t="shared" si="32"/>
        <v>7.6292582479072474E-2</v>
      </c>
      <c r="K97" s="25">
        <f t="shared" si="22"/>
        <v>-4.6438762379007459E-2</v>
      </c>
      <c r="L97" s="25"/>
      <c r="M97" s="25"/>
      <c r="N97" s="25"/>
      <c r="O97" s="25">
        <f t="shared" si="15"/>
        <v>0.27471952131638</v>
      </c>
      <c r="P97" s="25"/>
      <c r="Q97" s="54">
        <v>5526</v>
      </c>
      <c r="R97" s="54">
        <v>2620</v>
      </c>
      <c r="V97" s="25"/>
      <c r="W97" s="25">
        <f t="shared" si="33"/>
        <v>2.4737007028067505E-2</v>
      </c>
      <c r="X97" s="25">
        <f t="shared" si="31"/>
        <v>3.0009319664492162E-2</v>
      </c>
      <c r="Y97" s="25"/>
      <c r="Z97" s="25"/>
      <c r="AA97" s="25"/>
      <c r="AB97" s="25"/>
      <c r="AC97" s="54">
        <v>10700</v>
      </c>
      <c r="AD97" s="54">
        <v>3267</v>
      </c>
      <c r="AH97" s="25"/>
      <c r="AI97" s="25">
        <f t="shared" si="34"/>
        <v>4.7898294462599043E-2</v>
      </c>
      <c r="AJ97" s="25">
        <f t="shared" si="24"/>
        <v>-1.7447199265381075E-2</v>
      </c>
      <c r="AK97" s="25"/>
      <c r="AL97" s="25"/>
      <c r="AM97" s="25"/>
      <c r="AN97" s="25">
        <f t="shared" si="16"/>
        <v>-0.20280137088362393</v>
      </c>
      <c r="AP97" s="59">
        <v>3332</v>
      </c>
      <c r="AQ97" s="59">
        <v>1054</v>
      </c>
      <c r="AU97" s="25"/>
      <c r="AV97" s="25">
        <f t="shared" si="35"/>
        <v>1.4915618425175702E-2</v>
      </c>
      <c r="AW97" s="25">
        <f t="shared" si="26"/>
        <v>-2.5730994152046827E-2</v>
      </c>
      <c r="AX97" s="25"/>
      <c r="AY97" s="25"/>
      <c r="AZ97" s="25"/>
      <c r="BA97" s="25">
        <f t="shared" si="17"/>
        <v>0.20549927641099863</v>
      </c>
    </row>
    <row r="98" spans="1:53" s="54" customFormat="1" ht="14.25" x14ac:dyDescent="0.2">
      <c r="A98" s="60"/>
      <c r="B98" s="74">
        <v>39017</v>
      </c>
      <c r="D98" s="54">
        <v>18681</v>
      </c>
      <c r="E98" s="54">
        <v>6090</v>
      </c>
      <c r="F98" s="54">
        <f>SUM(D95:D98)</f>
        <v>72174</v>
      </c>
      <c r="I98" s="25"/>
      <c r="J98" s="25">
        <f t="shared" si="32"/>
        <v>8.3625050360356334E-2</v>
      </c>
      <c r="K98" s="25">
        <f t="shared" si="22"/>
        <v>9.6109839816933551E-2</v>
      </c>
      <c r="L98" s="25">
        <f>F98/F94-1</f>
        <v>-0.20451013457659628</v>
      </c>
      <c r="M98" s="25"/>
      <c r="N98" s="25"/>
      <c r="O98" s="25">
        <f t="shared" si="15"/>
        <v>0.40500902527075811</v>
      </c>
      <c r="P98" s="25"/>
      <c r="Q98" s="54">
        <v>6353</v>
      </c>
      <c r="R98" s="54">
        <v>3072</v>
      </c>
      <c r="S98" s="54">
        <f>SUM(Q95:Q98)</f>
        <v>22400</v>
      </c>
      <c r="V98" s="25"/>
      <c r="W98" s="25">
        <f t="shared" si="33"/>
        <v>2.8439052777653431E-2</v>
      </c>
      <c r="X98" s="25">
        <f t="shared" si="31"/>
        <v>0.14965617082880933</v>
      </c>
      <c r="Y98" s="25">
        <f>S98/S94-1</f>
        <v>0.1735736365065228</v>
      </c>
      <c r="Z98" s="25"/>
      <c r="AA98" s="25"/>
      <c r="AB98" s="25"/>
      <c r="AC98" s="54">
        <v>10828</v>
      </c>
      <c r="AD98" s="54">
        <v>3113</v>
      </c>
      <c r="AE98" s="54">
        <f>SUM(AC95:AC98)</f>
        <v>43959</v>
      </c>
      <c r="AH98" s="25"/>
      <c r="AI98" s="25">
        <f t="shared" si="34"/>
        <v>4.8471283405703031E-2</v>
      </c>
      <c r="AJ98" s="25">
        <f t="shared" si="24"/>
        <v>1.1962616822429828E-2</v>
      </c>
      <c r="AK98" s="25">
        <f>AE98/AE94-1</f>
        <v>-0.21472337840976086</v>
      </c>
      <c r="AL98" s="25"/>
      <c r="AM98" s="25"/>
      <c r="AN98" s="25">
        <f t="shared" si="16"/>
        <v>-0.15134414922799588</v>
      </c>
      <c r="AP98" s="59">
        <v>3285</v>
      </c>
      <c r="AQ98" s="59">
        <v>980</v>
      </c>
      <c r="AR98" s="54">
        <f>SUM(AP95:AP98)</f>
        <v>13550</v>
      </c>
      <c r="AU98" s="25"/>
      <c r="AV98" s="25">
        <f t="shared" si="35"/>
        <v>1.4705224047629705E-2</v>
      </c>
      <c r="AW98" s="25">
        <f t="shared" si="26"/>
        <v>-1.4105642256902806E-2</v>
      </c>
      <c r="AX98" s="25">
        <f>AR98/AR94-1</f>
        <v>-0.1840790028301319</v>
      </c>
      <c r="AY98" s="25"/>
      <c r="AZ98" s="25"/>
      <c r="BA98" s="25">
        <f t="shared" si="17"/>
        <v>0.1188692098092643</v>
      </c>
    </row>
    <row r="99" spans="1:53" s="54" customFormat="1" ht="14.25" x14ac:dyDescent="0.2">
      <c r="A99" s="60"/>
      <c r="B99" s="74">
        <v>39024</v>
      </c>
      <c r="D99" s="54">
        <v>19451</v>
      </c>
      <c r="E99" s="54">
        <v>6191</v>
      </c>
      <c r="I99" s="25"/>
      <c r="J99" s="25">
        <f t="shared" si="32"/>
        <v>8.7071936971216263E-2</v>
      </c>
      <c r="K99" s="25">
        <f t="shared" si="22"/>
        <v>4.1218350195385778E-2</v>
      </c>
      <c r="L99" s="25"/>
      <c r="M99" s="25"/>
      <c r="N99" s="25"/>
      <c r="O99" s="25">
        <f t="shared" si="15"/>
        <v>0.34954554915701097</v>
      </c>
      <c r="P99" s="25"/>
      <c r="Q99" s="54">
        <v>6856</v>
      </c>
      <c r="R99" s="54">
        <v>3045</v>
      </c>
      <c r="V99" s="25"/>
      <c r="W99" s="25">
        <f t="shared" si="33"/>
        <v>3.0690720265007385E-2</v>
      </c>
      <c r="X99" s="25">
        <f t="shared" si="31"/>
        <v>7.9175192822288576E-2</v>
      </c>
      <c r="Y99" s="25"/>
      <c r="Z99" s="25"/>
      <c r="AA99" s="25"/>
      <c r="AB99" s="25"/>
      <c r="AC99" s="54">
        <v>11112</v>
      </c>
      <c r="AD99" s="54">
        <v>3229</v>
      </c>
      <c r="AH99" s="25"/>
      <c r="AI99" s="25">
        <f t="shared" si="34"/>
        <v>4.9742602623215004E-2</v>
      </c>
      <c r="AJ99" s="25">
        <f t="shared" si="24"/>
        <v>2.6228297007757639E-2</v>
      </c>
      <c r="AK99" s="25"/>
      <c r="AL99" s="25"/>
      <c r="AM99" s="25"/>
      <c r="AN99" s="25">
        <f t="shared" si="16"/>
        <v>-0.23560569581069002</v>
      </c>
      <c r="AP99" s="59">
        <v>3416</v>
      </c>
      <c r="AQ99" s="59">
        <v>1002</v>
      </c>
      <c r="AU99" s="25"/>
      <c r="AV99" s="25">
        <f t="shared" si="35"/>
        <v>1.5291642419087694E-2</v>
      </c>
      <c r="AW99" s="25">
        <f t="shared" si="26"/>
        <v>3.9878234398782242E-2</v>
      </c>
      <c r="AX99" s="25"/>
      <c r="AY99" s="25"/>
      <c r="AZ99" s="25"/>
      <c r="BA99" s="25">
        <f t="shared" si="17"/>
        <v>0.16666666666666674</v>
      </c>
    </row>
    <row r="100" spans="1:53" s="54" customFormat="1" ht="14.25" x14ac:dyDescent="0.2">
      <c r="A100" s="60"/>
      <c r="B100" s="74">
        <v>39031</v>
      </c>
      <c r="D100" s="54">
        <v>16772</v>
      </c>
      <c r="E100" s="54">
        <v>5267</v>
      </c>
      <c r="I100" s="25"/>
      <c r="J100" s="25">
        <f t="shared" si="32"/>
        <v>7.5079457451094497E-2</v>
      </c>
      <c r="K100" s="25">
        <f t="shared" si="22"/>
        <v>-0.1377307079327541</v>
      </c>
      <c r="L100" s="25"/>
      <c r="M100" s="25"/>
      <c r="N100" s="25">
        <f>(F98+F102)/(F46+F50)-1</f>
        <v>0.27194380334835322</v>
      </c>
      <c r="O100" s="25">
        <f t="shared" si="15"/>
        <v>0.19962806666189836</v>
      </c>
      <c r="P100" s="25"/>
      <c r="Q100" s="54">
        <v>6758</v>
      </c>
      <c r="R100" s="54">
        <v>2877</v>
      </c>
      <c r="V100" s="25"/>
      <c r="W100" s="25">
        <f t="shared" si="33"/>
        <v>3.0252025605443395E-2</v>
      </c>
      <c r="X100" s="25">
        <f t="shared" si="31"/>
        <v>-1.4294049008167997E-2</v>
      </c>
      <c r="Y100" s="25"/>
      <c r="Z100" s="25"/>
      <c r="AA100" s="25"/>
      <c r="AB100" s="25"/>
      <c r="AC100" s="54">
        <v>10855</v>
      </c>
      <c r="AD100" s="54">
        <v>3140</v>
      </c>
      <c r="AH100" s="25"/>
      <c r="AI100" s="25">
        <f t="shared" si="34"/>
        <v>4.8592148260889027E-2</v>
      </c>
      <c r="AJ100" s="25">
        <f t="shared" si="24"/>
        <v>-2.3128149748020133E-2</v>
      </c>
      <c r="AK100" s="25"/>
      <c r="AL100" s="25"/>
      <c r="AM100" s="25">
        <f>(AE98+AE102)/(AE46+AE50)-1</f>
        <v>-0.19373031912393668</v>
      </c>
      <c r="AN100" s="25">
        <f t="shared" si="16"/>
        <v>-0.17609108159392795</v>
      </c>
      <c r="AP100" s="59">
        <v>3523</v>
      </c>
      <c r="AQ100" s="59">
        <v>999</v>
      </c>
      <c r="AU100" s="25"/>
      <c r="AV100" s="25">
        <f t="shared" si="35"/>
        <v>1.5770625363713684E-2</v>
      </c>
      <c r="AW100" s="25">
        <f t="shared" si="26"/>
        <v>3.1323185011709498E-2</v>
      </c>
      <c r="AX100" s="25"/>
      <c r="AY100" s="25"/>
      <c r="AZ100" s="25">
        <f>(AR98+AR102)/(AR46+AR50)-1</f>
        <v>0.17217195549590891</v>
      </c>
      <c r="BA100" s="25">
        <f t="shared" si="17"/>
        <v>0.18980074299223237</v>
      </c>
    </row>
    <row r="101" spans="1:53" s="54" customFormat="1" ht="14.25" x14ac:dyDescent="0.2">
      <c r="A101" s="60"/>
      <c r="B101" s="74">
        <v>39038</v>
      </c>
      <c r="D101" s="54">
        <v>16177</v>
      </c>
      <c r="E101" s="54">
        <v>5281</v>
      </c>
      <c r="I101" s="25"/>
      <c r="J101" s="25">
        <f t="shared" si="32"/>
        <v>7.2415954160884546E-2</v>
      </c>
      <c r="K101" s="25">
        <f t="shared" si="22"/>
        <v>-3.5475792988313826E-2</v>
      </c>
      <c r="L101" s="25"/>
      <c r="M101" s="25"/>
      <c r="N101" s="25"/>
      <c r="O101" s="25">
        <f t="shared" si="15"/>
        <v>0.10250119266680291</v>
      </c>
      <c r="P101" s="25"/>
      <c r="Q101" s="54">
        <v>6770</v>
      </c>
      <c r="R101" s="54">
        <v>2799</v>
      </c>
      <c r="V101" s="25"/>
      <c r="W101" s="25">
        <f t="shared" si="33"/>
        <v>3.0305743318859393E-2</v>
      </c>
      <c r="X101" s="25">
        <f t="shared" si="31"/>
        <v>1.7756732761171623E-3</v>
      </c>
      <c r="Y101" s="25"/>
      <c r="Z101" s="25"/>
      <c r="AA101" s="25"/>
      <c r="AB101" s="25"/>
      <c r="AC101" s="54">
        <v>10486</v>
      </c>
      <c r="AD101" s="54">
        <v>3094</v>
      </c>
      <c r="AH101" s="25"/>
      <c r="AI101" s="25">
        <f t="shared" si="34"/>
        <v>4.6940328573347061E-2</v>
      </c>
      <c r="AJ101" s="25">
        <f t="shared" si="24"/>
        <v>-3.3993551358820873E-2</v>
      </c>
      <c r="AK101" s="25"/>
      <c r="AL101" s="25"/>
      <c r="AM101" s="25"/>
      <c r="AN101" s="25">
        <f t="shared" si="16"/>
        <v>-0.19511820693890081</v>
      </c>
      <c r="AP101" s="59">
        <v>3457</v>
      </c>
      <c r="AQ101" s="59">
        <v>1057</v>
      </c>
      <c r="AU101" s="25"/>
      <c r="AV101" s="25">
        <f t="shared" si="35"/>
        <v>1.5475177939925691E-2</v>
      </c>
      <c r="AW101" s="25">
        <f t="shared" si="26"/>
        <v>-1.8734033494181124E-2</v>
      </c>
      <c r="AX101" s="25"/>
      <c r="AY101" s="25"/>
      <c r="AZ101" s="25"/>
      <c r="BA101" s="25">
        <f t="shared" si="17"/>
        <v>0.17186440677966108</v>
      </c>
    </row>
    <row r="102" spans="1:53" s="54" customFormat="1" ht="14.25" x14ac:dyDescent="0.2">
      <c r="A102" s="60"/>
      <c r="B102" s="74">
        <v>39045</v>
      </c>
      <c r="D102" s="54">
        <v>14307</v>
      </c>
      <c r="E102" s="54">
        <v>4493</v>
      </c>
      <c r="F102" s="54">
        <f>SUM(D99:D102)</f>
        <v>66707</v>
      </c>
      <c r="I102" s="25"/>
      <c r="J102" s="25">
        <f t="shared" si="32"/>
        <v>6.4044943820224715E-2</v>
      </c>
      <c r="K102" s="25">
        <f t="shared" si="22"/>
        <v>-0.1155962168510849</v>
      </c>
      <c r="L102" s="25">
        <f>F102/F98-1</f>
        <v>-7.5747499099398707E-2</v>
      </c>
      <c r="M102" s="25"/>
      <c r="N102" s="25"/>
      <c r="O102" s="25">
        <f t="shared" si="15"/>
        <v>0.16582464146023468</v>
      </c>
      <c r="P102" s="25"/>
      <c r="Q102" s="54">
        <v>5950</v>
      </c>
      <c r="R102" s="54">
        <v>2266</v>
      </c>
      <c r="S102" s="54">
        <f>SUM(Q99:Q102)</f>
        <v>26334</v>
      </c>
      <c r="V102" s="25"/>
      <c r="W102" s="25">
        <f t="shared" si="33"/>
        <v>2.6635032902099468E-2</v>
      </c>
      <c r="X102" s="25">
        <f t="shared" si="31"/>
        <v>-0.12112259970457906</v>
      </c>
      <c r="Y102" s="25">
        <f>S102/S98-1</f>
        <v>0.17562499999999992</v>
      </c>
      <c r="Z102" s="25"/>
      <c r="AA102" s="25"/>
      <c r="AB102" s="25"/>
      <c r="AC102" s="54">
        <v>9363</v>
      </c>
      <c r="AD102" s="54">
        <v>2635</v>
      </c>
      <c r="AE102" s="54">
        <f>SUM(AC99:AC102)</f>
        <v>41816</v>
      </c>
      <c r="AH102" s="25"/>
      <c r="AI102" s="25">
        <f t="shared" si="34"/>
        <v>4.1913245892833163E-2</v>
      </c>
      <c r="AJ102" s="25">
        <f t="shared" si="24"/>
        <v>-0.10709517451840544</v>
      </c>
      <c r="AK102" s="25">
        <f>AE102/AE98-1</f>
        <v>-4.8749971564412298E-2</v>
      </c>
      <c r="AL102" s="25"/>
      <c r="AM102" s="25"/>
      <c r="AN102" s="25">
        <f t="shared" si="16"/>
        <v>-0.17990715599544538</v>
      </c>
      <c r="AP102" s="59">
        <v>3130</v>
      </c>
      <c r="AQ102" s="59">
        <v>879</v>
      </c>
      <c r="AR102" s="54">
        <f>SUM(AP99:AP102)</f>
        <v>13526</v>
      </c>
      <c r="AU102" s="25"/>
      <c r="AV102" s="25">
        <f t="shared" si="35"/>
        <v>1.4011370249339719E-2</v>
      </c>
      <c r="AW102" s="25">
        <f t="shared" si="26"/>
        <v>-9.4590685565519195E-2</v>
      </c>
      <c r="AX102" s="25">
        <f>AR102/AR98-1</f>
        <v>-1.7712177121771422E-3</v>
      </c>
      <c r="AY102" s="25"/>
      <c r="AZ102" s="25"/>
      <c r="BA102" s="25">
        <f t="shared" si="17"/>
        <v>0.16834639790966777</v>
      </c>
    </row>
    <row r="103" spans="1:53" s="54" customFormat="1" ht="14.25" x14ac:dyDescent="0.2">
      <c r="A103" s="60"/>
      <c r="B103" s="74">
        <v>39052</v>
      </c>
      <c r="D103" s="54">
        <v>17617</v>
      </c>
      <c r="E103" s="54">
        <v>5518</v>
      </c>
      <c r="I103" s="25"/>
      <c r="J103" s="25">
        <f t="shared" si="32"/>
        <v>7.8862079770804422E-2</v>
      </c>
      <c r="K103" s="25">
        <f t="shared" si="22"/>
        <v>0.23135528063185862</v>
      </c>
      <c r="L103" s="25"/>
      <c r="M103" s="25"/>
      <c r="N103" s="25"/>
      <c r="O103" s="25">
        <f t="shared" si="15"/>
        <v>0.1075694706400101</v>
      </c>
      <c r="P103" s="25"/>
      <c r="Q103" s="54">
        <v>7365</v>
      </c>
      <c r="R103" s="54">
        <v>2730</v>
      </c>
      <c r="V103" s="25"/>
      <c r="W103" s="25">
        <f t="shared" si="33"/>
        <v>3.2969246609069337E-2</v>
      </c>
      <c r="X103" s="25">
        <f t="shared" si="31"/>
        <v>0.23781512605042021</v>
      </c>
      <c r="Y103" s="25"/>
      <c r="Z103" s="25"/>
      <c r="AA103" s="25"/>
      <c r="AB103" s="25"/>
      <c r="AC103" s="54">
        <v>11738</v>
      </c>
      <c r="AD103" s="54">
        <v>3396</v>
      </c>
      <c r="AH103" s="25"/>
      <c r="AI103" s="25">
        <f t="shared" si="34"/>
        <v>5.2544876673082948E-2</v>
      </c>
      <c r="AJ103" s="25">
        <f t="shared" si="24"/>
        <v>0.25365801559329282</v>
      </c>
      <c r="AK103" s="25"/>
      <c r="AL103" s="25"/>
      <c r="AM103" s="25"/>
      <c r="AN103" s="25">
        <f t="shared" si="16"/>
        <v>-0.19182043514183422</v>
      </c>
      <c r="AP103" s="59">
        <v>3662</v>
      </c>
      <c r="AQ103" s="59">
        <v>1077</v>
      </c>
      <c r="AU103" s="25"/>
      <c r="AV103" s="25">
        <f t="shared" si="35"/>
        <v>1.6392855544115671E-2</v>
      </c>
      <c r="AW103" s="25">
        <f t="shared" si="26"/>
        <v>0.16996805111821089</v>
      </c>
      <c r="AX103" s="25"/>
      <c r="AY103" s="25"/>
      <c r="AZ103" s="25"/>
      <c r="BA103" s="25">
        <f t="shared" si="17"/>
        <v>0.1629088599555415</v>
      </c>
    </row>
    <row r="104" spans="1:53" s="54" customFormat="1" ht="14.25" x14ac:dyDescent="0.2">
      <c r="A104" s="60"/>
      <c r="B104" s="74">
        <v>39059</v>
      </c>
      <c r="D104" s="54">
        <v>17191</v>
      </c>
      <c r="E104" s="54">
        <v>5364</v>
      </c>
      <c r="I104" s="25"/>
      <c r="J104" s="25">
        <f t="shared" si="32"/>
        <v>7.6955100944536461E-2</v>
      </c>
      <c r="K104" s="25">
        <f t="shared" si="22"/>
        <v>-2.4181188624623928E-2</v>
      </c>
      <c r="L104" s="25"/>
      <c r="M104" s="25"/>
      <c r="N104" s="25"/>
      <c r="O104" s="25">
        <f t="shared" si="15"/>
        <v>0.11898717698366212</v>
      </c>
      <c r="P104" s="25"/>
      <c r="Q104" s="54">
        <v>7534</v>
      </c>
      <c r="R104" s="54">
        <v>2744</v>
      </c>
      <c r="V104" s="25"/>
      <c r="W104" s="25">
        <f t="shared" si="33"/>
        <v>3.3725771073011328E-2</v>
      </c>
      <c r="X104" s="25">
        <f t="shared" si="31"/>
        <v>2.2946367956551361E-2</v>
      </c>
      <c r="Y104" s="25"/>
      <c r="Z104" s="25"/>
      <c r="AA104" s="25"/>
      <c r="AB104" s="25"/>
      <c r="AC104" s="54">
        <v>11228</v>
      </c>
      <c r="AD104" s="54">
        <v>3259</v>
      </c>
      <c r="AH104" s="25"/>
      <c r="AI104" s="25">
        <f t="shared" si="34"/>
        <v>5.0261873852902997E-2</v>
      </c>
      <c r="AJ104" s="25">
        <f t="shared" si="24"/>
        <v>-4.344862838643726E-2</v>
      </c>
      <c r="AK104" s="25"/>
      <c r="AL104" s="25"/>
      <c r="AM104" s="25"/>
      <c r="AN104" s="25">
        <f t="shared" si="16"/>
        <v>-0.16625826093413532</v>
      </c>
      <c r="AP104" s="59">
        <v>3728</v>
      </c>
      <c r="AQ104" s="59">
        <v>1059</v>
      </c>
      <c r="AU104" s="25"/>
      <c r="AV104" s="25">
        <f t="shared" si="35"/>
        <v>1.6688302967903666E-2</v>
      </c>
      <c r="AW104" s="25">
        <f t="shared" si="26"/>
        <v>1.8022938285090051E-2</v>
      </c>
      <c r="AX104" s="25"/>
      <c r="AY104" s="25"/>
      <c r="AZ104" s="25"/>
      <c r="BA104" s="25">
        <f t="shared" si="17"/>
        <v>0.21472792440534372</v>
      </c>
    </row>
    <row r="105" spans="1:53" s="54" customFormat="1" ht="14.25" x14ac:dyDescent="0.2">
      <c r="A105" s="60"/>
      <c r="B105" s="74">
        <v>39066</v>
      </c>
      <c r="D105" s="54">
        <v>17193</v>
      </c>
      <c r="E105" s="54">
        <v>5521</v>
      </c>
      <c r="I105" s="25"/>
      <c r="J105" s="25">
        <f t="shared" si="32"/>
        <v>7.6964053896772466E-2</v>
      </c>
      <c r="K105" s="25">
        <f t="shared" si="22"/>
        <v>1.1633994532012082E-4</v>
      </c>
      <c r="L105" s="25"/>
      <c r="M105" s="25"/>
      <c r="N105" s="25">
        <f>(F102+F107)/(F50+F55)-1</f>
        <v>0.15754583381176568</v>
      </c>
      <c r="O105" s="25">
        <f t="shared" si="15"/>
        <v>0.13283257560782769</v>
      </c>
      <c r="P105" s="25"/>
      <c r="Q105" s="54">
        <v>7820</v>
      </c>
      <c r="R105" s="54">
        <v>2818</v>
      </c>
      <c r="V105" s="25"/>
      <c r="W105" s="25">
        <f t="shared" si="33"/>
        <v>3.5006043242759299E-2</v>
      </c>
      <c r="X105" s="25">
        <f t="shared" si="31"/>
        <v>3.796124236793208E-2</v>
      </c>
      <c r="Y105" s="25"/>
      <c r="Z105" s="25"/>
      <c r="AA105" s="25"/>
      <c r="AB105" s="25"/>
      <c r="AC105" s="54">
        <v>10727</v>
      </c>
      <c r="AD105" s="54">
        <v>3150</v>
      </c>
      <c r="AH105" s="25"/>
      <c r="AI105" s="25">
        <f t="shared" si="34"/>
        <v>4.801915931778504E-2</v>
      </c>
      <c r="AJ105" s="25">
        <f t="shared" si="24"/>
        <v>-4.4620591378696117E-2</v>
      </c>
      <c r="AK105" s="25"/>
      <c r="AL105" s="25"/>
      <c r="AM105" s="25">
        <f>(AE102+AE107)/(AE50+AE55)-1</f>
        <v>-0.19282643265209964</v>
      </c>
      <c r="AN105" s="25">
        <f t="shared" si="16"/>
        <v>-0.18469255909401838</v>
      </c>
      <c r="AP105" s="59">
        <v>3517</v>
      </c>
      <c r="AQ105" s="59">
        <v>946</v>
      </c>
      <c r="AU105" s="25"/>
      <c r="AV105" s="25">
        <f t="shared" si="35"/>
        <v>1.5743766507005687E-2</v>
      </c>
      <c r="AW105" s="25">
        <f t="shared" si="26"/>
        <v>-5.6598712446351951E-2</v>
      </c>
      <c r="AX105" s="25"/>
      <c r="AY105" s="25"/>
      <c r="AZ105" s="25">
        <f>(AR102+AR107)/(AR50+AR55)-1</f>
        <v>0.16553864562689302</v>
      </c>
      <c r="BA105" s="25">
        <f t="shared" si="17"/>
        <v>0.17038269550748741</v>
      </c>
    </row>
    <row r="106" spans="1:53" s="54" customFormat="1" ht="14.25" x14ac:dyDescent="0.2">
      <c r="A106" s="60"/>
      <c r="B106" s="74">
        <v>39073</v>
      </c>
      <c r="D106" s="54">
        <v>17272</v>
      </c>
      <c r="E106" s="54">
        <v>5442</v>
      </c>
      <c r="I106" s="25"/>
      <c r="J106" s="25">
        <f t="shared" si="32"/>
        <v>7.7317695510094459E-2</v>
      </c>
      <c r="K106" s="25">
        <f t="shared" si="22"/>
        <v>4.5948932705170975E-3</v>
      </c>
      <c r="L106" s="25"/>
      <c r="M106" s="25"/>
      <c r="N106" s="25"/>
      <c r="O106" s="25">
        <f t="shared" si="15"/>
        <v>0.14513027912219045</v>
      </c>
      <c r="P106" s="25"/>
      <c r="Q106" s="54">
        <v>8077</v>
      </c>
      <c r="R106" s="54">
        <v>2791</v>
      </c>
      <c r="V106" s="25"/>
      <c r="W106" s="25">
        <f t="shared" si="33"/>
        <v>3.6156497605085276E-2</v>
      </c>
      <c r="X106" s="25">
        <f t="shared" si="31"/>
        <v>3.2864450127877198E-2</v>
      </c>
      <c r="Y106" s="25"/>
      <c r="Z106" s="25"/>
      <c r="AA106" s="25"/>
      <c r="AB106" s="25"/>
      <c r="AC106" s="54">
        <v>10762</v>
      </c>
      <c r="AD106" s="54">
        <v>3213</v>
      </c>
      <c r="AH106" s="25"/>
      <c r="AI106" s="25">
        <f t="shared" si="34"/>
        <v>4.8175835981915036E-2</v>
      </c>
      <c r="AJ106" s="25">
        <f t="shared" si="24"/>
        <v>3.2627948168173493E-3</v>
      </c>
      <c r="AK106" s="25"/>
      <c r="AL106" s="25"/>
      <c r="AM106" s="25"/>
      <c r="AN106" s="25">
        <f t="shared" si="16"/>
        <v>-0.18259152362144915</v>
      </c>
      <c r="AP106" s="59">
        <v>3618</v>
      </c>
      <c r="AQ106" s="59">
        <v>1029</v>
      </c>
      <c r="AU106" s="25"/>
      <c r="AV106" s="25">
        <f t="shared" si="35"/>
        <v>1.6195890594923677E-2</v>
      </c>
      <c r="AW106" s="25">
        <f t="shared" si="26"/>
        <v>2.8717657094114335E-2</v>
      </c>
      <c r="AX106" s="25"/>
      <c r="AY106" s="25"/>
      <c r="AZ106" s="25"/>
      <c r="BA106" s="25">
        <f t="shared" si="17"/>
        <v>0.1507633587786259</v>
      </c>
    </row>
    <row r="107" spans="1:53" s="54" customFormat="1" ht="14.25" x14ac:dyDescent="0.2">
      <c r="A107" s="60"/>
      <c r="B107" s="74">
        <v>39080</v>
      </c>
      <c r="D107" s="54">
        <v>15236</v>
      </c>
      <c r="E107" s="54">
        <v>4572</v>
      </c>
      <c r="F107" s="54">
        <f>SUM(D103:D107)</f>
        <v>84509</v>
      </c>
      <c r="G107" s="54">
        <f>SUM(F98:F107)</f>
        <v>223390</v>
      </c>
      <c r="H107" s="54">
        <v>337100</v>
      </c>
      <c r="I107" s="25">
        <f>G107/H107-1</f>
        <v>-0.33731830317413225</v>
      </c>
      <c r="J107" s="25">
        <f t="shared" si="32"/>
        <v>6.8203590133846637E-2</v>
      </c>
      <c r="K107" s="25">
        <f t="shared" si="22"/>
        <v>-0.11787864752200095</v>
      </c>
      <c r="L107" s="25">
        <f>F107/F102-1</f>
        <v>0.26686854453055897</v>
      </c>
      <c r="M107" s="25">
        <f>G107/G94-1</f>
        <v>-7.9658049232670725E-2</v>
      </c>
      <c r="N107" s="25"/>
      <c r="O107" s="25">
        <f t="shared" si="15"/>
        <v>0.10670443814919728</v>
      </c>
      <c r="P107" s="25"/>
      <c r="Q107" s="54">
        <v>6885</v>
      </c>
      <c r="R107" s="54">
        <v>2119</v>
      </c>
      <c r="S107" s="54">
        <f>SUM(Q103:Q107)</f>
        <v>37681</v>
      </c>
      <c r="T107" s="54">
        <f>SUM(S98:S107)</f>
        <v>86415</v>
      </c>
      <c r="U107" s="54">
        <v>137400</v>
      </c>
      <c r="V107" s="25">
        <f>T107/U107-1</f>
        <v>-0.37106986899563321</v>
      </c>
      <c r="W107" s="25">
        <f t="shared" si="33"/>
        <v>3.0820538072429383E-2</v>
      </c>
      <c r="X107" s="25">
        <f t="shared" si="31"/>
        <v>-0.14757954686145847</v>
      </c>
      <c r="Y107" s="25">
        <f>S107/S102-1</f>
        <v>0.43088782562466776</v>
      </c>
      <c r="Z107" s="25">
        <f>T107/T94-1</f>
        <v>2.0073081607795373</v>
      </c>
      <c r="AA107" s="25"/>
      <c r="AB107" s="25"/>
      <c r="AC107" s="54">
        <v>9664</v>
      </c>
      <c r="AD107" s="54">
        <v>2685</v>
      </c>
      <c r="AE107" s="54">
        <f>SUM(AC103:AC107)</f>
        <v>54119</v>
      </c>
      <c r="AF107" s="54">
        <f>SUM(AE98:AE107)</f>
        <v>139894</v>
      </c>
      <c r="AG107" s="54">
        <v>159500</v>
      </c>
      <c r="AH107" s="25">
        <f>AF107/AG107-1</f>
        <v>-0.12292163009404389</v>
      </c>
      <c r="AI107" s="25">
        <f t="shared" si="34"/>
        <v>4.3260665204351137E-2</v>
      </c>
      <c r="AJ107" s="25">
        <f t="shared" si="24"/>
        <v>-0.10202564579074525</v>
      </c>
      <c r="AK107" s="25">
        <f>AE107/AE102-1</f>
        <v>0.29421752439257709</v>
      </c>
      <c r="AL107" s="25">
        <f>AF107/AF94-1</f>
        <v>-4.9904239279553342E-2</v>
      </c>
      <c r="AM107" s="25"/>
      <c r="AN107" s="25">
        <f t="shared" si="16"/>
        <v>-0.21951219512195119</v>
      </c>
      <c r="AP107" s="59">
        <v>3119</v>
      </c>
      <c r="AQ107" s="59">
        <v>807</v>
      </c>
      <c r="AR107" s="54">
        <f>SUM(AP103:AP107)</f>
        <v>17644</v>
      </c>
      <c r="AS107" s="54">
        <f>SUM(AR98:AR107)</f>
        <v>44720</v>
      </c>
      <c r="AT107" s="54">
        <v>65900</v>
      </c>
      <c r="AU107" s="25">
        <f>AS107/AT107-1</f>
        <v>-0.32139605462822463</v>
      </c>
      <c r="AV107" s="25">
        <f t="shared" si="35"/>
        <v>1.396212901204172E-2</v>
      </c>
      <c r="AW107" s="25">
        <f t="shared" si="26"/>
        <v>-0.13792150359314537</v>
      </c>
      <c r="AX107" s="25">
        <f>AR107/AR102-1</f>
        <v>0.30445068756469018</v>
      </c>
      <c r="AY107" s="25">
        <f>AS107/AS94-1</f>
        <v>6.4077854712446758E-2</v>
      </c>
      <c r="AZ107" s="25"/>
      <c r="BA107" s="25">
        <f t="shared" si="17"/>
        <v>9.1322603219034182E-2</v>
      </c>
    </row>
    <row r="108" spans="1:53" s="54" customFormat="1" ht="14.25" x14ac:dyDescent="0.2">
      <c r="A108" s="60"/>
      <c r="B108" s="74">
        <v>39087</v>
      </c>
      <c r="D108" s="54">
        <v>16340</v>
      </c>
      <c r="E108" s="54">
        <v>5123</v>
      </c>
      <c r="G108" s="23">
        <f>G107/G94-1</f>
        <v>-7.9658049232670725E-2</v>
      </c>
      <c r="H108" s="23">
        <f>H107/H94-1</f>
        <v>0.97568923480870207</v>
      </c>
      <c r="I108" s="25"/>
      <c r="J108" s="25">
        <f>D108/$G$120</f>
        <v>7.3940331871722123E-2</v>
      </c>
      <c r="K108" s="25">
        <f t="shared" si="22"/>
        <v>7.245996324494608E-2</v>
      </c>
      <c r="L108" s="25"/>
      <c r="M108" s="25"/>
      <c r="N108" s="25"/>
      <c r="O108" s="25">
        <f t="shared" si="15"/>
        <v>0.15632297785011673</v>
      </c>
      <c r="P108" s="25"/>
      <c r="Q108" s="54">
        <v>7759</v>
      </c>
      <c r="R108" s="54">
        <v>2544</v>
      </c>
      <c r="T108" s="25">
        <f>T107/T94-1</f>
        <v>2.0073081607795373</v>
      </c>
      <c r="U108" s="25">
        <f>U107/U94-1</f>
        <v>1.0095651792374181</v>
      </c>
      <c r="V108" s="25"/>
      <c r="W108" s="25">
        <f>Q108/$G$120</f>
        <v>3.5110344858793878E-2</v>
      </c>
      <c r="X108" s="25">
        <f t="shared" si="31"/>
        <v>0.12694262890341323</v>
      </c>
      <c r="Y108" s="25"/>
      <c r="Z108" s="25"/>
      <c r="AA108" s="25"/>
      <c r="AB108" s="25"/>
      <c r="AC108" s="54">
        <v>10076</v>
      </c>
      <c r="AD108" s="54">
        <v>2813</v>
      </c>
      <c r="AH108" s="25"/>
      <c r="AI108" s="25">
        <f>AC108/$G$120</f>
        <v>4.5595029616858761E-2</v>
      </c>
      <c r="AJ108" s="25">
        <f t="shared" si="24"/>
        <v>4.2632450331125726E-2</v>
      </c>
      <c r="AK108" s="25"/>
      <c r="AL108" s="25"/>
      <c r="AM108" s="25"/>
      <c r="AN108" s="25">
        <f t="shared" si="16"/>
        <v>-0.16644606221045666</v>
      </c>
      <c r="AP108" s="59">
        <v>3410</v>
      </c>
      <c r="AQ108" s="59">
        <v>997</v>
      </c>
      <c r="AU108" s="25"/>
      <c r="AV108" s="25">
        <f>AP108/$G$120</f>
        <v>1.5430632293915081E-2</v>
      </c>
      <c r="AW108" s="25">
        <f t="shared" si="26"/>
        <v>9.3299134337928802E-2</v>
      </c>
      <c r="AX108" s="25"/>
      <c r="AY108" s="25"/>
      <c r="AZ108" s="25"/>
      <c r="BA108" s="25">
        <f t="shared" si="17"/>
        <v>0.20921985815602828</v>
      </c>
    </row>
    <row r="109" spans="1:53" s="54" customFormat="1" ht="14.25" x14ac:dyDescent="0.2">
      <c r="A109" s="60"/>
      <c r="B109" s="74">
        <v>39094</v>
      </c>
      <c r="D109" s="54">
        <v>17521</v>
      </c>
      <c r="E109" s="54">
        <v>5653</v>
      </c>
      <c r="I109" s="25"/>
      <c r="J109" s="25">
        <f t="shared" ref="J109:J120" si="36">D109/$G$120</f>
        <v>7.928448927322175E-2</v>
      </c>
      <c r="K109" s="25">
        <f t="shared" si="22"/>
        <v>7.2276621787025652E-2</v>
      </c>
      <c r="L109" s="25"/>
      <c r="M109" s="25"/>
      <c r="N109" s="25">
        <f>(F107+F111)/(F55+F59)-1</f>
        <v>0.12428379272162471</v>
      </c>
      <c r="O109" s="25">
        <f t="shared" si="15"/>
        <v>0.12242152466367706</v>
      </c>
      <c r="P109" s="25"/>
      <c r="Q109" s="54">
        <v>8584</v>
      </c>
      <c r="R109" s="54">
        <v>2875</v>
      </c>
      <c r="V109" s="25"/>
      <c r="W109" s="25">
        <f t="shared" ref="W109:W120" si="37">Q109/$G$120</f>
        <v>3.8843562349257205E-2</v>
      </c>
      <c r="X109" s="25">
        <f t="shared" si="31"/>
        <v>0.10632813506895222</v>
      </c>
      <c r="Y109" s="25"/>
      <c r="Z109" s="25"/>
      <c r="AA109" s="25"/>
      <c r="AB109" s="25"/>
      <c r="AC109" s="54">
        <v>10746</v>
      </c>
      <c r="AD109" s="54">
        <v>3276</v>
      </c>
      <c r="AH109" s="25"/>
      <c r="AI109" s="25">
        <f t="shared" ref="AI109:AI120" si="38">AC109/$G$120</f>
        <v>4.8626854730325943E-2</v>
      </c>
      <c r="AJ109" s="25">
        <f t="shared" si="24"/>
        <v>6.6494640730448529E-2</v>
      </c>
      <c r="AK109" s="25"/>
      <c r="AL109" s="25"/>
      <c r="AM109" s="25">
        <f>(AE107+AE111)/(AE55+AE59)-1</f>
        <v>-0.17485784619651901</v>
      </c>
      <c r="AN109" s="25">
        <f t="shared" si="16"/>
        <v>-0.13603473227206941</v>
      </c>
      <c r="AP109" s="59">
        <v>3677</v>
      </c>
      <c r="AQ109" s="59">
        <v>1051</v>
      </c>
      <c r="AU109" s="25"/>
      <c r="AV109" s="25">
        <f t="shared" ref="AV109:AV120" si="39">AP109/$G$120</f>
        <v>1.6638837227192303E-2</v>
      </c>
      <c r="AW109" s="25">
        <f t="shared" si="26"/>
        <v>7.8299120234604169E-2</v>
      </c>
      <c r="AX109" s="25"/>
      <c r="AY109" s="25"/>
      <c r="AZ109" s="25">
        <f>(AR107+AR111)/(AR55+AR59)-1</f>
        <v>0.16482623628910154</v>
      </c>
      <c r="BA109" s="25">
        <f t="shared" si="17"/>
        <v>0.16323948117684273</v>
      </c>
    </row>
    <row r="110" spans="1:53" s="54" customFormat="1" ht="14.25" x14ac:dyDescent="0.2">
      <c r="A110" s="60"/>
      <c r="B110" s="74">
        <v>39101</v>
      </c>
      <c r="D110" s="54">
        <v>16571</v>
      </c>
      <c r="E110" s="54">
        <v>5386</v>
      </c>
      <c r="I110" s="25"/>
      <c r="J110" s="25">
        <f t="shared" si="36"/>
        <v>7.4985632769051846E-2</v>
      </c>
      <c r="K110" s="25">
        <f t="shared" si="22"/>
        <v>-5.4220649506306673E-2</v>
      </c>
      <c r="L110" s="25"/>
      <c r="M110" s="25"/>
      <c r="N110" s="25"/>
      <c r="O110" s="25">
        <f t="shared" si="15"/>
        <v>0.10998727309263856</v>
      </c>
      <c r="P110" s="25"/>
      <c r="Q110" s="54">
        <v>8390</v>
      </c>
      <c r="R110" s="54">
        <v>2842</v>
      </c>
      <c r="V110" s="25"/>
      <c r="W110" s="25">
        <f t="shared" si="37"/>
        <v>3.7965690599984614E-2</v>
      </c>
      <c r="X110" s="25">
        <f t="shared" si="31"/>
        <v>-2.2600186393289867E-2</v>
      </c>
      <c r="Y110" s="25"/>
      <c r="Z110" s="25"/>
      <c r="AA110" s="25"/>
      <c r="AB110" s="25"/>
      <c r="AC110" s="54">
        <v>10042</v>
      </c>
      <c r="AD110" s="54">
        <v>3039</v>
      </c>
      <c r="AH110" s="25"/>
      <c r="AI110" s="25">
        <f t="shared" si="38"/>
        <v>4.5441175805130574E-2</v>
      </c>
      <c r="AJ110" s="25">
        <f t="shared" si="24"/>
        <v>-6.5512748929834386E-2</v>
      </c>
      <c r="AK110" s="25"/>
      <c r="AL110" s="25"/>
      <c r="AM110" s="25"/>
      <c r="AN110" s="25">
        <f t="shared" si="16"/>
        <v>-0.17755937755937756</v>
      </c>
      <c r="AP110" s="59">
        <v>3403</v>
      </c>
      <c r="AQ110" s="59">
        <v>1023</v>
      </c>
      <c r="AU110" s="25"/>
      <c r="AV110" s="25">
        <f t="shared" si="39"/>
        <v>1.5398956509147514E-2</v>
      </c>
      <c r="AW110" s="25">
        <f t="shared" si="26"/>
        <v>-7.4517269513190154E-2</v>
      </c>
      <c r="AX110" s="25"/>
      <c r="AY110" s="25"/>
      <c r="AZ110" s="25"/>
      <c r="BA110" s="25">
        <f t="shared" si="17"/>
        <v>0.17466344494304442</v>
      </c>
    </row>
    <row r="111" spans="1:53" s="54" customFormat="1" ht="14.25" x14ac:dyDescent="0.2">
      <c r="A111" s="60"/>
      <c r="B111" s="74">
        <v>39108</v>
      </c>
      <c r="D111" s="54">
        <v>16346</v>
      </c>
      <c r="E111" s="54">
        <v>5489</v>
      </c>
      <c r="F111" s="54">
        <f>SUM(D108:D111)</f>
        <v>66778</v>
      </c>
      <c r="I111" s="25"/>
      <c r="J111" s="25">
        <f t="shared" si="36"/>
        <v>7.3967482544380042E-2</v>
      </c>
      <c r="K111" s="25">
        <f t="shared" si="22"/>
        <v>-1.3577937360448988E-2</v>
      </c>
      <c r="L111" s="25">
        <f>F111/F107-1</f>
        <v>-0.20981197268929941</v>
      </c>
      <c r="M111" s="25"/>
      <c r="N111" s="25"/>
      <c r="O111" s="25">
        <f t="shared" si="15"/>
        <v>0.11981914091936696</v>
      </c>
      <c r="P111" s="25"/>
      <c r="Q111" s="54">
        <v>8424</v>
      </c>
      <c r="R111" s="54">
        <v>3035</v>
      </c>
      <c r="S111" s="54">
        <f>SUM(Q108:Q111)</f>
        <v>33157</v>
      </c>
      <c r="V111" s="25"/>
      <c r="W111" s="25">
        <f t="shared" si="37"/>
        <v>3.8119544411712801E-2</v>
      </c>
      <c r="X111" s="25">
        <f t="shared" si="31"/>
        <v>4.0524433849822294E-3</v>
      </c>
      <c r="Y111" s="25">
        <f>S111/S107-1</f>
        <v>-0.12006050794830281</v>
      </c>
      <c r="Z111" s="25"/>
      <c r="AA111" s="25"/>
      <c r="AB111" s="25"/>
      <c r="AC111" s="54">
        <v>10212</v>
      </c>
      <c r="AD111" s="54">
        <v>3195</v>
      </c>
      <c r="AE111" s="54">
        <f>SUM(AC108:AC111)</f>
        <v>41076</v>
      </c>
      <c r="AH111" s="25"/>
      <c r="AI111" s="25">
        <f t="shared" si="38"/>
        <v>4.6210444863771502E-2</v>
      </c>
      <c r="AJ111" s="25">
        <f t="shared" si="24"/>
        <v>1.6928898625771849E-2</v>
      </c>
      <c r="AK111" s="25">
        <f>AE111/AE107-1</f>
        <v>-0.24100593137345483</v>
      </c>
      <c r="AL111" s="25"/>
      <c r="AM111" s="25"/>
      <c r="AN111" s="25">
        <f t="shared" si="16"/>
        <v>-0.14443699731903481</v>
      </c>
      <c r="AP111" s="59">
        <v>3406</v>
      </c>
      <c r="AQ111" s="59">
        <v>1055</v>
      </c>
      <c r="AR111" s="54">
        <f>SUM(AP108:AP111)</f>
        <v>13896</v>
      </c>
      <c r="AU111" s="25"/>
      <c r="AV111" s="25">
        <f t="shared" si="39"/>
        <v>1.5412531845476472E-2</v>
      </c>
      <c r="AW111" s="25">
        <f t="shared" si="26"/>
        <v>8.8157508081110336E-4</v>
      </c>
      <c r="AX111" s="25">
        <f>AR111/AR107-1</f>
        <v>-0.21242348673770117</v>
      </c>
      <c r="AY111" s="25"/>
      <c r="AZ111" s="25"/>
      <c r="BA111" s="25">
        <f t="shared" si="17"/>
        <v>0.14525891055817075</v>
      </c>
    </row>
    <row r="112" spans="1:53" s="54" customFormat="1" ht="14.25" x14ac:dyDescent="0.2">
      <c r="A112" s="60"/>
      <c r="B112" s="74">
        <v>39115</v>
      </c>
      <c r="D112" s="54">
        <v>17544</v>
      </c>
      <c r="E112" s="54">
        <v>5857</v>
      </c>
      <c r="I112" s="25"/>
      <c r="J112" s="25">
        <f t="shared" si="36"/>
        <v>7.9388566851743753E-2</v>
      </c>
      <c r="K112" s="25">
        <f t="shared" si="22"/>
        <v>7.3290101553896925E-2</v>
      </c>
      <c r="L112" s="25"/>
      <c r="M112" s="25"/>
      <c r="N112" s="25"/>
      <c r="O112" s="25">
        <f t="shared" si="15"/>
        <v>0.11277432449575042</v>
      </c>
      <c r="P112" s="25"/>
      <c r="Q112" s="54">
        <v>8912</v>
      </c>
      <c r="R112" s="54">
        <v>3219</v>
      </c>
      <c r="V112" s="25"/>
      <c r="W112" s="25">
        <f t="shared" si="37"/>
        <v>4.032779912122323E-2</v>
      </c>
      <c r="X112" s="25">
        <f t="shared" si="31"/>
        <v>5.792972459639123E-2</v>
      </c>
      <c r="Y112" s="25"/>
      <c r="Z112" s="25"/>
      <c r="AA112" s="25"/>
      <c r="AB112" s="25"/>
      <c r="AC112" s="54">
        <v>10865</v>
      </c>
      <c r="AD112" s="54">
        <v>3316</v>
      </c>
      <c r="AH112" s="25"/>
      <c r="AI112" s="25">
        <f t="shared" si="38"/>
        <v>4.9165343071374594E-2</v>
      </c>
      <c r="AJ112" s="25">
        <f t="shared" si="24"/>
        <v>6.3944379161770426E-2</v>
      </c>
      <c r="AK112" s="25"/>
      <c r="AL112" s="25"/>
      <c r="AM112" s="25"/>
      <c r="AN112" s="25">
        <f t="shared" si="16"/>
        <v>-0.12322466107165908</v>
      </c>
      <c r="AP112" s="59">
        <v>3491</v>
      </c>
      <c r="AQ112" s="59">
        <v>1115</v>
      </c>
      <c r="AU112" s="25"/>
      <c r="AV112" s="25">
        <f t="shared" si="39"/>
        <v>1.5797166374796934E-2</v>
      </c>
      <c r="AW112" s="25">
        <f t="shared" si="26"/>
        <v>2.4955960070463856E-2</v>
      </c>
      <c r="AX112" s="25"/>
      <c r="AY112" s="25"/>
      <c r="AZ112" s="25"/>
      <c r="BA112" s="25">
        <f t="shared" si="17"/>
        <v>0.20712309820193631</v>
      </c>
    </row>
    <row r="113" spans="1:53" s="54" customFormat="1" ht="14.25" x14ac:dyDescent="0.2">
      <c r="A113" s="60"/>
      <c r="B113" s="74">
        <v>39122</v>
      </c>
      <c r="D113" s="54">
        <v>17125</v>
      </c>
      <c r="E113" s="54">
        <v>5639</v>
      </c>
      <c r="I113" s="25"/>
      <c r="J113" s="25">
        <f t="shared" si="36"/>
        <v>7.7492544877799344E-2</v>
      </c>
      <c r="K113" s="25">
        <f t="shared" si="22"/>
        <v>-2.3882808937528477E-2</v>
      </c>
      <c r="L113" s="25"/>
      <c r="M113" s="25"/>
      <c r="N113" s="25">
        <f>(F111+F115)/(F59+F63)-1</f>
        <v>0.10480983972674718</v>
      </c>
      <c r="O113" s="25">
        <f t="shared" si="15"/>
        <v>0.10533789453301501</v>
      </c>
      <c r="P113" s="25"/>
      <c r="Q113" s="54">
        <v>9304</v>
      </c>
      <c r="R113" s="54">
        <v>3280</v>
      </c>
      <c r="V113" s="25"/>
      <c r="W113" s="25">
        <f t="shared" si="37"/>
        <v>4.2101643068207018E-2</v>
      </c>
      <c r="X113" s="25">
        <f t="shared" si="31"/>
        <v>4.398563734290839E-2</v>
      </c>
      <c r="Y113" s="25"/>
      <c r="Z113" s="25"/>
      <c r="AA113" s="25"/>
      <c r="AB113" s="25"/>
      <c r="AC113" s="54">
        <v>10258</v>
      </c>
      <c r="AD113" s="54">
        <v>3175</v>
      </c>
      <c r="AH113" s="25"/>
      <c r="AI113" s="25">
        <f t="shared" si="38"/>
        <v>4.6418600020815513E-2</v>
      </c>
      <c r="AJ113" s="25">
        <f t="shared" si="24"/>
        <v>-5.5867464335020656E-2</v>
      </c>
      <c r="AK113" s="25"/>
      <c r="AL113" s="25"/>
      <c r="AM113" s="25">
        <f>(AE111+AE115)/(AE59+AE63)-1</f>
        <v>-0.15030478355201982</v>
      </c>
      <c r="AN113" s="25">
        <f t="shared" si="16"/>
        <v>-0.16757283129108169</v>
      </c>
      <c r="AP113" s="59">
        <v>3599</v>
      </c>
      <c r="AQ113" s="59">
        <v>1058</v>
      </c>
      <c r="AU113" s="25"/>
      <c r="AV113" s="25">
        <f t="shared" si="39"/>
        <v>1.6285878482639408E-2</v>
      </c>
      <c r="AW113" s="25">
        <f t="shared" si="26"/>
        <v>3.0936694356917815E-2</v>
      </c>
      <c r="AX113" s="25"/>
      <c r="AY113" s="25"/>
      <c r="AZ113" s="25">
        <f>(AR111+AR115)/(AR59+AR63)-1</f>
        <v>0.16355179349648008</v>
      </c>
      <c r="BA113" s="25">
        <f t="shared" si="17"/>
        <v>0.19211659489897315</v>
      </c>
    </row>
    <row r="114" spans="1:53" s="54" customFormat="1" ht="14.25" x14ac:dyDescent="0.2">
      <c r="A114" s="60"/>
      <c r="B114" s="74">
        <v>39129</v>
      </c>
      <c r="D114" s="54">
        <v>16729</v>
      </c>
      <c r="E114" s="54">
        <v>5342</v>
      </c>
      <c r="I114" s="25"/>
      <c r="J114" s="25">
        <f t="shared" si="36"/>
        <v>7.5700600482376951E-2</v>
      </c>
      <c r="K114" s="25">
        <f t="shared" si="22"/>
        <v>-2.3124087591240849E-2</v>
      </c>
      <c r="L114" s="25"/>
      <c r="M114" s="25"/>
      <c r="N114" s="25"/>
      <c r="O114" s="25">
        <f t="shared" si="15"/>
        <v>4.8445725745800861E-2</v>
      </c>
      <c r="P114" s="25"/>
      <c r="Q114" s="54">
        <v>9209</v>
      </c>
      <c r="R114" s="54">
        <v>3319</v>
      </c>
      <c r="V114" s="25"/>
      <c r="W114" s="25">
        <f t="shared" si="37"/>
        <v>4.1671757417790029E-2</v>
      </c>
      <c r="X114" s="25">
        <f t="shared" si="31"/>
        <v>-1.0210662080825439E-2</v>
      </c>
      <c r="Y114" s="25"/>
      <c r="Z114" s="25"/>
      <c r="AA114" s="25"/>
      <c r="AB114" s="25"/>
      <c r="AC114" s="54">
        <v>10149</v>
      </c>
      <c r="AD114" s="54">
        <v>3098</v>
      </c>
      <c r="AH114" s="25"/>
      <c r="AI114" s="25">
        <f t="shared" si="38"/>
        <v>4.5925362800863394E-2</v>
      </c>
      <c r="AJ114" s="25">
        <f t="shared" si="24"/>
        <v>-1.0625852992786067E-2</v>
      </c>
      <c r="AK114" s="25"/>
      <c r="AL114" s="25"/>
      <c r="AM114" s="25"/>
      <c r="AN114" s="25">
        <f t="shared" si="16"/>
        <v>-0.13720989543483808</v>
      </c>
      <c r="AP114" s="59">
        <v>3472</v>
      </c>
      <c r="AQ114" s="59">
        <v>1006</v>
      </c>
      <c r="AU114" s="25"/>
      <c r="AV114" s="25">
        <f t="shared" si="39"/>
        <v>1.5711189244713538E-2</v>
      </c>
      <c r="AW114" s="25">
        <f t="shared" si="26"/>
        <v>-3.528757988330089E-2</v>
      </c>
      <c r="AX114" s="25"/>
      <c r="AY114" s="25"/>
      <c r="AZ114" s="25"/>
      <c r="BA114" s="25">
        <f t="shared" si="17"/>
        <v>0.16120401337792645</v>
      </c>
    </row>
    <row r="115" spans="1:53" s="54" customFormat="1" ht="14.25" x14ac:dyDescent="0.2">
      <c r="A115" s="60"/>
      <c r="B115" s="74">
        <v>39136</v>
      </c>
      <c r="D115" s="54">
        <v>16381</v>
      </c>
      <c r="E115" s="54">
        <v>5465</v>
      </c>
      <c r="F115" s="54">
        <f>SUM(D112:D115)</f>
        <v>67779</v>
      </c>
      <c r="I115" s="25"/>
      <c r="J115" s="25">
        <f t="shared" si="36"/>
        <v>7.4125861468217868E-2</v>
      </c>
      <c r="K115" s="25">
        <f t="shared" si="22"/>
        <v>-2.0802199772849583E-2</v>
      </c>
      <c r="L115" s="25">
        <f>F115/F111-1</f>
        <v>1.4989966755518225E-2</v>
      </c>
      <c r="M115" s="25"/>
      <c r="N115" s="25"/>
      <c r="O115" s="25">
        <f t="shared" si="15"/>
        <v>6.9954278249510171E-2</v>
      </c>
      <c r="P115" s="25"/>
      <c r="Q115" s="54">
        <v>9152</v>
      </c>
      <c r="R115" s="54">
        <v>3199</v>
      </c>
      <c r="S115" s="54">
        <f>SUM(Q112:Q115)</f>
        <v>36577</v>
      </c>
      <c r="V115" s="25"/>
      <c r="W115" s="25">
        <f t="shared" si="37"/>
        <v>4.1413826027539832E-2</v>
      </c>
      <c r="X115" s="25">
        <f t="shared" si="31"/>
        <v>-6.1895971332391886E-3</v>
      </c>
      <c r="Y115" s="25">
        <f>S115/S111-1</f>
        <v>0.10314564043791652</v>
      </c>
      <c r="Z115" s="25"/>
      <c r="AA115" s="25"/>
      <c r="AB115" s="25"/>
      <c r="AC115" s="54">
        <v>9894</v>
      </c>
      <c r="AD115" s="54">
        <v>2998</v>
      </c>
      <c r="AE115" s="54">
        <f>SUM(AC112:AC115)</f>
        <v>41166</v>
      </c>
      <c r="AH115" s="25"/>
      <c r="AI115" s="25">
        <f t="shared" si="38"/>
        <v>4.4771459212902001E-2</v>
      </c>
      <c r="AJ115" s="25">
        <f t="shared" si="24"/>
        <v>-2.5125628140703515E-2</v>
      </c>
      <c r="AK115" s="25">
        <f>AE115/AE111-1</f>
        <v>2.191060473269113E-3</v>
      </c>
      <c r="AL115" s="25"/>
      <c r="AM115" s="25"/>
      <c r="AN115" s="25">
        <f t="shared" si="16"/>
        <v>-0.15000000000000002</v>
      </c>
      <c r="AP115" s="59">
        <v>3309</v>
      </c>
      <c r="AQ115" s="59">
        <v>917</v>
      </c>
      <c r="AR115" s="54">
        <f>SUM(AP112:AP115)</f>
        <v>13871</v>
      </c>
      <c r="AU115" s="25"/>
      <c r="AV115" s="25">
        <f t="shared" si="39"/>
        <v>1.4973595970840178E-2</v>
      </c>
      <c r="AW115" s="25">
        <f t="shared" si="26"/>
        <v>-4.6947004608294929E-2</v>
      </c>
      <c r="AX115" s="25">
        <f>AR115/AR111-1</f>
        <v>-1.7990788716176764E-3</v>
      </c>
      <c r="AY115" s="25"/>
      <c r="AZ115" s="25"/>
      <c r="BA115" s="25">
        <f t="shared" si="17"/>
        <v>6.3645130183220822E-2</v>
      </c>
    </row>
    <row r="116" spans="1:53" s="54" customFormat="1" ht="14.25" x14ac:dyDescent="0.2">
      <c r="A116" s="60"/>
      <c r="B116" s="74">
        <v>39143</v>
      </c>
      <c r="D116" s="54">
        <v>17951</v>
      </c>
      <c r="E116" s="54">
        <v>5687</v>
      </c>
      <c r="I116" s="25"/>
      <c r="J116" s="25">
        <f t="shared" si="36"/>
        <v>8.1230287480372323E-2</v>
      </c>
      <c r="K116" s="25">
        <f t="shared" si="22"/>
        <v>9.5842744643184208E-2</v>
      </c>
      <c r="L116" s="25"/>
      <c r="M116" s="25"/>
      <c r="N116" s="25"/>
      <c r="O116" s="25">
        <f t="shared" si="15"/>
        <v>4.6583488805970186E-2</v>
      </c>
      <c r="P116" s="25"/>
      <c r="Q116" s="54">
        <v>9574</v>
      </c>
      <c r="R116" s="54">
        <v>3266</v>
      </c>
      <c r="V116" s="25"/>
      <c r="W116" s="25">
        <f t="shared" si="37"/>
        <v>4.3323423337813194E-2</v>
      </c>
      <c r="X116" s="25">
        <f t="shared" si="31"/>
        <v>4.6110139860139787E-2</v>
      </c>
      <c r="Y116" s="25"/>
      <c r="Z116" s="25"/>
      <c r="AA116" s="25"/>
      <c r="AB116" s="25"/>
      <c r="AC116" s="54">
        <v>10910</v>
      </c>
      <c r="AD116" s="54">
        <v>3292</v>
      </c>
      <c r="AH116" s="25"/>
      <c r="AI116" s="25">
        <f t="shared" si="38"/>
        <v>4.9368973116308959E-2</v>
      </c>
      <c r="AJ116" s="25">
        <f t="shared" si="24"/>
        <v>0.10268849807964431</v>
      </c>
      <c r="AK116" s="25"/>
      <c r="AL116" s="25"/>
      <c r="AM116" s="25"/>
      <c r="AN116" s="25">
        <f t="shared" si="16"/>
        <v>-0.17660377358490564</v>
      </c>
      <c r="AP116" s="59">
        <v>3742</v>
      </c>
      <c r="AQ116" s="59">
        <v>1144</v>
      </c>
      <c r="AU116" s="25"/>
      <c r="AV116" s="25">
        <f t="shared" si="39"/>
        <v>1.6932969514319718E-2</v>
      </c>
      <c r="AW116" s="25">
        <f t="shared" si="26"/>
        <v>0.13085524327591425</v>
      </c>
      <c r="AX116" s="25"/>
      <c r="AY116" s="25"/>
      <c r="AZ116" s="25"/>
      <c r="BA116" s="25">
        <f t="shared" si="17"/>
        <v>0.20321543408360121</v>
      </c>
    </row>
    <row r="117" spans="1:53" s="54" customFormat="1" ht="14.25" x14ac:dyDescent="0.2">
      <c r="A117" s="60"/>
      <c r="B117" s="74">
        <v>39150</v>
      </c>
      <c r="D117" s="54">
        <v>18069</v>
      </c>
      <c r="E117" s="54">
        <v>5829</v>
      </c>
      <c r="I117" s="25"/>
      <c r="J117" s="25">
        <f t="shared" si="36"/>
        <v>8.1764250709311329E-2</v>
      </c>
      <c r="K117" s="25">
        <f t="shared" si="22"/>
        <v>6.5734499470782026E-3</v>
      </c>
      <c r="L117" s="25"/>
      <c r="M117" s="25"/>
      <c r="N117" s="25">
        <f>(F115+F120)/(F63+F68)-1</f>
        <v>5.6406146173712202E-2</v>
      </c>
      <c r="O117" s="25">
        <f t="shared" ref="O117:O132" si="40">D117/D65-1</f>
        <v>7.2407858033117778E-2</v>
      </c>
      <c r="P117" s="25"/>
      <c r="Q117" s="54">
        <v>10040</v>
      </c>
      <c r="R117" s="54">
        <v>3399</v>
      </c>
      <c r="V117" s="25"/>
      <c r="W117" s="25">
        <f t="shared" si="37"/>
        <v>4.5432125580911267E-2</v>
      </c>
      <c r="X117" s="25">
        <f t="shared" si="31"/>
        <v>4.8673490703990074E-2</v>
      </c>
      <c r="Y117" s="25"/>
      <c r="Z117" s="25"/>
      <c r="AA117" s="25"/>
      <c r="AB117" s="25"/>
      <c r="AC117" s="54">
        <v>10278</v>
      </c>
      <c r="AD117" s="54">
        <v>3110</v>
      </c>
      <c r="AH117" s="25"/>
      <c r="AI117" s="25">
        <f t="shared" si="38"/>
        <v>4.6509102263008563E-2</v>
      </c>
      <c r="AJ117" s="25">
        <f t="shared" si="24"/>
        <v>-5.7928505957836829E-2</v>
      </c>
      <c r="AK117" s="25"/>
      <c r="AL117" s="25"/>
      <c r="AM117" s="25">
        <f>(AE115+AE120)/(AE63+AE68)-1</f>
        <v>-0.15534222091191352</v>
      </c>
      <c r="AN117" s="25">
        <f t="shared" si="16"/>
        <v>-0.1703261220536002</v>
      </c>
      <c r="AP117" s="59">
        <v>3781</v>
      </c>
      <c r="AQ117" s="59">
        <v>1088</v>
      </c>
      <c r="AU117" s="25"/>
      <c r="AV117" s="25">
        <f t="shared" si="39"/>
        <v>1.7109448886596164E-2</v>
      </c>
      <c r="AW117" s="25">
        <f t="shared" si="26"/>
        <v>1.0422234099412009E-2</v>
      </c>
      <c r="AX117" s="25"/>
      <c r="AY117" s="25"/>
      <c r="AZ117" s="25">
        <f>(AR115+AR120)/(AR63+AR68)-1</f>
        <v>0.1652246924396743</v>
      </c>
      <c r="BA117" s="25">
        <f t="shared" si="17"/>
        <v>0.20644543714103381</v>
      </c>
    </row>
    <row r="118" spans="1:53" s="54" customFormat="1" ht="14.25" x14ac:dyDescent="0.2">
      <c r="A118" s="60"/>
      <c r="B118" s="74">
        <v>39157</v>
      </c>
      <c r="D118" s="54">
        <v>17099</v>
      </c>
      <c r="E118" s="54">
        <v>5677</v>
      </c>
      <c r="I118" s="25"/>
      <c r="J118" s="25">
        <f t="shared" si="36"/>
        <v>7.7374891962948389E-2</v>
      </c>
      <c r="K118" s="25">
        <f t="shared" si="22"/>
        <v>-5.3683103658199172E-2</v>
      </c>
      <c r="L118" s="25"/>
      <c r="M118" s="25"/>
      <c r="N118" s="25"/>
      <c r="O118" s="25">
        <f t="shared" si="40"/>
        <v>4.1415433339423879E-2</v>
      </c>
      <c r="P118" s="25"/>
      <c r="Q118" s="54">
        <v>10068</v>
      </c>
      <c r="R118" s="54">
        <v>3572</v>
      </c>
      <c r="V118" s="25"/>
      <c r="W118" s="25">
        <f t="shared" si="37"/>
        <v>4.5558828719981535E-2</v>
      </c>
      <c r="X118" s="25">
        <f t="shared" si="31"/>
        <v>2.7888446215138529E-3</v>
      </c>
      <c r="Y118" s="25"/>
      <c r="Z118" s="25"/>
      <c r="AA118" s="25"/>
      <c r="AB118" s="25"/>
      <c r="AC118" s="54">
        <v>10014</v>
      </c>
      <c r="AD118" s="54">
        <v>2963</v>
      </c>
      <c r="AH118" s="25"/>
      <c r="AI118" s="25">
        <f t="shared" si="38"/>
        <v>4.5314472666060299E-2</v>
      </c>
      <c r="AJ118" s="25">
        <f t="shared" si="24"/>
        <v>-2.5685931115002947E-2</v>
      </c>
      <c r="AK118" s="25"/>
      <c r="AL118" s="25"/>
      <c r="AM118" s="25"/>
      <c r="AN118" s="25">
        <f t="shared" si="16"/>
        <v>-0.14694607717863528</v>
      </c>
      <c r="AP118" s="59">
        <v>3555</v>
      </c>
      <c r="AQ118" s="59">
        <v>1094</v>
      </c>
      <c r="AU118" s="25"/>
      <c r="AV118" s="25">
        <f t="shared" si="39"/>
        <v>1.6086773549814696E-2</v>
      </c>
      <c r="AW118" s="25">
        <f t="shared" si="26"/>
        <v>-5.977254694525258E-2</v>
      </c>
      <c r="AX118" s="25"/>
      <c r="AY118" s="25"/>
      <c r="AZ118" s="25"/>
      <c r="BA118" s="25">
        <f t="shared" si="17"/>
        <v>0.18896321070234112</v>
      </c>
    </row>
    <row r="119" spans="1:53" s="54" customFormat="1" ht="14.25" x14ac:dyDescent="0.2">
      <c r="A119" s="60"/>
      <c r="B119" s="74">
        <v>39164</v>
      </c>
      <c r="D119" s="54">
        <v>16670</v>
      </c>
      <c r="E119" s="54">
        <v>5504</v>
      </c>
      <c r="I119" s="25"/>
      <c r="J119" s="25">
        <f t="shared" si="36"/>
        <v>7.5433618867907448E-2</v>
      </c>
      <c r="K119" s="25">
        <f t="shared" si="22"/>
        <v>-2.5089186502134653E-2</v>
      </c>
      <c r="L119" s="25"/>
      <c r="M119" s="25"/>
      <c r="N119" s="25"/>
      <c r="O119" s="25">
        <f t="shared" si="40"/>
        <v>2.635143455239497E-2</v>
      </c>
      <c r="P119" s="25"/>
      <c r="Q119" s="54">
        <v>9868</v>
      </c>
      <c r="R119" s="54">
        <v>3476</v>
      </c>
      <c r="V119" s="25"/>
      <c r="W119" s="25">
        <f t="shared" si="37"/>
        <v>4.4653806298051033E-2</v>
      </c>
      <c r="X119" s="25">
        <f t="shared" si="31"/>
        <v>-1.9864918553833877E-2</v>
      </c>
      <c r="Y119" s="25"/>
      <c r="Z119" s="25"/>
      <c r="AA119" s="25"/>
      <c r="AB119" s="25"/>
      <c r="AC119" s="54">
        <v>9777</v>
      </c>
      <c r="AD119" s="54">
        <v>3005</v>
      </c>
      <c r="AH119" s="25"/>
      <c r="AI119" s="25">
        <f t="shared" si="38"/>
        <v>4.4242021096072656E-2</v>
      </c>
      <c r="AJ119" s="25">
        <f t="shared" si="24"/>
        <v>-2.3666866387058172E-2</v>
      </c>
      <c r="AK119" s="25"/>
      <c r="AL119" s="25"/>
      <c r="AM119" s="25"/>
      <c r="AN119" s="25">
        <f t="shared" si="16"/>
        <v>-0.144993441189331</v>
      </c>
      <c r="AP119" s="59">
        <v>3418</v>
      </c>
      <c r="AQ119" s="59">
        <v>1026</v>
      </c>
      <c r="AU119" s="25"/>
      <c r="AV119" s="25">
        <f t="shared" si="39"/>
        <v>1.5466833190792301E-2</v>
      </c>
      <c r="AW119" s="25">
        <f t="shared" si="26"/>
        <v>-3.8537271448663812E-2</v>
      </c>
      <c r="AX119" s="25"/>
      <c r="AY119" s="25"/>
      <c r="AZ119" s="25"/>
      <c r="BA119" s="25">
        <f t="shared" si="17"/>
        <v>9.2012779552715696E-2</v>
      </c>
    </row>
    <row r="120" spans="1:53" s="54" customFormat="1" ht="14.25" x14ac:dyDescent="0.2">
      <c r="A120" s="60"/>
      <c r="B120" s="74">
        <v>39171</v>
      </c>
      <c r="D120" s="54">
        <v>16643</v>
      </c>
      <c r="E120" s="54">
        <v>5423</v>
      </c>
      <c r="F120" s="54">
        <f>SUM(D116:D120)</f>
        <v>86432</v>
      </c>
      <c r="G120" s="54">
        <f>SUM(F111:F120)</f>
        <v>220989</v>
      </c>
      <c r="H120" s="54">
        <v>345938</v>
      </c>
      <c r="I120" s="25">
        <f>G120/H120-1</f>
        <v>-0.36118899918482505</v>
      </c>
      <c r="J120" s="25">
        <f t="shared" si="36"/>
        <v>7.5311440840946833E-2</v>
      </c>
      <c r="K120" s="25">
        <f t="shared" si="22"/>
        <v>-1.6196760647870789E-3</v>
      </c>
      <c r="L120" s="25">
        <f>F120/F115-1</f>
        <v>0.27520323404004188</v>
      </c>
      <c r="M120" s="25">
        <f>G120/G107-1</f>
        <v>-1.0748019159317779E-2</v>
      </c>
      <c r="N120" s="25"/>
      <c r="O120" s="25">
        <f t="shared" si="40"/>
        <v>-8.7552114353781629E-3</v>
      </c>
      <c r="P120" s="25"/>
      <c r="Q120" s="54">
        <v>9664</v>
      </c>
      <c r="R120" s="54">
        <v>3244</v>
      </c>
      <c r="S120" s="54">
        <f>SUM(Q116:Q120)</f>
        <v>49214</v>
      </c>
      <c r="T120" s="54">
        <f>SUM(S111:S120)</f>
        <v>118948</v>
      </c>
      <c r="U120" s="54">
        <v>190183</v>
      </c>
      <c r="V120" s="25">
        <f>T120/U120-1</f>
        <v>-0.37456029192935225</v>
      </c>
      <c r="W120" s="25">
        <f t="shared" si="37"/>
        <v>4.3730683427681924E-2</v>
      </c>
      <c r="X120" s="25">
        <f t="shared" si="31"/>
        <v>-2.0672882042967133E-2</v>
      </c>
      <c r="Y120" s="25">
        <f>S120/S115-1</f>
        <v>0.34549033545670782</v>
      </c>
      <c r="Z120" s="25">
        <f>T120/T107-1</f>
        <v>0.37647399178383378</v>
      </c>
      <c r="AA120" s="25"/>
      <c r="AB120" s="25"/>
      <c r="AC120" s="54">
        <v>9535</v>
      </c>
      <c r="AD120" s="54">
        <v>2923</v>
      </c>
      <c r="AE120" s="54">
        <f>SUM(AC116:AC120)</f>
        <v>50514</v>
      </c>
      <c r="AF120" s="54">
        <f>SUM(AE111:AE120)</f>
        <v>132756</v>
      </c>
      <c r="AG120" s="54">
        <v>160678</v>
      </c>
      <c r="AH120" s="25">
        <f>AF120/AG120-1</f>
        <v>-0.17377612367592332</v>
      </c>
      <c r="AI120" s="25">
        <f t="shared" si="38"/>
        <v>4.3146943965536748E-2</v>
      </c>
      <c r="AJ120" s="25">
        <f t="shared" si="24"/>
        <v>-2.4751968906617572E-2</v>
      </c>
      <c r="AK120" s="25">
        <f>AE120/AE115-1</f>
        <v>0.22708060049555456</v>
      </c>
      <c r="AL120" s="25">
        <f>AF120/AF107-1</f>
        <v>-5.1024347005589998E-2</v>
      </c>
      <c r="AM120" s="25"/>
      <c r="AN120" s="25">
        <f t="shared" ref="AN120:AN132" si="41">AC120/AC68-1</f>
        <v>-0.17879596933941955</v>
      </c>
      <c r="AP120" s="59">
        <v>3552</v>
      </c>
      <c r="AQ120" s="59">
        <v>1078</v>
      </c>
      <c r="AR120" s="54">
        <f>SUM(AP116:AP120)</f>
        <v>18048</v>
      </c>
      <c r="AS120" s="54">
        <f>SUM(AR111:AR120)</f>
        <v>45815</v>
      </c>
      <c r="AT120" s="54">
        <v>71344</v>
      </c>
      <c r="AU120" s="25">
        <f>AS120/AT120-1</f>
        <v>-0.35782967032967028</v>
      </c>
      <c r="AV120" s="25">
        <f t="shared" si="39"/>
        <v>1.607319821348574E-2</v>
      </c>
      <c r="AW120" s="25">
        <f t="shared" si="26"/>
        <v>3.9204212990052723E-2</v>
      </c>
      <c r="AX120" s="25">
        <f>AR120/AR115-1</f>
        <v>0.30113185783288876</v>
      </c>
      <c r="AY120" s="25">
        <f>AS120/AS107-1</f>
        <v>2.4485688729874777E-2</v>
      </c>
      <c r="AZ120" s="25"/>
      <c r="BA120" s="25">
        <f t="shared" ref="BA120:BA132" si="42">AP120/AP68-1</f>
        <v>0.17732847199204516</v>
      </c>
    </row>
    <row r="121" spans="1:53" s="54" customFormat="1" ht="14.25" x14ac:dyDescent="0.2">
      <c r="A121" s="60"/>
      <c r="B121" s="74">
        <v>39178</v>
      </c>
      <c r="D121" s="54">
        <v>17934</v>
      </c>
      <c r="E121" s="54">
        <v>5789</v>
      </c>
      <c r="G121" s="23">
        <f>G120/G107-1</f>
        <v>-1.0748019159317779E-2</v>
      </c>
      <c r="H121" s="23">
        <f>H120/H107-1</f>
        <v>2.62177395431622E-2</v>
      </c>
      <c r="I121" s="25"/>
      <c r="J121" s="25">
        <f>D121/$G$133</f>
        <v>7.9642598620665153E-2</v>
      </c>
      <c r="K121" s="25">
        <f t="shared" si="22"/>
        <v>7.7570149612449679E-2</v>
      </c>
      <c r="L121" s="25"/>
      <c r="M121" s="25"/>
      <c r="N121" s="25"/>
      <c r="O121" s="25">
        <f t="shared" si="40"/>
        <v>2.8089887640449396E-2</v>
      </c>
      <c r="P121" s="25"/>
      <c r="Q121" s="54">
        <v>10274</v>
      </c>
      <c r="R121" s="54">
        <v>3435</v>
      </c>
      <c r="T121" s="25">
        <f>T120/T107-1</f>
        <v>0.37647399178383378</v>
      </c>
      <c r="U121" s="25">
        <f>U120/U107-1</f>
        <v>0.384155749636099</v>
      </c>
      <c r="V121" s="25"/>
      <c r="W121" s="25">
        <f>Q121/$G$133</f>
        <v>4.5625519026916125E-2</v>
      </c>
      <c r="X121" s="25">
        <f t="shared" si="31"/>
        <v>6.31208609271523E-2</v>
      </c>
      <c r="Y121" s="25"/>
      <c r="Z121" s="25"/>
      <c r="AA121" s="25"/>
      <c r="AB121" s="25"/>
      <c r="AC121" s="54">
        <v>10453</v>
      </c>
      <c r="AD121" s="54">
        <v>3148</v>
      </c>
      <c r="AH121" s="25"/>
      <c r="AI121" s="25">
        <f>AC121/$G$133</f>
        <v>4.6420435116639507E-2</v>
      </c>
      <c r="AJ121" s="25">
        <f t="shared" si="24"/>
        <v>9.6276874672260204E-2</v>
      </c>
      <c r="AK121" s="25"/>
      <c r="AL121" s="25"/>
      <c r="AM121" s="25"/>
      <c r="AN121" s="25">
        <f t="shared" si="41"/>
        <v>-0.15360323886639671</v>
      </c>
      <c r="AP121" s="59">
        <v>3462</v>
      </c>
      <c r="AQ121" s="59">
        <v>951</v>
      </c>
      <c r="AU121" s="25"/>
      <c r="AV121" s="25">
        <f>AP121/$G$133</f>
        <v>1.537429889733148E-2</v>
      </c>
      <c r="AW121" s="25">
        <f t="shared" si="26"/>
        <v>-2.5337837837837829E-2</v>
      </c>
      <c r="AX121" s="25"/>
      <c r="AY121" s="25"/>
      <c r="AZ121" s="25"/>
      <c r="BA121" s="25">
        <f t="shared" si="42"/>
        <v>0.10360216767612362</v>
      </c>
    </row>
    <row r="122" spans="1:53" s="54" customFormat="1" ht="14.25" x14ac:dyDescent="0.2">
      <c r="A122" s="60"/>
      <c r="B122" s="74">
        <v>39185</v>
      </c>
      <c r="D122" s="54">
        <v>17242</v>
      </c>
      <c r="E122" s="54">
        <v>5621</v>
      </c>
      <c r="I122" s="25"/>
      <c r="J122" s="25">
        <f t="shared" ref="J122:J133" si="43">D122/$G$133</f>
        <v>7.6569515190002713E-2</v>
      </c>
      <c r="K122" s="25">
        <f t="shared" si="22"/>
        <v>-3.8585926173748231E-2</v>
      </c>
      <c r="L122" s="25"/>
      <c r="M122" s="25"/>
      <c r="N122" s="25">
        <f>(F120+F124)/(F68+F72)-1</f>
        <v>1.50584661315456E-2</v>
      </c>
      <c r="O122" s="25">
        <f t="shared" si="40"/>
        <v>1.161699131659244E-2</v>
      </c>
      <c r="P122" s="25"/>
      <c r="Q122" s="54">
        <v>10218</v>
      </c>
      <c r="R122" s="54">
        <v>3446</v>
      </c>
      <c r="V122" s="25"/>
      <c r="W122" s="25">
        <f t="shared" ref="W122:W133" si="44">Q122/$G$133</f>
        <v>4.5376830194376966E-2</v>
      </c>
      <c r="X122" s="25">
        <f t="shared" si="31"/>
        <v>-5.4506521315943468E-3</v>
      </c>
      <c r="Y122" s="25"/>
      <c r="Z122" s="25"/>
      <c r="AA122" s="25"/>
      <c r="AB122" s="25"/>
      <c r="AC122" s="54">
        <v>9749</v>
      </c>
      <c r="AD122" s="54">
        <v>3001</v>
      </c>
      <c r="AH122" s="25"/>
      <c r="AI122" s="25">
        <f t="shared" ref="AI122:AI133" si="45">AC122/$G$133</f>
        <v>4.3294061221861524E-2</v>
      </c>
      <c r="AJ122" s="25">
        <f t="shared" si="24"/>
        <v>-6.7349086386683243E-2</v>
      </c>
      <c r="AK122" s="25"/>
      <c r="AL122" s="25"/>
      <c r="AM122" s="25">
        <f>(AE120+AE124)/(AE68+AE72)-1</f>
        <v>-0.16612514313909865</v>
      </c>
      <c r="AN122" s="25">
        <f t="shared" si="41"/>
        <v>-0.16489635086517052</v>
      </c>
      <c r="AP122" s="59">
        <v>3577</v>
      </c>
      <c r="AQ122" s="59">
        <v>992</v>
      </c>
      <c r="AU122" s="25"/>
      <c r="AV122" s="25">
        <f t="shared" ref="AV122:AV133" si="46">AP122/$G$133</f>
        <v>1.5884999178438677E-2</v>
      </c>
      <c r="AW122" s="25">
        <f t="shared" si="26"/>
        <v>3.3217793183131228E-2</v>
      </c>
      <c r="AX122" s="25"/>
      <c r="AY122" s="25"/>
      <c r="AZ122" s="25">
        <f>(AR120+AR124)/(AR68+AR72)-1</f>
        <v>0.1528715003589376</v>
      </c>
      <c r="BA122" s="25">
        <f t="shared" si="42"/>
        <v>0.10777330442861577</v>
      </c>
    </row>
    <row r="123" spans="1:53" s="54" customFormat="1" ht="14.25" x14ac:dyDescent="0.2">
      <c r="A123" s="60"/>
      <c r="B123" s="74">
        <v>39192</v>
      </c>
      <c r="D123" s="54">
        <v>16570</v>
      </c>
      <c r="E123" s="54">
        <v>5446</v>
      </c>
      <c r="I123" s="25"/>
      <c r="J123" s="25">
        <f t="shared" si="43"/>
        <v>7.3585249199532826E-2</v>
      </c>
      <c r="K123" s="25">
        <f t="shared" si="22"/>
        <v>-3.8974596914511106E-2</v>
      </c>
      <c r="L123" s="25"/>
      <c r="M123" s="25"/>
      <c r="N123" s="25"/>
      <c r="O123" s="25">
        <f t="shared" si="40"/>
        <v>-4.479160661785897E-2</v>
      </c>
      <c r="P123" s="25"/>
      <c r="Q123" s="54">
        <v>10313</v>
      </c>
      <c r="R123" s="54">
        <v>3309</v>
      </c>
      <c r="V123" s="25"/>
      <c r="W123" s="25">
        <f t="shared" si="44"/>
        <v>4.5798713035291608E-2</v>
      </c>
      <c r="X123" s="25">
        <f t="shared" si="31"/>
        <v>9.2973184576237156E-3</v>
      </c>
      <c r="Y123" s="25"/>
      <c r="Z123" s="25"/>
      <c r="AA123" s="25"/>
      <c r="AB123" s="25"/>
      <c r="AC123" s="54">
        <v>9500</v>
      </c>
      <c r="AD123" s="54">
        <v>2944</v>
      </c>
      <c r="AH123" s="25"/>
      <c r="AI123" s="25">
        <f t="shared" si="45"/>
        <v>4.2188284091464197E-2</v>
      </c>
      <c r="AJ123" s="25">
        <f t="shared" si="24"/>
        <v>-2.5541081136526866E-2</v>
      </c>
      <c r="AK123" s="25"/>
      <c r="AL123" s="25"/>
      <c r="AM123" s="25"/>
      <c r="AN123" s="25">
        <f t="shared" si="41"/>
        <v>-0.15375022269730987</v>
      </c>
      <c r="AP123" s="59">
        <v>3476</v>
      </c>
      <c r="AQ123" s="59">
        <v>965</v>
      </c>
      <c r="AU123" s="25"/>
      <c r="AV123" s="25">
        <f t="shared" si="46"/>
        <v>1.543647110546627E-2</v>
      </c>
      <c r="AW123" s="25">
        <f t="shared" si="26"/>
        <v>-2.8235951915012603E-2</v>
      </c>
      <c r="AX123" s="25"/>
      <c r="AY123" s="25"/>
      <c r="AZ123" s="25"/>
      <c r="BA123" s="25">
        <f t="shared" si="42"/>
        <v>0.16487935656836461</v>
      </c>
    </row>
    <row r="124" spans="1:53" s="54" customFormat="1" ht="14.25" x14ac:dyDescent="0.2">
      <c r="A124" s="60"/>
      <c r="B124" s="74">
        <v>39199</v>
      </c>
      <c r="D124" s="54">
        <v>16860</v>
      </c>
      <c r="E124" s="54">
        <v>5476</v>
      </c>
      <c r="F124" s="54">
        <f>SUM(D121:D124)</f>
        <v>68606</v>
      </c>
      <c r="I124" s="25"/>
      <c r="J124" s="25">
        <f t="shared" si="43"/>
        <v>7.487310208232488E-2</v>
      </c>
      <c r="K124" s="25">
        <f t="shared" si="22"/>
        <v>1.7501508750754402E-2</v>
      </c>
      <c r="L124" s="25">
        <f>F124/F120-1</f>
        <v>-0.2062430581266198</v>
      </c>
      <c r="M124" s="25"/>
      <c r="N124" s="25"/>
      <c r="O124" s="25">
        <f t="shared" si="40"/>
        <v>-3.3866254082860592E-2</v>
      </c>
      <c r="P124" s="25"/>
      <c r="Q124" s="54">
        <v>10304</v>
      </c>
      <c r="R124" s="54">
        <v>3500</v>
      </c>
      <c r="S124" s="54">
        <f>SUM(Q121:Q124)</f>
        <v>41109</v>
      </c>
      <c r="V124" s="25"/>
      <c r="W124" s="25">
        <f t="shared" si="44"/>
        <v>4.5758745187204956E-2</v>
      </c>
      <c r="X124" s="25">
        <f t="shared" si="31"/>
        <v>-8.7268496072923085E-4</v>
      </c>
      <c r="Y124" s="25">
        <f>S124/S120-1</f>
        <v>-0.16468890965985283</v>
      </c>
      <c r="Z124" s="25"/>
      <c r="AA124" s="25"/>
      <c r="AB124" s="25"/>
      <c r="AC124" s="54">
        <v>9353</v>
      </c>
      <c r="AD124" s="54">
        <v>2793</v>
      </c>
      <c r="AE124" s="54">
        <f>SUM(AC121:AC124)</f>
        <v>39055</v>
      </c>
      <c r="AH124" s="25"/>
      <c r="AI124" s="25">
        <f t="shared" si="45"/>
        <v>4.1535475906048912E-2</v>
      </c>
      <c r="AJ124" s="25">
        <f t="shared" si="24"/>
        <v>-1.5473684210526306E-2</v>
      </c>
      <c r="AK124" s="25">
        <f>AE124/AE120-1</f>
        <v>-0.22684800253395099</v>
      </c>
      <c r="AL124" s="25"/>
      <c r="AM124" s="25"/>
      <c r="AN124" s="25">
        <f t="shared" si="41"/>
        <v>-0.20332197614991487</v>
      </c>
      <c r="AP124" s="59">
        <v>3556</v>
      </c>
      <c r="AQ124" s="59">
        <v>1063</v>
      </c>
      <c r="AR124" s="54">
        <f>SUM(AP121:AP124)</f>
        <v>14071</v>
      </c>
      <c r="AU124" s="25"/>
      <c r="AV124" s="25">
        <f t="shared" si="46"/>
        <v>1.5791740866236494E-2</v>
      </c>
      <c r="AW124" s="25">
        <f t="shared" si="26"/>
        <v>2.3014959723820505E-2</v>
      </c>
      <c r="AX124" s="25">
        <f>AR124/AR120-1</f>
        <v>-0.22035682624113473</v>
      </c>
      <c r="AY124" s="25"/>
      <c r="AZ124" s="25"/>
      <c r="BA124" s="25">
        <f t="shared" si="42"/>
        <v>0.13646532438478753</v>
      </c>
    </row>
    <row r="125" spans="1:53" s="54" customFormat="1" ht="14.25" x14ac:dyDescent="0.2">
      <c r="A125" s="60"/>
      <c r="B125" s="74">
        <v>39206</v>
      </c>
      <c r="D125" s="54">
        <v>18443</v>
      </c>
      <c r="E125" s="54">
        <v>5909</v>
      </c>
      <c r="I125" s="25"/>
      <c r="J125" s="25">
        <f t="shared" si="43"/>
        <v>8.1903002473565703E-2</v>
      </c>
      <c r="K125" s="25">
        <f t="shared" si="22"/>
        <v>9.3890865954922909E-2</v>
      </c>
      <c r="L125" s="25"/>
      <c r="M125" s="25"/>
      <c r="N125" s="25"/>
      <c r="O125" s="25">
        <f t="shared" si="40"/>
        <v>-2.7011342653653347E-2</v>
      </c>
      <c r="P125" s="25"/>
      <c r="Q125" s="54">
        <v>11134</v>
      </c>
      <c r="R125" s="54">
        <v>3545</v>
      </c>
      <c r="V125" s="25"/>
      <c r="W125" s="25">
        <f t="shared" si="44"/>
        <v>4.9444668955196044E-2</v>
      </c>
      <c r="X125" s="25">
        <f t="shared" si="31"/>
        <v>8.0551242236024834E-2</v>
      </c>
      <c r="Y125" s="25"/>
      <c r="Z125" s="25"/>
      <c r="AA125" s="25"/>
      <c r="AB125" s="25"/>
      <c r="AC125" s="54">
        <v>10620</v>
      </c>
      <c r="AD125" s="54">
        <v>3134</v>
      </c>
      <c r="AH125" s="25"/>
      <c r="AI125" s="25">
        <f t="shared" si="45"/>
        <v>4.7162060742247346E-2</v>
      </c>
      <c r="AJ125" s="25">
        <f t="shared" si="24"/>
        <v>0.13546455682668657</v>
      </c>
      <c r="AK125" s="25"/>
      <c r="AL125" s="25"/>
      <c r="AM125" s="25"/>
      <c r="AN125" s="25">
        <f t="shared" si="41"/>
        <v>-0.17750929368029744</v>
      </c>
      <c r="AP125" s="59">
        <v>3726</v>
      </c>
      <c r="AQ125" s="59">
        <v>1060</v>
      </c>
      <c r="AU125" s="25"/>
      <c r="AV125" s="25">
        <f t="shared" si="46"/>
        <v>1.6546689107873221E-2</v>
      </c>
      <c r="AW125" s="25">
        <f t="shared" si="26"/>
        <v>4.7806524184476951E-2</v>
      </c>
      <c r="AX125" s="25"/>
      <c r="AY125" s="25"/>
      <c r="AZ125" s="25"/>
      <c r="BA125" s="25">
        <f t="shared" si="42"/>
        <v>0.18436109345200258</v>
      </c>
    </row>
    <row r="126" spans="1:53" s="54" customFormat="1" ht="14.25" x14ac:dyDescent="0.2">
      <c r="A126" s="60"/>
      <c r="B126" s="74">
        <v>39213</v>
      </c>
      <c r="D126" s="54">
        <v>17335</v>
      </c>
      <c r="E126" s="54">
        <v>5554</v>
      </c>
      <c r="I126" s="25"/>
      <c r="J126" s="25">
        <f t="shared" si="43"/>
        <v>7.6982516286898089E-2</v>
      </c>
      <c r="K126" s="25">
        <f t="shared" si="22"/>
        <v>-6.0076993981456384E-2</v>
      </c>
      <c r="L126" s="25"/>
      <c r="M126" s="25"/>
      <c r="N126" s="25">
        <f>(F124+F128)/(F72+F76)-1</f>
        <v>-2.7358079523253975E-2</v>
      </c>
      <c r="O126" s="25">
        <f t="shared" si="40"/>
        <v>-1.3038032338875016E-2</v>
      </c>
      <c r="P126" s="25"/>
      <c r="Q126" s="54">
        <v>10953</v>
      </c>
      <c r="R126" s="54">
        <v>3551</v>
      </c>
      <c r="V126" s="25"/>
      <c r="W126" s="25">
        <f t="shared" si="44"/>
        <v>4.8640871121453412E-2</v>
      </c>
      <c r="X126" s="25">
        <f t="shared" si="31"/>
        <v>-1.6256511586132616E-2</v>
      </c>
      <c r="Y126" s="25"/>
      <c r="Z126" s="25"/>
      <c r="AA126" s="25"/>
      <c r="AB126" s="25"/>
      <c r="AC126" s="54">
        <v>10133</v>
      </c>
      <c r="AD126" s="54">
        <v>3154</v>
      </c>
      <c r="AH126" s="25"/>
      <c r="AI126" s="25">
        <f t="shared" si="45"/>
        <v>4.4999356073558601E-2</v>
      </c>
      <c r="AJ126" s="25">
        <f t="shared" si="24"/>
        <v>-4.5856873822975541E-2</v>
      </c>
      <c r="AK126" s="25"/>
      <c r="AL126" s="25"/>
      <c r="AM126" s="25">
        <f>(AE124+AE128)/(AE72+AE76)-1</f>
        <v>-0.1611767824012722</v>
      </c>
      <c r="AN126" s="25">
        <f t="shared" si="41"/>
        <v>-0.11370593894865744</v>
      </c>
      <c r="AP126" s="59">
        <v>3593</v>
      </c>
      <c r="AQ126" s="59">
        <v>994</v>
      </c>
      <c r="AU126" s="25"/>
      <c r="AV126" s="25">
        <f t="shared" si="46"/>
        <v>1.5956053130592722E-2</v>
      </c>
      <c r="AW126" s="25">
        <f t="shared" si="26"/>
        <v>-3.569511540526038E-2</v>
      </c>
      <c r="AX126" s="25"/>
      <c r="AY126" s="25"/>
      <c r="AZ126" s="25">
        <f>(AR124+AR128)/(AR72+AR76)-1</f>
        <v>0.13856812933025409</v>
      </c>
      <c r="BA126" s="25">
        <f t="shared" si="42"/>
        <v>0.16693731731081529</v>
      </c>
    </row>
    <row r="127" spans="1:53" s="54" customFormat="1" ht="14.25" x14ac:dyDescent="0.2">
      <c r="A127" s="60"/>
      <c r="B127" s="74">
        <v>39220</v>
      </c>
      <c r="D127" s="54">
        <v>17026</v>
      </c>
      <c r="E127" s="54">
        <v>5545</v>
      </c>
      <c r="I127" s="25"/>
      <c r="J127" s="25">
        <f t="shared" si="43"/>
        <v>7.5610286835923107E-2</v>
      </c>
      <c r="K127" s="25">
        <f t="shared" si="22"/>
        <v>-1.7825209114508245E-2</v>
      </c>
      <c r="L127" s="25"/>
      <c r="M127" s="25"/>
      <c r="N127" s="25"/>
      <c r="O127" s="25">
        <f t="shared" si="40"/>
        <v>-6.5481091168560268E-2</v>
      </c>
      <c r="P127" s="25"/>
      <c r="Q127" s="54">
        <v>11145</v>
      </c>
      <c r="R127" s="54">
        <v>3695</v>
      </c>
      <c r="V127" s="25"/>
      <c r="W127" s="25">
        <f t="shared" si="44"/>
        <v>4.9493518547301947E-2</v>
      </c>
      <c r="X127" s="25">
        <f t="shared" si="31"/>
        <v>1.7529443987948534E-2</v>
      </c>
      <c r="Y127" s="25"/>
      <c r="Z127" s="25"/>
      <c r="AA127" s="25"/>
      <c r="AB127" s="25"/>
      <c r="AC127" s="54">
        <v>9713</v>
      </c>
      <c r="AD127" s="54">
        <v>2941</v>
      </c>
      <c r="AH127" s="25"/>
      <c r="AI127" s="25">
        <f t="shared" si="45"/>
        <v>4.3134189829514925E-2</v>
      </c>
      <c r="AJ127" s="25">
        <f t="shared" si="24"/>
        <v>-4.1448731866179811E-2</v>
      </c>
      <c r="AK127" s="25"/>
      <c r="AL127" s="25"/>
      <c r="AM127" s="25"/>
      <c r="AN127" s="25">
        <f t="shared" si="41"/>
        <v>-0.14595972918315303</v>
      </c>
      <c r="AP127" s="59">
        <v>3526</v>
      </c>
      <c r="AQ127" s="59">
        <v>1058</v>
      </c>
      <c r="AU127" s="25"/>
      <c r="AV127" s="25">
        <f t="shared" si="46"/>
        <v>1.565851470594766E-2</v>
      </c>
      <c r="AW127" s="25">
        <f t="shared" si="26"/>
        <v>-1.864736988588922E-2</v>
      </c>
      <c r="AX127" s="25"/>
      <c r="AY127" s="25"/>
      <c r="AZ127" s="25"/>
      <c r="BA127" s="25">
        <f t="shared" si="42"/>
        <v>0.12043215761042259</v>
      </c>
    </row>
    <row r="128" spans="1:53" s="54" customFormat="1" ht="14.25" x14ac:dyDescent="0.2">
      <c r="A128" s="60"/>
      <c r="B128" s="74">
        <v>39227</v>
      </c>
      <c r="D128" s="54">
        <v>16995</v>
      </c>
      <c r="E128" s="54">
        <v>5490</v>
      </c>
      <c r="F128" s="54">
        <f>SUM(D125:D128)</f>
        <v>69799</v>
      </c>
      <c r="I128" s="25"/>
      <c r="J128" s="25">
        <f t="shared" si="43"/>
        <v>7.5472619803624644E-2</v>
      </c>
      <c r="K128" s="25">
        <f t="shared" si="22"/>
        <v>-1.8207447433337132E-3</v>
      </c>
      <c r="L128" s="25">
        <f>F128/F124-1</f>
        <v>1.7389149637057955E-2</v>
      </c>
      <c r="M128" s="25"/>
      <c r="N128" s="25"/>
      <c r="O128" s="25">
        <f t="shared" si="40"/>
        <v>-6.9990149939805235E-2</v>
      </c>
      <c r="P128" s="25"/>
      <c r="Q128" s="54">
        <v>11298</v>
      </c>
      <c r="R128" s="54">
        <v>3670</v>
      </c>
      <c r="S128" s="54">
        <f>SUM(Q125:Q128)</f>
        <v>44530</v>
      </c>
      <c r="V128" s="25"/>
      <c r="W128" s="25">
        <f t="shared" si="44"/>
        <v>5.0172971964775007E-2</v>
      </c>
      <c r="X128" s="25">
        <f t="shared" si="31"/>
        <v>1.3728129205921924E-2</v>
      </c>
      <c r="Y128" s="25">
        <f>S128/S124-1</f>
        <v>8.3217786859325127E-2</v>
      </c>
      <c r="Z128" s="25"/>
      <c r="AA128" s="25"/>
      <c r="AB128" s="25"/>
      <c r="AC128" s="54">
        <v>9601</v>
      </c>
      <c r="AD128" s="54">
        <v>2874</v>
      </c>
      <c r="AE128" s="54">
        <f>SUM(AC125:AC128)</f>
        <v>40067</v>
      </c>
      <c r="AH128" s="25"/>
      <c r="AI128" s="25">
        <f t="shared" si="45"/>
        <v>4.2636812164436606E-2</v>
      </c>
      <c r="AJ128" s="25">
        <f t="shared" si="24"/>
        <v>-1.1530937918253881E-2</v>
      </c>
      <c r="AK128" s="25">
        <f>AE128/AE124-1</f>
        <v>2.5912175137626337E-2</v>
      </c>
      <c r="AL128" s="25"/>
      <c r="AM128" s="25"/>
      <c r="AN128" s="25">
        <f t="shared" si="41"/>
        <v>-0.1735387793750538</v>
      </c>
      <c r="AP128" s="59">
        <v>3678</v>
      </c>
      <c r="AQ128" s="59">
        <v>1037</v>
      </c>
      <c r="AR128" s="54">
        <f>SUM(AP125:AP128)</f>
        <v>14523</v>
      </c>
      <c r="AU128" s="25"/>
      <c r="AV128" s="25">
        <f t="shared" si="46"/>
        <v>1.6333527251411087E-2</v>
      </c>
      <c r="AW128" s="25">
        <f t="shared" si="26"/>
        <v>4.3108338060124707E-2</v>
      </c>
      <c r="AX128" s="25">
        <f>AR128/AR124-1</f>
        <v>3.212280577073412E-2</v>
      </c>
      <c r="AY128" s="25"/>
      <c r="AZ128" s="25"/>
      <c r="BA128" s="25">
        <f t="shared" si="42"/>
        <v>0.12718357339871278</v>
      </c>
    </row>
    <row r="129" spans="1:53" s="54" customFormat="1" ht="14.25" x14ac:dyDescent="0.2">
      <c r="A129" s="60"/>
      <c r="B129" s="74">
        <v>39234</v>
      </c>
      <c r="D129" s="54">
        <v>16490</v>
      </c>
      <c r="E129" s="54">
        <v>5192</v>
      </c>
      <c r="I129" s="25"/>
      <c r="J129" s="25">
        <f t="shared" si="43"/>
        <v>7.3229979438762596E-2</v>
      </c>
      <c r="K129" s="25">
        <f t="shared" si="22"/>
        <v>-2.9714621947631636E-2</v>
      </c>
      <c r="L129" s="25"/>
      <c r="M129" s="25"/>
      <c r="N129" s="25"/>
      <c r="O129" s="25">
        <f t="shared" si="40"/>
        <v>-9.9005573161403126E-2</v>
      </c>
      <c r="P129" s="25"/>
      <c r="Q129" s="54">
        <v>10667</v>
      </c>
      <c r="R129" s="54">
        <v>3334</v>
      </c>
      <c r="V129" s="25"/>
      <c r="W129" s="25">
        <f t="shared" si="44"/>
        <v>4.7370781726699854E-2</v>
      </c>
      <c r="X129" s="25">
        <f t="shared" si="31"/>
        <v>-5.5850593025314255E-2</v>
      </c>
      <c r="Y129" s="25"/>
      <c r="Z129" s="25"/>
      <c r="AA129" s="25"/>
      <c r="AB129" s="25"/>
      <c r="AC129" s="54">
        <v>9490</v>
      </c>
      <c r="AD129" s="54">
        <v>2736</v>
      </c>
      <c r="AH129" s="25"/>
      <c r="AI129" s="25">
        <f t="shared" si="45"/>
        <v>4.214387537136792E-2</v>
      </c>
      <c r="AJ129" s="25">
        <f t="shared" si="24"/>
        <v>-1.1561295698364726E-2</v>
      </c>
      <c r="AK129" s="25"/>
      <c r="AL129" s="25"/>
      <c r="AM129" s="25"/>
      <c r="AN129" s="25">
        <f t="shared" si="41"/>
        <v>-0.18847272105353174</v>
      </c>
      <c r="AP129" s="59">
        <v>3344</v>
      </c>
      <c r="AQ129" s="59">
        <v>938</v>
      </c>
      <c r="AU129" s="25"/>
      <c r="AV129" s="25">
        <f t="shared" si="46"/>
        <v>1.4850276000195398E-2</v>
      </c>
      <c r="AW129" s="25">
        <f t="shared" si="26"/>
        <v>-9.0810222947253938E-2</v>
      </c>
      <c r="AX129" s="25"/>
      <c r="AY129" s="25"/>
      <c r="AZ129" s="25"/>
      <c r="BA129" s="25">
        <f t="shared" si="42"/>
        <v>9.4957432874918091E-2</v>
      </c>
    </row>
    <row r="130" spans="1:53" s="54" customFormat="1" ht="14.25" x14ac:dyDescent="0.2">
      <c r="A130" s="60"/>
      <c r="B130" s="74">
        <v>39241</v>
      </c>
      <c r="D130" s="54">
        <v>18401</v>
      </c>
      <c r="E130" s="54">
        <v>5795</v>
      </c>
      <c r="I130" s="25"/>
      <c r="J130" s="25">
        <f t="shared" si="43"/>
        <v>8.1716485849161344E-2</v>
      </c>
      <c r="K130" s="25">
        <f t="shared" si="22"/>
        <v>0.11588841722255916</v>
      </c>
      <c r="L130" s="25"/>
      <c r="M130" s="25"/>
      <c r="N130" s="25">
        <f>(F128+F133)/(F76+F81)-1</f>
        <v>-6.6900674012669747E-2</v>
      </c>
      <c r="O130" s="25">
        <f t="shared" si="40"/>
        <v>-2.963666086589678E-2</v>
      </c>
      <c r="P130" s="25"/>
      <c r="Q130" s="54">
        <v>11685</v>
      </c>
      <c r="R130" s="54">
        <v>3710</v>
      </c>
      <c r="V130" s="25"/>
      <c r="W130" s="25">
        <f t="shared" si="44"/>
        <v>5.1891589432500967E-2</v>
      </c>
      <c r="X130" s="25">
        <f t="shared" si="31"/>
        <v>9.5434517671322716E-2</v>
      </c>
      <c r="Y130" s="25"/>
      <c r="Z130" s="25"/>
      <c r="AA130" s="25"/>
      <c r="AB130" s="25"/>
      <c r="AC130" s="54">
        <v>10387</v>
      </c>
      <c r="AD130" s="54">
        <v>3137</v>
      </c>
      <c r="AH130" s="25"/>
      <c r="AI130" s="25">
        <f t="shared" si="45"/>
        <v>4.612733756400407E-2</v>
      </c>
      <c r="AJ130" s="25">
        <f t="shared" si="24"/>
        <v>9.4520547945205369E-2</v>
      </c>
      <c r="AK130" s="25"/>
      <c r="AL130" s="25"/>
      <c r="AM130" s="25">
        <f>(AE128+AE133)/(AE76+AE81)-1</f>
        <v>-0.16536372690883805</v>
      </c>
      <c r="AN130" s="25">
        <f t="shared" si="41"/>
        <v>-0.1495128142143618</v>
      </c>
      <c r="AP130" s="59">
        <v>3804</v>
      </c>
      <c r="AQ130" s="59">
        <v>1098</v>
      </c>
      <c r="AU130" s="25"/>
      <c r="AV130" s="25">
        <f t="shared" si="46"/>
        <v>1.6893077124624192E-2</v>
      </c>
      <c r="AW130" s="25">
        <f t="shared" si="26"/>
        <v>0.1375598086124401</v>
      </c>
      <c r="AX130" s="25"/>
      <c r="AY130" s="25"/>
      <c r="AZ130" s="25">
        <f>(AR128+AR133)/(AR76+AR81)-1</f>
        <v>0.14774603843856515</v>
      </c>
      <c r="BA130" s="25">
        <f t="shared" si="42"/>
        <v>0.17916924984500926</v>
      </c>
    </row>
    <row r="131" spans="1:53" s="54" customFormat="1" ht="14.25" x14ac:dyDescent="0.2">
      <c r="A131" s="60"/>
      <c r="B131" s="74">
        <v>39248</v>
      </c>
      <c r="D131" s="54">
        <v>17261</v>
      </c>
      <c r="E131" s="54">
        <v>5503</v>
      </c>
      <c r="I131" s="25"/>
      <c r="J131" s="25">
        <f t="shared" si="43"/>
        <v>7.6653891758185641E-2</v>
      </c>
      <c r="K131" s="25">
        <f t="shared" si="22"/>
        <v>-6.1953154719852188E-2</v>
      </c>
      <c r="L131" s="25"/>
      <c r="M131" s="25"/>
      <c r="N131" s="25"/>
      <c r="O131" s="25">
        <f t="shared" si="40"/>
        <v>-8.351916746309862E-2</v>
      </c>
      <c r="P131" s="25"/>
      <c r="Q131" s="54">
        <v>11219</v>
      </c>
      <c r="R131" s="54">
        <v>3545</v>
      </c>
      <c r="V131" s="25"/>
      <c r="W131" s="25">
        <f t="shared" si="44"/>
        <v>4.9822143076014409E-2</v>
      </c>
      <c r="X131" s="25">
        <f t="shared" si="31"/>
        <v>-3.9880188275566941E-2</v>
      </c>
      <c r="Y131" s="25"/>
      <c r="Z131" s="25"/>
      <c r="AA131" s="25"/>
      <c r="AB131" s="25"/>
      <c r="AC131" s="54">
        <v>9668</v>
      </c>
      <c r="AD131" s="54">
        <v>2887</v>
      </c>
      <c r="AH131" s="25"/>
      <c r="AI131" s="25">
        <f t="shared" si="45"/>
        <v>4.2934350589081675E-2</v>
      </c>
      <c r="AJ131" s="25">
        <f t="shared" si="24"/>
        <v>-6.9221141811880216E-2</v>
      </c>
      <c r="AK131" s="25"/>
      <c r="AL131" s="25"/>
      <c r="AM131" s="25"/>
      <c r="AN131" s="25">
        <f t="shared" si="41"/>
        <v>-0.14954257565095008</v>
      </c>
      <c r="AP131" s="59">
        <v>3702</v>
      </c>
      <c r="AQ131" s="59">
        <v>1055</v>
      </c>
      <c r="AU131" s="25"/>
      <c r="AV131" s="25">
        <f t="shared" si="46"/>
        <v>1.6440108179642154E-2</v>
      </c>
      <c r="AW131" s="25">
        <f t="shared" si="26"/>
        <v>-2.6813880126183021E-2</v>
      </c>
      <c r="AX131" s="25"/>
      <c r="AY131" s="25"/>
      <c r="AZ131" s="25"/>
      <c r="BA131" s="25">
        <f t="shared" si="42"/>
        <v>0.19689621726479145</v>
      </c>
    </row>
    <row r="132" spans="1:53" s="54" customFormat="1" ht="14.25" x14ac:dyDescent="0.2">
      <c r="A132" s="60"/>
      <c r="B132" s="74">
        <v>39255</v>
      </c>
      <c r="D132" s="54">
        <v>16924</v>
      </c>
      <c r="E132" s="54">
        <v>5355</v>
      </c>
      <c r="I132" s="25"/>
      <c r="J132" s="25">
        <f t="shared" si="43"/>
        <v>7.5157317890941058E-2</v>
      </c>
      <c r="K132" s="25">
        <f t="shared" si="22"/>
        <v>-1.952378193615667E-2</v>
      </c>
      <c r="L132" s="25"/>
      <c r="M132" s="25"/>
      <c r="N132" s="25"/>
      <c r="O132" s="25">
        <f t="shared" si="40"/>
        <v>-0.10959120324091121</v>
      </c>
      <c r="P132" s="25"/>
      <c r="Q132" s="54">
        <v>11466</v>
      </c>
      <c r="R132" s="54">
        <v>3585</v>
      </c>
      <c r="V132" s="25"/>
      <c r="W132" s="25">
        <f t="shared" si="44"/>
        <v>5.0919038462392478E-2</v>
      </c>
      <c r="X132" s="25">
        <f t="shared" si="31"/>
        <v>2.2016222479721792E-2</v>
      </c>
      <c r="Y132" s="25"/>
      <c r="Z132" s="25"/>
      <c r="AA132" s="25"/>
      <c r="AB132" s="25"/>
      <c r="AC132" s="54">
        <v>9443</v>
      </c>
      <c r="AD132" s="54">
        <v>2845</v>
      </c>
      <c r="AH132" s="25"/>
      <c r="AI132" s="25">
        <f t="shared" si="45"/>
        <v>4.1935154386915412E-2</v>
      </c>
      <c r="AJ132" s="25">
        <f t="shared" si="24"/>
        <v>-2.3272652047993336E-2</v>
      </c>
      <c r="AK132" s="25"/>
      <c r="AL132" s="25"/>
      <c r="AM132" s="25"/>
      <c r="AN132" s="25">
        <f t="shared" si="41"/>
        <v>-0.19565587734241907</v>
      </c>
      <c r="AP132" s="59">
        <v>3545</v>
      </c>
      <c r="AQ132" s="59">
        <v>1024</v>
      </c>
      <c r="AU132" s="25"/>
      <c r="AV132" s="25">
        <f t="shared" si="46"/>
        <v>1.5742891274130588E-2</v>
      </c>
      <c r="AW132" s="25">
        <f t="shared" si="26"/>
        <v>-4.2409508373851934E-2</v>
      </c>
      <c r="AX132" s="25"/>
      <c r="AY132" s="25"/>
      <c r="AZ132" s="25"/>
      <c r="BA132" s="25">
        <f t="shared" si="42"/>
        <v>0.11653543307086611</v>
      </c>
    </row>
    <row r="133" spans="1:53" s="54" customFormat="1" ht="14.25" x14ac:dyDescent="0.2">
      <c r="A133" s="60"/>
      <c r="B133" s="74">
        <v>39262</v>
      </c>
      <c r="D133" s="54">
        <v>17700</v>
      </c>
      <c r="E133" s="54">
        <v>5757</v>
      </c>
      <c r="F133" s="54">
        <f>SUM(D129:D133)</f>
        <v>86776</v>
      </c>
      <c r="G133" s="54">
        <f>SUM(F124:F133)</f>
        <v>225181</v>
      </c>
      <c r="H133" s="61">
        <f>G133/(1+I133)</f>
        <v>351845.3125</v>
      </c>
      <c r="I133" s="62">
        <v>-0.36</v>
      </c>
      <c r="J133" s="25">
        <f t="shared" si="43"/>
        <v>7.8603434570412245E-2</v>
      </c>
      <c r="K133" s="25">
        <f t="shared" si="22"/>
        <v>4.5852044433939865E-2</v>
      </c>
      <c r="L133" s="25">
        <f>F133/F128-1</f>
        <v>0.24322698032923107</v>
      </c>
      <c r="M133" s="25">
        <f>G133/G120-1</f>
        <v>1.8969269963663438E-2</v>
      </c>
      <c r="N133" s="25"/>
      <c r="O133" s="25">
        <f>D133/D81-1</f>
        <v>-0.10074683737235179</v>
      </c>
      <c r="P133" s="25"/>
      <c r="Q133" s="54">
        <v>11738</v>
      </c>
      <c r="R133" s="54">
        <v>3638</v>
      </c>
      <c r="S133" s="54">
        <f>SUM(Q129:Q133)</f>
        <v>56775</v>
      </c>
      <c r="T133" s="54">
        <f>SUM(S124:S133)</f>
        <v>142414</v>
      </c>
      <c r="U133" s="61">
        <f>T133/(1+V133)</f>
        <v>227498.40255591055</v>
      </c>
      <c r="V133" s="62">
        <v>-0.374</v>
      </c>
      <c r="W133" s="25">
        <f t="shared" si="44"/>
        <v>5.2126955649011243E-2</v>
      </c>
      <c r="X133" s="25">
        <f t="shared" si="31"/>
        <v>2.3722309436595257E-2</v>
      </c>
      <c r="Y133" s="25">
        <f>S133/S128-1</f>
        <v>0.27498315742196278</v>
      </c>
      <c r="Z133" s="25">
        <f>T133/T120-1</f>
        <v>0.19727948347176927</v>
      </c>
      <c r="AA133" s="25"/>
      <c r="AB133" s="25"/>
      <c r="AC133" s="54">
        <v>9772</v>
      </c>
      <c r="AD133" s="54">
        <v>3048</v>
      </c>
      <c r="AE133" s="54">
        <f>SUM(AC129:AC133)</f>
        <v>48760</v>
      </c>
      <c r="AF133" s="54">
        <f>SUM(AE124:AE133)</f>
        <v>127882</v>
      </c>
      <c r="AG133" s="61">
        <f>AF133/(1+AH133)</f>
        <v>154074.69879518074</v>
      </c>
      <c r="AH133" s="62">
        <v>-0.17</v>
      </c>
      <c r="AI133" s="25">
        <f t="shared" si="45"/>
        <v>4.3396201278082962E-2</v>
      </c>
      <c r="AJ133" s="25">
        <f t="shared" si="24"/>
        <v>3.4840622683469213E-2</v>
      </c>
      <c r="AK133" s="25">
        <f>AE133/AE128-1</f>
        <v>0.21696158933785914</v>
      </c>
      <c r="AL133" s="25">
        <f>AF133/AF120-1</f>
        <v>-3.6713971496580178E-2</v>
      </c>
      <c r="AM133" s="25"/>
      <c r="AN133" s="25">
        <f>AC133/AC81-1</f>
        <v>-0.19079165286518718</v>
      </c>
      <c r="AP133" s="59">
        <v>3748</v>
      </c>
      <c r="AQ133" s="59">
        <v>1056</v>
      </c>
      <c r="AR133" s="54">
        <f>SUM(AP129:AP133)</f>
        <v>18143</v>
      </c>
      <c r="AS133" s="54">
        <f>SUM(AR124:AR133)</f>
        <v>46737</v>
      </c>
      <c r="AT133" s="61">
        <f>AS133/(1+AU133)</f>
        <v>73026.5625</v>
      </c>
      <c r="AU133" s="62">
        <v>-0.36</v>
      </c>
      <c r="AV133" s="25">
        <f t="shared" si="46"/>
        <v>1.6644388292085033E-2</v>
      </c>
      <c r="AW133" s="25">
        <f t="shared" si="26"/>
        <v>5.7263751763046544E-2</v>
      </c>
      <c r="AX133" s="25">
        <f>AR133/AR128-1</f>
        <v>0.24925979480823512</v>
      </c>
      <c r="AY133" s="25">
        <f>AS133/AS120-1</f>
        <v>2.0124413401724217E-2</v>
      </c>
      <c r="AZ133" s="25"/>
      <c r="BA133" s="25">
        <f>AP133/AP81-1</f>
        <v>0.14338010982306293</v>
      </c>
    </row>
    <row r="134" spans="1:53" s="54" customFormat="1" x14ac:dyDescent="0.2">
      <c r="A134" s="60"/>
      <c r="B134" s="74"/>
      <c r="G134" s="23">
        <f>G133/G120-1</f>
        <v>1.8969269963663438E-2</v>
      </c>
      <c r="H134" s="54">
        <f>H120*(1+G134)</f>
        <v>352500.1913126898</v>
      </c>
      <c r="I134" s="25"/>
      <c r="J134" s="25"/>
      <c r="K134" s="25"/>
      <c r="L134" s="25"/>
      <c r="M134" s="25"/>
      <c r="N134" s="25"/>
      <c r="O134" s="25"/>
      <c r="P134" s="25"/>
      <c r="T134" s="25">
        <f>T133/T120-1</f>
        <v>0.19727948347176927</v>
      </c>
      <c r="U134" s="25">
        <f>U133/U120-1</f>
        <v>0.19620787639226722</v>
      </c>
      <c r="V134" s="25"/>
      <c r="AH134" s="25"/>
      <c r="AU134" s="25"/>
    </row>
    <row r="135" spans="1:53" s="54" customFormat="1" x14ac:dyDescent="0.2">
      <c r="A135" s="60"/>
      <c r="B135" s="74"/>
      <c r="I135" s="25"/>
      <c r="J135" s="25"/>
      <c r="K135" s="25"/>
      <c r="L135" s="25"/>
      <c r="M135" s="25"/>
      <c r="N135" s="25"/>
      <c r="O135" s="25"/>
      <c r="P135" s="25"/>
      <c r="V135" s="25"/>
      <c r="AH135" s="25"/>
      <c r="AU135" s="25"/>
    </row>
    <row r="136" spans="1:53" s="54" customFormat="1" x14ac:dyDescent="0.2">
      <c r="A136" s="60"/>
      <c r="B136" s="74"/>
      <c r="I136" s="25"/>
      <c r="J136" s="25"/>
      <c r="K136" s="25"/>
      <c r="L136" s="25"/>
      <c r="M136" s="25"/>
      <c r="N136" s="25"/>
      <c r="O136" s="25"/>
      <c r="P136" s="25"/>
      <c r="V136" s="25"/>
      <c r="AH136" s="25"/>
      <c r="AU136" s="25"/>
    </row>
    <row r="137" spans="1:53" s="54" customFormat="1" x14ac:dyDescent="0.2">
      <c r="A137" s="60"/>
      <c r="B137" s="74"/>
      <c r="I137" s="25"/>
      <c r="J137" s="25"/>
      <c r="K137" s="25"/>
      <c r="L137" s="25"/>
      <c r="M137" s="25"/>
      <c r="N137" s="25"/>
      <c r="O137" s="25"/>
      <c r="P137" s="25"/>
      <c r="V137" s="25"/>
      <c r="AH137" s="25"/>
      <c r="AU137" s="25"/>
    </row>
    <row r="138" spans="1:53" s="54" customFormat="1" x14ac:dyDescent="0.2">
      <c r="B138" s="74"/>
      <c r="D138" s="61"/>
      <c r="E138" s="61"/>
      <c r="F138" s="61"/>
      <c r="I138" s="25"/>
      <c r="J138" s="25"/>
      <c r="K138" s="25"/>
      <c r="L138" s="25"/>
      <c r="M138" s="25"/>
      <c r="N138" s="25"/>
      <c r="O138" s="25"/>
      <c r="P138" s="25"/>
      <c r="V138" s="25"/>
      <c r="AH138" s="25"/>
      <c r="AU138" s="25"/>
    </row>
    <row r="139" spans="1:53" s="54" customFormat="1" x14ac:dyDescent="0.2">
      <c r="B139" s="74"/>
      <c r="D139" s="68"/>
      <c r="E139" s="71" t="s">
        <v>297</v>
      </c>
      <c r="F139" s="69"/>
      <c r="I139" s="25"/>
      <c r="J139" s="25"/>
      <c r="K139" s="25"/>
      <c r="L139" s="25"/>
      <c r="M139" s="25"/>
      <c r="N139" s="25"/>
      <c r="O139" s="25"/>
      <c r="P139" s="25"/>
      <c r="V139" s="25"/>
      <c r="AH139" s="25"/>
      <c r="AU139" s="25"/>
    </row>
    <row r="140" spans="1:53" s="54" customFormat="1" x14ac:dyDescent="0.2">
      <c r="B140" s="74"/>
      <c r="D140" s="68"/>
      <c r="E140" s="63"/>
      <c r="F140" s="64"/>
      <c r="I140" s="25"/>
      <c r="J140" s="25"/>
      <c r="K140" s="25"/>
      <c r="L140" s="25"/>
      <c r="M140" s="25"/>
      <c r="N140" s="25"/>
      <c r="O140" s="25"/>
      <c r="P140" s="25"/>
      <c r="V140" s="25"/>
      <c r="AH140" s="25"/>
      <c r="AU140" s="25"/>
    </row>
    <row r="141" spans="1:53" s="54" customFormat="1" x14ac:dyDescent="0.2">
      <c r="B141" s="74"/>
      <c r="D141" s="61"/>
      <c r="E141" s="65" t="s">
        <v>298</v>
      </c>
      <c r="F141" s="64">
        <f>H133+U133+AG133+AT133</f>
        <v>806444.97635109129</v>
      </c>
      <c r="I141" s="25"/>
      <c r="J141" s="25"/>
      <c r="K141" s="25"/>
      <c r="L141" s="25"/>
      <c r="M141" s="25"/>
      <c r="N141" s="25"/>
      <c r="O141" s="25"/>
      <c r="P141" s="25"/>
      <c r="V141" s="25"/>
      <c r="AH141" s="25"/>
      <c r="AU141" s="25"/>
    </row>
    <row r="142" spans="1:53" s="54" customFormat="1" x14ac:dyDescent="0.2">
      <c r="B142" s="74"/>
      <c r="D142" s="61"/>
      <c r="E142" s="65" t="s">
        <v>8</v>
      </c>
      <c r="F142" s="64">
        <v>8</v>
      </c>
      <c r="I142" s="25"/>
      <c r="J142" s="25"/>
      <c r="K142" s="25"/>
      <c r="L142" s="25"/>
      <c r="M142" s="25"/>
      <c r="N142" s="25"/>
      <c r="O142" s="25"/>
      <c r="P142" s="25"/>
      <c r="V142" s="25"/>
      <c r="AH142" s="25"/>
      <c r="AU142" s="25"/>
    </row>
    <row r="143" spans="1:53" s="54" customFormat="1" x14ac:dyDescent="0.2">
      <c r="B143" s="74"/>
      <c r="D143" s="61"/>
      <c r="E143" s="65" t="s">
        <v>11</v>
      </c>
      <c r="F143" s="64">
        <v>62</v>
      </c>
      <c r="I143" s="25"/>
      <c r="J143" s="25"/>
      <c r="K143" s="25"/>
      <c r="L143" s="25"/>
      <c r="M143" s="25"/>
      <c r="N143" s="25"/>
      <c r="O143" s="25"/>
      <c r="P143" s="25"/>
      <c r="V143" s="25"/>
      <c r="AH143" s="25"/>
      <c r="AU143" s="25"/>
    </row>
    <row r="144" spans="1:53" s="54" customFormat="1" x14ac:dyDescent="0.2">
      <c r="B144" s="74"/>
      <c r="D144" s="61"/>
      <c r="E144" s="65" t="s">
        <v>299</v>
      </c>
      <c r="F144" s="64">
        <v>188</v>
      </c>
      <c r="I144" s="25"/>
      <c r="J144" s="25"/>
      <c r="K144" s="25"/>
      <c r="L144" s="25"/>
      <c r="M144" s="25"/>
      <c r="N144" s="25"/>
      <c r="O144" s="25"/>
      <c r="P144" s="25"/>
      <c r="V144" s="25"/>
      <c r="AH144" s="25"/>
      <c r="AU144" s="25"/>
    </row>
    <row r="145" spans="2:47" s="54" customFormat="1" x14ac:dyDescent="0.2">
      <c r="B145" s="74"/>
      <c r="D145" s="61"/>
      <c r="E145" s="70" t="s">
        <v>34</v>
      </c>
      <c r="F145" s="66">
        <f>SUM(F141:F144)</f>
        <v>806702.97635109129</v>
      </c>
      <c r="I145" s="25"/>
      <c r="J145" s="25"/>
      <c r="K145" s="25"/>
      <c r="L145" s="25"/>
      <c r="M145" s="25"/>
      <c r="N145" s="25"/>
      <c r="O145" s="25"/>
      <c r="P145" s="25"/>
      <c r="V145" s="25"/>
      <c r="AH145" s="25"/>
      <c r="AU145" s="25"/>
    </row>
    <row r="146" spans="2:47" s="54" customFormat="1" x14ac:dyDescent="0.2">
      <c r="B146" s="74"/>
      <c r="D146" s="61"/>
      <c r="E146" s="61"/>
      <c r="F146" s="61"/>
      <c r="I146" s="25"/>
      <c r="J146" s="25"/>
      <c r="K146" s="25"/>
      <c r="L146" s="25"/>
      <c r="M146" s="25"/>
      <c r="N146" s="25"/>
      <c r="O146" s="25"/>
      <c r="P146" s="25"/>
      <c r="V146" s="25"/>
      <c r="AH146" s="25"/>
      <c r="AU146" s="25"/>
    </row>
    <row r="147" spans="2:47" s="54" customFormat="1" x14ac:dyDescent="0.2">
      <c r="B147" s="74"/>
      <c r="I147" s="25"/>
      <c r="J147" s="25"/>
      <c r="K147" s="25"/>
      <c r="L147" s="25"/>
      <c r="M147" s="25"/>
      <c r="N147" s="25"/>
      <c r="O147" s="25"/>
      <c r="P147" s="25"/>
      <c r="V147" s="25"/>
      <c r="AH147" s="25"/>
      <c r="AU147" s="25"/>
    </row>
    <row r="148" spans="2:47" s="54" customFormat="1" x14ac:dyDescent="0.2">
      <c r="B148" s="74"/>
      <c r="I148" s="25"/>
      <c r="J148" s="25"/>
      <c r="K148" s="25"/>
      <c r="L148" s="25"/>
      <c r="M148" s="25"/>
      <c r="N148" s="25"/>
      <c r="O148" s="25"/>
      <c r="P148" s="25"/>
      <c r="V148" s="25"/>
      <c r="AH148" s="25"/>
      <c r="AU148" s="25"/>
    </row>
    <row r="149" spans="2:47" s="54" customFormat="1" x14ac:dyDescent="0.2">
      <c r="B149" s="74"/>
      <c r="I149" s="25"/>
      <c r="J149" s="25"/>
      <c r="K149" s="25"/>
      <c r="L149" s="25"/>
      <c r="M149" s="25"/>
      <c r="N149" s="25"/>
      <c r="O149" s="25"/>
      <c r="P149" s="25"/>
      <c r="V149" s="25"/>
      <c r="AH149" s="25"/>
      <c r="AU149" s="25"/>
    </row>
    <row r="150" spans="2:47" s="54" customFormat="1" x14ac:dyDescent="0.2">
      <c r="B150" s="74"/>
      <c r="I150" s="25"/>
      <c r="J150" s="25"/>
      <c r="K150" s="25"/>
      <c r="L150" s="25"/>
      <c r="M150" s="25"/>
      <c r="N150" s="25"/>
      <c r="O150" s="25"/>
      <c r="P150" s="25"/>
      <c r="V150" s="25"/>
      <c r="AH150" s="25"/>
      <c r="AU150" s="25"/>
    </row>
    <row r="151" spans="2:47" s="54" customFormat="1" x14ac:dyDescent="0.2">
      <c r="B151" s="74"/>
      <c r="I151" s="25"/>
      <c r="J151" s="25"/>
      <c r="K151" s="25"/>
      <c r="L151" s="25"/>
      <c r="M151" s="25"/>
      <c r="N151" s="25"/>
      <c r="O151" s="25"/>
      <c r="P151" s="25"/>
      <c r="V151" s="25"/>
      <c r="AH151" s="25"/>
      <c r="AU151" s="25"/>
    </row>
    <row r="152" spans="2:47" s="54" customFormat="1" x14ac:dyDescent="0.2">
      <c r="B152" s="74"/>
      <c r="I152" s="25"/>
      <c r="J152" s="25"/>
      <c r="K152" s="25"/>
      <c r="L152" s="25"/>
      <c r="M152" s="25"/>
      <c r="N152" s="25"/>
      <c r="O152" s="25"/>
      <c r="P152" s="25"/>
      <c r="V152" s="25"/>
      <c r="AH152" s="25"/>
      <c r="AU152" s="25"/>
    </row>
    <row r="153" spans="2:47" s="54" customFormat="1" x14ac:dyDescent="0.2">
      <c r="B153" s="74"/>
      <c r="I153" s="25"/>
      <c r="J153" s="25"/>
      <c r="K153" s="25"/>
      <c r="L153" s="25"/>
      <c r="M153" s="25"/>
      <c r="N153" s="25"/>
      <c r="O153" s="25"/>
      <c r="P153" s="25"/>
      <c r="V153" s="25"/>
      <c r="AH153" s="25"/>
      <c r="AU153" s="25"/>
    </row>
    <row r="154" spans="2:47" s="54" customFormat="1" x14ac:dyDescent="0.2">
      <c r="B154" s="74"/>
      <c r="I154" s="25"/>
      <c r="J154" s="25"/>
      <c r="K154" s="25"/>
      <c r="L154" s="25"/>
      <c r="M154" s="25"/>
      <c r="N154" s="25"/>
      <c r="O154" s="25"/>
      <c r="P154" s="25"/>
      <c r="V154" s="25"/>
      <c r="AH154" s="25"/>
      <c r="AU154" s="25"/>
    </row>
    <row r="155" spans="2:47" s="54" customFormat="1" x14ac:dyDescent="0.2">
      <c r="B155" s="74"/>
      <c r="G155" s="56"/>
      <c r="I155" s="25"/>
      <c r="J155" s="25"/>
      <c r="K155" s="25"/>
      <c r="L155" s="25"/>
      <c r="M155" s="25"/>
      <c r="N155" s="25"/>
      <c r="O155" s="25"/>
      <c r="P155" s="25"/>
      <c r="T155" s="56"/>
      <c r="V155" s="25"/>
      <c r="AF155" s="56"/>
      <c r="AG155" s="56"/>
      <c r="AH155" s="25"/>
      <c r="AI155" s="56"/>
      <c r="AJ155" s="56"/>
      <c r="AK155" s="56"/>
      <c r="AL155" s="56"/>
      <c r="AM155" s="56"/>
      <c r="AN155" s="56"/>
      <c r="AO155" s="56"/>
      <c r="AS155" s="56"/>
      <c r="AU155" s="25"/>
    </row>
    <row r="156" spans="2:47" s="54" customFormat="1" x14ac:dyDescent="0.2">
      <c r="B156" s="74"/>
      <c r="G156" s="56"/>
      <c r="I156" s="25"/>
      <c r="J156" s="25"/>
      <c r="K156" s="25"/>
      <c r="L156" s="25"/>
      <c r="M156" s="25"/>
      <c r="N156" s="25"/>
      <c r="O156" s="25"/>
      <c r="P156" s="25"/>
      <c r="T156" s="56"/>
      <c r="V156" s="25"/>
      <c r="AF156" s="56"/>
      <c r="AG156" s="56"/>
      <c r="AH156" s="25"/>
      <c r="AI156" s="56"/>
      <c r="AJ156" s="56"/>
      <c r="AK156" s="56"/>
      <c r="AL156" s="56"/>
      <c r="AM156" s="56"/>
      <c r="AN156" s="56"/>
      <c r="AO156" s="56"/>
      <c r="AS156" s="56"/>
      <c r="AU156" s="25"/>
    </row>
    <row r="157" spans="2:47" s="54" customFormat="1" x14ac:dyDescent="0.2">
      <c r="B157" s="74"/>
      <c r="G157" s="56"/>
      <c r="I157" s="25"/>
      <c r="J157" s="25"/>
      <c r="K157" s="25"/>
      <c r="L157" s="25"/>
      <c r="M157" s="25"/>
      <c r="N157" s="25"/>
      <c r="O157" s="25"/>
      <c r="P157" s="25"/>
      <c r="T157" s="56"/>
      <c r="V157" s="25"/>
      <c r="AF157" s="56"/>
      <c r="AG157" s="56"/>
      <c r="AH157" s="25"/>
      <c r="AI157" s="56"/>
      <c r="AJ157" s="56"/>
      <c r="AK157" s="56"/>
      <c r="AL157" s="56"/>
      <c r="AM157" s="56"/>
      <c r="AN157" s="56"/>
      <c r="AO157" s="56"/>
      <c r="AS157" s="56"/>
      <c r="AU157" s="25"/>
    </row>
    <row r="158" spans="2:47" s="54" customFormat="1" x14ac:dyDescent="0.2">
      <c r="B158" s="74"/>
      <c r="G158" s="56"/>
      <c r="I158" s="25"/>
      <c r="J158" s="25"/>
      <c r="K158" s="25"/>
      <c r="L158" s="25"/>
      <c r="M158" s="25"/>
      <c r="N158" s="25"/>
      <c r="O158" s="25"/>
      <c r="P158" s="25"/>
      <c r="T158" s="56"/>
      <c r="V158" s="25"/>
      <c r="AF158" s="56"/>
      <c r="AG158" s="56"/>
      <c r="AH158" s="25"/>
      <c r="AI158" s="56"/>
      <c r="AJ158" s="56"/>
      <c r="AK158" s="56"/>
      <c r="AL158" s="56"/>
      <c r="AM158" s="56"/>
      <c r="AN158" s="56"/>
      <c r="AO158" s="56"/>
      <c r="AS158" s="56"/>
      <c r="AU158" s="25"/>
    </row>
    <row r="159" spans="2:47" s="54" customFormat="1" x14ac:dyDescent="0.2">
      <c r="B159" s="74"/>
      <c r="G159" s="56"/>
      <c r="I159" s="25"/>
      <c r="J159" s="25"/>
      <c r="K159" s="25"/>
      <c r="L159" s="25"/>
      <c r="M159" s="25"/>
      <c r="N159" s="25"/>
      <c r="O159" s="25"/>
      <c r="P159" s="25"/>
      <c r="T159" s="56"/>
      <c r="V159" s="25"/>
      <c r="AF159" s="56"/>
      <c r="AG159" s="56"/>
      <c r="AH159" s="25"/>
      <c r="AI159" s="56"/>
      <c r="AJ159" s="56"/>
      <c r="AK159" s="56"/>
      <c r="AL159" s="56"/>
      <c r="AM159" s="56"/>
      <c r="AN159" s="56"/>
      <c r="AO159" s="56"/>
      <c r="AS159" s="56"/>
      <c r="AU159" s="25"/>
    </row>
    <row r="160" spans="2:47" s="54" customFormat="1" x14ac:dyDescent="0.2">
      <c r="B160" s="74"/>
      <c r="G160" s="56"/>
      <c r="I160" s="25"/>
      <c r="J160" s="25"/>
      <c r="K160" s="25"/>
      <c r="L160" s="25"/>
      <c r="M160" s="25"/>
      <c r="N160" s="25"/>
      <c r="O160" s="25"/>
      <c r="P160" s="25"/>
      <c r="T160" s="56"/>
      <c r="V160" s="25"/>
      <c r="AF160" s="56"/>
      <c r="AG160" s="56"/>
      <c r="AH160" s="25"/>
      <c r="AI160" s="56"/>
      <c r="AJ160" s="56"/>
      <c r="AK160" s="56"/>
      <c r="AL160" s="56"/>
      <c r="AM160" s="56"/>
      <c r="AN160" s="56"/>
      <c r="AO160" s="56"/>
      <c r="AS160" s="56"/>
      <c r="AU160" s="25"/>
    </row>
    <row r="161" spans="2:47" s="54" customFormat="1" x14ac:dyDescent="0.2">
      <c r="B161" s="74"/>
      <c r="G161" s="56"/>
      <c r="I161" s="25"/>
      <c r="J161" s="25"/>
      <c r="K161" s="25"/>
      <c r="L161" s="25"/>
      <c r="M161" s="25"/>
      <c r="N161" s="25"/>
      <c r="O161" s="25"/>
      <c r="P161" s="25"/>
      <c r="T161" s="56"/>
      <c r="V161" s="25"/>
      <c r="AF161" s="56"/>
      <c r="AG161" s="56"/>
      <c r="AH161" s="25"/>
      <c r="AI161" s="56"/>
      <c r="AJ161" s="56"/>
      <c r="AK161" s="56"/>
      <c r="AL161" s="56"/>
      <c r="AM161" s="56"/>
      <c r="AN161" s="56"/>
      <c r="AO161" s="56"/>
      <c r="AS161" s="56"/>
      <c r="AU161" s="25"/>
    </row>
    <row r="162" spans="2:47" s="54" customFormat="1" x14ac:dyDescent="0.2">
      <c r="B162" s="74"/>
      <c r="G162" s="56"/>
      <c r="I162" s="25"/>
      <c r="J162" s="25"/>
      <c r="K162" s="25"/>
      <c r="L162" s="25"/>
      <c r="M162" s="25"/>
      <c r="N162" s="25"/>
      <c r="O162" s="25"/>
      <c r="P162" s="25"/>
      <c r="T162" s="56"/>
      <c r="V162" s="25"/>
      <c r="AF162" s="56"/>
      <c r="AG162" s="56"/>
      <c r="AH162" s="25"/>
      <c r="AI162" s="56"/>
      <c r="AJ162" s="56"/>
      <c r="AK162" s="56"/>
      <c r="AL162" s="56"/>
      <c r="AM162" s="56"/>
      <c r="AN162" s="56"/>
      <c r="AO162" s="56"/>
      <c r="AS162" s="56"/>
      <c r="AU162" s="25"/>
    </row>
    <row r="163" spans="2:47" s="54" customFormat="1" x14ac:dyDescent="0.2">
      <c r="B163" s="74"/>
      <c r="G163" s="56"/>
      <c r="I163" s="25"/>
      <c r="J163" s="25"/>
      <c r="K163" s="25"/>
      <c r="L163" s="25"/>
      <c r="M163" s="25"/>
      <c r="N163" s="25"/>
      <c r="O163" s="25"/>
      <c r="P163" s="25"/>
      <c r="T163" s="56"/>
      <c r="V163" s="25"/>
      <c r="AF163" s="56"/>
      <c r="AG163" s="56"/>
      <c r="AH163" s="25"/>
      <c r="AI163" s="56"/>
      <c r="AJ163" s="56"/>
      <c r="AK163" s="56"/>
      <c r="AL163" s="56"/>
      <c r="AM163" s="56"/>
      <c r="AN163" s="56"/>
      <c r="AO163" s="56"/>
      <c r="AS163" s="56"/>
      <c r="AU163" s="25"/>
    </row>
    <row r="164" spans="2:47" s="54" customFormat="1" x14ac:dyDescent="0.2">
      <c r="B164" s="74"/>
      <c r="G164" s="56"/>
      <c r="I164" s="25"/>
      <c r="J164" s="25"/>
      <c r="K164" s="25"/>
      <c r="L164" s="25"/>
      <c r="M164" s="25"/>
      <c r="N164" s="25"/>
      <c r="O164" s="25"/>
      <c r="P164" s="25"/>
      <c r="T164" s="56"/>
      <c r="V164" s="25"/>
      <c r="AF164" s="56"/>
      <c r="AG164" s="56"/>
      <c r="AH164" s="25"/>
      <c r="AI164" s="56"/>
      <c r="AJ164" s="56"/>
      <c r="AK164" s="56"/>
      <c r="AL164" s="56"/>
      <c r="AM164" s="56"/>
      <c r="AN164" s="56"/>
      <c r="AO164" s="56"/>
      <c r="AS164" s="56"/>
      <c r="AU164" s="25"/>
    </row>
    <row r="165" spans="2:47" s="54" customFormat="1" x14ac:dyDescent="0.2">
      <c r="B165" s="74"/>
      <c r="G165" s="56"/>
      <c r="I165" s="25"/>
      <c r="J165" s="25"/>
      <c r="K165" s="25"/>
      <c r="L165" s="25"/>
      <c r="M165" s="25"/>
      <c r="N165" s="25"/>
      <c r="O165" s="25"/>
      <c r="P165" s="25"/>
      <c r="T165" s="56"/>
      <c r="V165" s="25"/>
      <c r="AF165" s="56"/>
      <c r="AG165" s="56"/>
      <c r="AH165" s="25"/>
      <c r="AI165" s="56"/>
      <c r="AJ165" s="56"/>
      <c r="AK165" s="56"/>
      <c r="AL165" s="56"/>
      <c r="AM165" s="56"/>
      <c r="AN165" s="56"/>
      <c r="AO165" s="56"/>
      <c r="AS165" s="56"/>
      <c r="AU165" s="25"/>
    </row>
    <row r="166" spans="2:47" s="54" customFormat="1" x14ac:dyDescent="0.2">
      <c r="B166" s="74"/>
      <c r="G166" s="56"/>
      <c r="I166" s="25"/>
      <c r="J166" s="25"/>
      <c r="K166" s="25"/>
      <c r="L166" s="25"/>
      <c r="M166" s="25"/>
      <c r="N166" s="25"/>
      <c r="O166" s="25"/>
      <c r="P166" s="25"/>
      <c r="T166" s="56"/>
      <c r="V166" s="25"/>
      <c r="AF166" s="56"/>
      <c r="AG166" s="56"/>
      <c r="AH166" s="25"/>
      <c r="AI166" s="56"/>
      <c r="AJ166" s="56"/>
      <c r="AK166" s="56"/>
      <c r="AL166" s="56"/>
      <c r="AM166" s="56"/>
      <c r="AN166" s="56"/>
      <c r="AO166" s="56"/>
      <c r="AS166" s="56"/>
      <c r="AU166" s="25"/>
    </row>
    <row r="167" spans="2:47" s="54" customFormat="1" x14ac:dyDescent="0.2">
      <c r="B167" s="74"/>
      <c r="G167" s="56"/>
      <c r="I167" s="25"/>
      <c r="J167" s="25"/>
      <c r="K167" s="25"/>
      <c r="L167" s="25"/>
      <c r="M167" s="25"/>
      <c r="N167" s="25"/>
      <c r="O167" s="25"/>
      <c r="P167" s="25"/>
      <c r="T167" s="56"/>
      <c r="V167" s="25"/>
      <c r="AF167" s="56"/>
      <c r="AG167" s="56"/>
      <c r="AH167" s="25"/>
      <c r="AI167" s="56"/>
      <c r="AJ167" s="56"/>
      <c r="AK167" s="56"/>
      <c r="AL167" s="56"/>
      <c r="AM167" s="56"/>
      <c r="AN167" s="56"/>
      <c r="AO167" s="56"/>
      <c r="AS167" s="56"/>
      <c r="AU167" s="25"/>
    </row>
    <row r="168" spans="2:47" s="54" customFormat="1" x14ac:dyDescent="0.2">
      <c r="B168" s="74"/>
      <c r="G168" s="56"/>
      <c r="I168" s="25"/>
      <c r="J168" s="25"/>
      <c r="K168" s="25"/>
      <c r="L168" s="25"/>
      <c r="M168" s="25"/>
      <c r="N168" s="25"/>
      <c r="O168" s="25"/>
      <c r="P168" s="25"/>
      <c r="T168" s="56"/>
      <c r="V168" s="25"/>
      <c r="AF168" s="56"/>
      <c r="AG168" s="56"/>
      <c r="AH168" s="25"/>
      <c r="AI168" s="56"/>
      <c r="AJ168" s="56"/>
      <c r="AK168" s="56"/>
      <c r="AL168" s="56"/>
      <c r="AM168" s="56"/>
      <c r="AN168" s="56"/>
      <c r="AO168" s="56"/>
      <c r="AS168" s="56"/>
      <c r="AU168" s="25"/>
    </row>
    <row r="169" spans="2:47" s="54" customFormat="1" x14ac:dyDescent="0.2">
      <c r="B169" s="74"/>
      <c r="G169" s="56"/>
      <c r="I169" s="25"/>
      <c r="J169" s="25"/>
      <c r="K169" s="25"/>
      <c r="L169" s="25"/>
      <c r="M169" s="25"/>
      <c r="N169" s="25"/>
      <c r="O169" s="25"/>
      <c r="P169" s="25"/>
      <c r="T169" s="56"/>
      <c r="V169" s="25"/>
      <c r="AF169" s="56"/>
      <c r="AG169" s="56"/>
      <c r="AH169" s="25"/>
      <c r="AI169" s="56"/>
      <c r="AJ169" s="56"/>
      <c r="AK169" s="56"/>
      <c r="AL169" s="56"/>
      <c r="AM169" s="56"/>
      <c r="AN169" s="56"/>
      <c r="AO169" s="56"/>
      <c r="AS169" s="56"/>
      <c r="AU169" s="25"/>
    </row>
    <row r="170" spans="2:47" s="54" customFormat="1" x14ac:dyDescent="0.2">
      <c r="B170" s="74"/>
      <c r="G170" s="56"/>
      <c r="I170" s="25"/>
      <c r="J170" s="25"/>
      <c r="K170" s="25"/>
      <c r="L170" s="25"/>
      <c r="M170" s="25"/>
      <c r="N170" s="25"/>
      <c r="O170" s="25"/>
      <c r="P170" s="25"/>
      <c r="T170" s="56"/>
      <c r="V170" s="25"/>
      <c r="AF170" s="56"/>
      <c r="AG170" s="56"/>
      <c r="AH170" s="25"/>
      <c r="AI170" s="56"/>
      <c r="AJ170" s="56"/>
      <c r="AK170" s="56"/>
      <c r="AL170" s="56"/>
      <c r="AM170" s="56"/>
      <c r="AN170" s="56"/>
      <c r="AO170" s="56"/>
      <c r="AS170" s="56"/>
      <c r="AU170" s="25"/>
    </row>
    <row r="171" spans="2:47" s="54" customFormat="1" x14ac:dyDescent="0.2">
      <c r="B171" s="74"/>
      <c r="G171" s="56"/>
      <c r="I171" s="25"/>
      <c r="J171" s="25"/>
      <c r="K171" s="25"/>
      <c r="L171" s="25"/>
      <c r="M171" s="25"/>
      <c r="N171" s="25"/>
      <c r="O171" s="25"/>
      <c r="P171" s="25"/>
      <c r="T171" s="56"/>
      <c r="V171" s="25"/>
      <c r="AF171" s="56"/>
      <c r="AG171" s="56"/>
      <c r="AH171" s="25"/>
      <c r="AI171" s="56"/>
      <c r="AJ171" s="56"/>
      <c r="AK171" s="56"/>
      <c r="AL171" s="56"/>
      <c r="AM171" s="56"/>
      <c r="AN171" s="56"/>
      <c r="AO171" s="56"/>
      <c r="AS171" s="56"/>
      <c r="AU171" s="25"/>
    </row>
    <row r="172" spans="2:47" s="54" customFormat="1" x14ac:dyDescent="0.2">
      <c r="B172" s="74"/>
      <c r="G172" s="56"/>
      <c r="I172" s="25"/>
      <c r="J172" s="25"/>
      <c r="K172" s="25"/>
      <c r="L172" s="25"/>
      <c r="M172" s="25"/>
      <c r="N172" s="25"/>
      <c r="O172" s="25"/>
      <c r="P172" s="25"/>
      <c r="T172" s="56"/>
      <c r="V172" s="25"/>
      <c r="AF172" s="56"/>
      <c r="AG172" s="56"/>
      <c r="AH172" s="25"/>
      <c r="AI172" s="56"/>
      <c r="AJ172" s="56"/>
      <c r="AK172" s="56"/>
      <c r="AL172" s="56"/>
      <c r="AM172" s="56"/>
      <c r="AN172" s="56"/>
      <c r="AO172" s="56"/>
      <c r="AS172" s="56"/>
      <c r="AU172" s="25"/>
    </row>
    <row r="173" spans="2:47" s="54" customFormat="1" x14ac:dyDescent="0.2">
      <c r="B173" s="74"/>
      <c r="G173" s="56"/>
      <c r="I173" s="25"/>
      <c r="J173" s="25"/>
      <c r="K173" s="25"/>
      <c r="L173" s="25"/>
      <c r="M173" s="25"/>
      <c r="N173" s="25"/>
      <c r="O173" s="25"/>
      <c r="P173" s="25"/>
      <c r="T173" s="56"/>
      <c r="V173" s="25"/>
      <c r="AF173" s="56"/>
      <c r="AG173" s="56"/>
      <c r="AH173" s="25"/>
      <c r="AI173" s="56"/>
      <c r="AJ173" s="56"/>
      <c r="AK173" s="56"/>
      <c r="AL173" s="56"/>
      <c r="AM173" s="56"/>
      <c r="AN173" s="56"/>
      <c r="AO173" s="56"/>
      <c r="AS173" s="56"/>
      <c r="AU173" s="25"/>
    </row>
    <row r="174" spans="2:47" s="54" customFormat="1" x14ac:dyDescent="0.2">
      <c r="B174" s="74"/>
      <c r="G174" s="56"/>
      <c r="I174" s="25"/>
      <c r="J174" s="25"/>
      <c r="K174" s="25"/>
      <c r="L174" s="25"/>
      <c r="M174" s="25"/>
      <c r="N174" s="25"/>
      <c r="O174" s="25"/>
      <c r="P174" s="25"/>
      <c r="T174" s="56"/>
      <c r="V174" s="25"/>
      <c r="AF174" s="56"/>
      <c r="AG174" s="56"/>
      <c r="AH174" s="25"/>
      <c r="AI174" s="56"/>
      <c r="AJ174" s="56"/>
      <c r="AK174" s="56"/>
      <c r="AL174" s="56"/>
      <c r="AM174" s="56"/>
      <c r="AN174" s="56"/>
      <c r="AO174" s="56"/>
      <c r="AS174" s="56"/>
      <c r="AU174" s="25"/>
    </row>
    <row r="175" spans="2:47" s="54" customFormat="1" x14ac:dyDescent="0.2">
      <c r="B175" s="74"/>
      <c r="G175" s="56"/>
      <c r="I175" s="25"/>
      <c r="J175" s="25"/>
      <c r="K175" s="25"/>
      <c r="L175" s="25"/>
      <c r="M175" s="25"/>
      <c r="N175" s="25"/>
      <c r="O175" s="25"/>
      <c r="P175" s="25"/>
      <c r="T175" s="56"/>
      <c r="V175" s="25"/>
      <c r="AF175" s="56"/>
      <c r="AG175" s="56"/>
      <c r="AH175" s="25"/>
      <c r="AI175" s="56"/>
      <c r="AJ175" s="56"/>
      <c r="AK175" s="56"/>
      <c r="AL175" s="56"/>
      <c r="AM175" s="56"/>
      <c r="AN175" s="56"/>
      <c r="AO175" s="56"/>
      <c r="AS175" s="56"/>
      <c r="AU175" s="25"/>
    </row>
    <row r="176" spans="2:47" s="54" customFormat="1" x14ac:dyDescent="0.2">
      <c r="B176" s="74"/>
      <c r="G176" s="56"/>
      <c r="I176" s="25"/>
      <c r="J176" s="25"/>
      <c r="K176" s="25"/>
      <c r="L176" s="25"/>
      <c r="M176" s="25"/>
      <c r="N176" s="25"/>
      <c r="O176" s="25"/>
      <c r="P176" s="25"/>
      <c r="T176" s="56"/>
      <c r="V176" s="25"/>
      <c r="AF176" s="56"/>
      <c r="AG176" s="56"/>
      <c r="AH176" s="25"/>
      <c r="AI176" s="56"/>
      <c r="AJ176" s="56"/>
      <c r="AK176" s="56"/>
      <c r="AL176" s="56"/>
      <c r="AM176" s="56"/>
      <c r="AN176" s="56"/>
      <c r="AO176" s="56"/>
      <c r="AS176" s="56"/>
      <c r="AU176" s="25"/>
    </row>
    <row r="177" spans="2:47" s="54" customFormat="1" x14ac:dyDescent="0.2">
      <c r="B177" s="74"/>
      <c r="G177" s="56"/>
      <c r="I177" s="25"/>
      <c r="J177" s="25"/>
      <c r="K177" s="25"/>
      <c r="L177" s="25"/>
      <c r="M177" s="25"/>
      <c r="N177" s="25"/>
      <c r="O177" s="25"/>
      <c r="P177" s="25"/>
      <c r="T177" s="56"/>
      <c r="V177" s="25"/>
      <c r="AF177" s="56"/>
      <c r="AG177" s="56"/>
      <c r="AH177" s="25"/>
      <c r="AI177" s="56"/>
      <c r="AJ177" s="56"/>
      <c r="AK177" s="56"/>
      <c r="AL177" s="56"/>
      <c r="AM177" s="56"/>
      <c r="AN177" s="56"/>
      <c r="AO177" s="56"/>
      <c r="AS177" s="56"/>
      <c r="AU177" s="25"/>
    </row>
    <row r="178" spans="2:47" s="54" customFormat="1" x14ac:dyDescent="0.2">
      <c r="B178" s="74"/>
      <c r="G178" s="56"/>
      <c r="I178" s="25"/>
      <c r="J178" s="25"/>
      <c r="K178" s="25"/>
      <c r="L178" s="25"/>
      <c r="M178" s="25"/>
      <c r="N178" s="25"/>
      <c r="O178" s="25"/>
      <c r="P178" s="25"/>
      <c r="T178" s="56"/>
      <c r="V178" s="25"/>
      <c r="AF178" s="56"/>
      <c r="AG178" s="56"/>
      <c r="AH178" s="25"/>
      <c r="AI178" s="56"/>
      <c r="AJ178" s="56"/>
      <c r="AK178" s="56"/>
      <c r="AL178" s="56"/>
      <c r="AM178" s="56"/>
      <c r="AN178" s="56"/>
      <c r="AO178" s="56"/>
      <c r="AS178" s="56"/>
      <c r="AU178" s="25"/>
    </row>
    <row r="179" spans="2:47" s="54" customFormat="1" x14ac:dyDescent="0.2">
      <c r="B179" s="74"/>
      <c r="G179" s="56"/>
      <c r="I179" s="25"/>
      <c r="J179" s="25"/>
      <c r="K179" s="25"/>
      <c r="L179" s="25"/>
      <c r="M179" s="25"/>
      <c r="N179" s="25"/>
      <c r="O179" s="25"/>
      <c r="P179" s="25"/>
      <c r="T179" s="56"/>
      <c r="V179" s="25"/>
      <c r="AF179" s="56"/>
      <c r="AG179" s="56"/>
      <c r="AH179" s="25"/>
      <c r="AI179" s="56"/>
      <c r="AJ179" s="56"/>
      <c r="AK179" s="56"/>
      <c r="AL179" s="56"/>
      <c r="AM179" s="56"/>
      <c r="AN179" s="56"/>
      <c r="AO179" s="56"/>
      <c r="AS179" s="56"/>
      <c r="AU179" s="25"/>
    </row>
    <row r="180" spans="2:47" s="54" customFormat="1" x14ac:dyDescent="0.2">
      <c r="B180" s="74"/>
      <c r="G180" s="56"/>
      <c r="I180" s="25"/>
      <c r="J180" s="25"/>
      <c r="K180" s="25"/>
      <c r="L180" s="25"/>
      <c r="M180" s="25"/>
      <c r="N180" s="25"/>
      <c r="O180" s="25"/>
      <c r="P180" s="25"/>
      <c r="T180" s="56"/>
      <c r="V180" s="25"/>
      <c r="AF180" s="56"/>
      <c r="AG180" s="56"/>
      <c r="AH180" s="25"/>
      <c r="AI180" s="56"/>
      <c r="AJ180" s="56"/>
      <c r="AK180" s="56"/>
      <c r="AL180" s="56"/>
      <c r="AM180" s="56"/>
      <c r="AN180" s="56"/>
      <c r="AO180" s="56"/>
      <c r="AS180" s="56"/>
      <c r="AU180" s="25"/>
    </row>
    <row r="181" spans="2:47" s="54" customFormat="1" x14ac:dyDescent="0.2">
      <c r="B181" s="74"/>
      <c r="G181" s="56"/>
      <c r="I181" s="25"/>
      <c r="J181" s="25"/>
      <c r="K181" s="25"/>
      <c r="L181" s="25"/>
      <c r="M181" s="25"/>
      <c r="N181" s="25"/>
      <c r="O181" s="25"/>
      <c r="P181" s="25"/>
      <c r="T181" s="56"/>
      <c r="V181" s="25"/>
      <c r="AF181" s="56"/>
      <c r="AG181" s="56"/>
      <c r="AH181" s="25"/>
      <c r="AI181" s="56"/>
      <c r="AJ181" s="56"/>
      <c r="AK181" s="56"/>
      <c r="AL181" s="56"/>
      <c r="AM181" s="56"/>
      <c r="AN181" s="56"/>
      <c r="AO181" s="56"/>
      <c r="AS181" s="56"/>
      <c r="AU181" s="25"/>
    </row>
    <row r="182" spans="2:47" s="54" customFormat="1" x14ac:dyDescent="0.2">
      <c r="B182" s="74"/>
      <c r="G182" s="56"/>
      <c r="I182" s="25"/>
      <c r="J182" s="25"/>
      <c r="K182" s="25"/>
      <c r="L182" s="25"/>
      <c r="M182" s="25"/>
      <c r="N182" s="25"/>
      <c r="O182" s="25"/>
      <c r="P182" s="25"/>
      <c r="T182" s="56"/>
      <c r="V182" s="25"/>
      <c r="AF182" s="56"/>
      <c r="AG182" s="56"/>
      <c r="AH182" s="25"/>
      <c r="AI182" s="56"/>
      <c r="AJ182" s="56"/>
      <c r="AK182" s="56"/>
      <c r="AL182" s="56"/>
      <c r="AM182" s="56"/>
      <c r="AN182" s="56"/>
      <c r="AO182" s="56"/>
      <c r="AS182" s="56"/>
      <c r="AU182" s="25"/>
    </row>
    <row r="183" spans="2:47" s="54" customFormat="1" x14ac:dyDescent="0.2">
      <c r="B183" s="74"/>
      <c r="G183" s="56"/>
      <c r="I183" s="25"/>
      <c r="J183" s="25"/>
      <c r="K183" s="25"/>
      <c r="L183" s="25"/>
      <c r="M183" s="25"/>
      <c r="N183" s="25"/>
      <c r="O183" s="25"/>
      <c r="P183" s="25"/>
      <c r="T183" s="56"/>
      <c r="V183" s="25"/>
      <c r="AF183" s="56"/>
      <c r="AG183" s="56"/>
      <c r="AH183" s="25"/>
      <c r="AI183" s="56"/>
      <c r="AJ183" s="56"/>
      <c r="AK183" s="56"/>
      <c r="AL183" s="56"/>
      <c r="AM183" s="56"/>
      <c r="AN183" s="56"/>
      <c r="AO183" s="56"/>
      <c r="AS183" s="56"/>
      <c r="AU183" s="25"/>
    </row>
    <row r="184" spans="2:47" s="54" customFormat="1" x14ac:dyDescent="0.2">
      <c r="B184" s="74"/>
      <c r="G184" s="56"/>
      <c r="I184" s="25"/>
      <c r="J184" s="25"/>
      <c r="K184" s="25"/>
      <c r="L184" s="25"/>
      <c r="M184" s="25"/>
      <c r="N184" s="25"/>
      <c r="O184" s="25"/>
      <c r="P184" s="25"/>
      <c r="T184" s="56"/>
      <c r="V184" s="25"/>
      <c r="AF184" s="56"/>
      <c r="AG184" s="56"/>
      <c r="AH184" s="25"/>
      <c r="AI184" s="56"/>
      <c r="AJ184" s="56"/>
      <c r="AK184" s="56"/>
      <c r="AL184" s="56"/>
      <c r="AM184" s="56"/>
      <c r="AN184" s="56"/>
      <c r="AO184" s="56"/>
      <c r="AS184" s="56"/>
      <c r="AU184" s="25"/>
    </row>
    <row r="185" spans="2:47" s="54" customFormat="1" x14ac:dyDescent="0.2">
      <c r="B185" s="74"/>
      <c r="G185" s="56"/>
      <c r="I185" s="25"/>
      <c r="J185" s="25"/>
      <c r="K185" s="25"/>
      <c r="L185" s="25"/>
      <c r="M185" s="25"/>
      <c r="N185" s="25"/>
      <c r="O185" s="25"/>
      <c r="P185" s="25"/>
      <c r="T185" s="56"/>
      <c r="V185" s="25"/>
      <c r="AF185" s="56"/>
      <c r="AG185" s="56"/>
      <c r="AH185" s="25"/>
      <c r="AI185" s="56"/>
      <c r="AJ185" s="56"/>
      <c r="AK185" s="56"/>
      <c r="AL185" s="56"/>
      <c r="AM185" s="56"/>
      <c r="AN185" s="56"/>
      <c r="AO185" s="56"/>
      <c r="AS185" s="56"/>
      <c r="AU185" s="25"/>
    </row>
    <row r="186" spans="2:47" s="54" customFormat="1" x14ac:dyDescent="0.2">
      <c r="B186" s="74"/>
      <c r="G186" s="56"/>
      <c r="I186" s="25"/>
      <c r="J186" s="25"/>
      <c r="K186" s="25"/>
      <c r="L186" s="25"/>
      <c r="M186" s="25"/>
      <c r="N186" s="25"/>
      <c r="O186" s="25"/>
      <c r="P186" s="25"/>
      <c r="T186" s="56"/>
      <c r="V186" s="25"/>
      <c r="AF186" s="56"/>
      <c r="AG186" s="56"/>
      <c r="AH186" s="25"/>
      <c r="AI186" s="56"/>
      <c r="AJ186" s="56"/>
      <c r="AK186" s="56"/>
      <c r="AL186" s="56"/>
      <c r="AM186" s="56"/>
      <c r="AN186" s="56"/>
      <c r="AO186" s="56"/>
      <c r="AS186" s="56"/>
      <c r="AU186" s="25"/>
    </row>
    <row r="187" spans="2:47" s="54" customFormat="1" x14ac:dyDescent="0.2">
      <c r="B187" s="74"/>
      <c r="G187" s="56"/>
      <c r="I187" s="25"/>
      <c r="J187" s="25"/>
      <c r="K187" s="25"/>
      <c r="L187" s="25"/>
      <c r="M187" s="25"/>
      <c r="N187" s="25"/>
      <c r="O187" s="25"/>
      <c r="P187" s="25"/>
      <c r="T187" s="56"/>
      <c r="V187" s="25"/>
      <c r="AF187" s="56"/>
      <c r="AG187" s="56"/>
      <c r="AH187" s="25"/>
      <c r="AI187" s="56"/>
      <c r="AJ187" s="56"/>
      <c r="AK187" s="56"/>
      <c r="AL187" s="56"/>
      <c r="AM187" s="56"/>
      <c r="AN187" s="56"/>
      <c r="AO187" s="56"/>
      <c r="AS187" s="56"/>
      <c r="AU187" s="25"/>
    </row>
    <row r="188" spans="2:47" s="54" customFormat="1" x14ac:dyDescent="0.2">
      <c r="B188" s="74"/>
      <c r="G188" s="56"/>
      <c r="I188" s="25"/>
      <c r="J188" s="25"/>
      <c r="K188" s="25"/>
      <c r="L188" s="25"/>
      <c r="M188" s="25"/>
      <c r="N188" s="25"/>
      <c r="O188" s="25"/>
      <c r="P188" s="25"/>
      <c r="T188" s="56"/>
      <c r="V188" s="25"/>
      <c r="AF188" s="56"/>
      <c r="AG188" s="56"/>
      <c r="AH188" s="25"/>
      <c r="AI188" s="56"/>
      <c r="AJ188" s="56"/>
      <c r="AK188" s="56"/>
      <c r="AL188" s="56"/>
      <c r="AM188" s="56"/>
      <c r="AN188" s="56"/>
      <c r="AO188" s="56"/>
      <c r="AS188" s="56"/>
      <c r="AU188" s="25"/>
    </row>
    <row r="189" spans="2:47" s="54" customFormat="1" x14ac:dyDescent="0.2">
      <c r="B189" s="74"/>
      <c r="G189" s="56"/>
      <c r="I189" s="25"/>
      <c r="J189" s="25"/>
      <c r="K189" s="25"/>
      <c r="L189" s="25"/>
      <c r="M189" s="25"/>
      <c r="N189" s="25"/>
      <c r="O189" s="25"/>
      <c r="P189" s="25"/>
      <c r="T189" s="56"/>
      <c r="V189" s="25"/>
      <c r="AF189" s="56"/>
      <c r="AG189" s="56"/>
      <c r="AH189" s="25"/>
      <c r="AI189" s="56"/>
      <c r="AJ189" s="56"/>
      <c r="AK189" s="56"/>
      <c r="AL189" s="56"/>
      <c r="AM189" s="56"/>
      <c r="AN189" s="56"/>
      <c r="AO189" s="56"/>
      <c r="AS189" s="56"/>
      <c r="AU189" s="25"/>
    </row>
    <row r="190" spans="2:47" s="54" customFormat="1" x14ac:dyDescent="0.2">
      <c r="B190" s="74"/>
      <c r="G190" s="56"/>
      <c r="I190" s="25"/>
      <c r="J190" s="25"/>
      <c r="K190" s="25"/>
      <c r="L190" s="25"/>
      <c r="M190" s="25"/>
      <c r="N190" s="25"/>
      <c r="O190" s="25"/>
      <c r="P190" s="25"/>
      <c r="T190" s="56"/>
      <c r="V190" s="25"/>
      <c r="AF190" s="56"/>
      <c r="AG190" s="56"/>
      <c r="AH190" s="25"/>
      <c r="AI190" s="56"/>
      <c r="AJ190" s="56"/>
      <c r="AK190" s="56"/>
      <c r="AL190" s="56"/>
      <c r="AM190" s="56"/>
      <c r="AN190" s="56"/>
      <c r="AO190" s="56"/>
      <c r="AS190" s="56"/>
      <c r="AU190" s="25"/>
    </row>
    <row r="191" spans="2:47" s="54" customFormat="1" x14ac:dyDescent="0.2">
      <c r="B191" s="74"/>
      <c r="G191" s="56"/>
      <c r="I191" s="25"/>
      <c r="J191" s="25"/>
      <c r="K191" s="25"/>
      <c r="L191" s="25"/>
      <c r="M191" s="25"/>
      <c r="N191" s="25"/>
      <c r="O191" s="25"/>
      <c r="P191" s="25"/>
      <c r="T191" s="56"/>
      <c r="V191" s="25"/>
      <c r="AF191" s="56"/>
      <c r="AG191" s="56"/>
      <c r="AH191" s="25"/>
      <c r="AI191" s="56"/>
      <c r="AJ191" s="56"/>
      <c r="AK191" s="56"/>
      <c r="AL191" s="56"/>
      <c r="AM191" s="56"/>
      <c r="AN191" s="56"/>
      <c r="AO191" s="56"/>
      <c r="AS191" s="56"/>
      <c r="AU191" s="25"/>
    </row>
    <row r="192" spans="2:47" s="54" customFormat="1" x14ac:dyDescent="0.2">
      <c r="B192" s="74"/>
      <c r="G192" s="56"/>
      <c r="I192" s="25"/>
      <c r="J192" s="25"/>
      <c r="K192" s="25"/>
      <c r="L192" s="25"/>
      <c r="M192" s="25"/>
      <c r="N192" s="25"/>
      <c r="O192" s="25"/>
      <c r="P192" s="25"/>
      <c r="T192" s="56"/>
      <c r="V192" s="25"/>
      <c r="AF192" s="56"/>
      <c r="AG192" s="56"/>
      <c r="AH192" s="25"/>
      <c r="AI192" s="56"/>
      <c r="AJ192" s="56"/>
      <c r="AK192" s="56"/>
      <c r="AL192" s="56"/>
      <c r="AM192" s="56"/>
      <c r="AN192" s="56"/>
      <c r="AO192" s="56"/>
      <c r="AS192" s="56"/>
      <c r="AU192" s="25"/>
    </row>
    <row r="193" spans="2:47" s="54" customFormat="1" x14ac:dyDescent="0.2">
      <c r="B193" s="74"/>
      <c r="G193" s="56"/>
      <c r="I193" s="25"/>
      <c r="J193" s="25"/>
      <c r="K193" s="25"/>
      <c r="L193" s="25"/>
      <c r="M193" s="25"/>
      <c r="N193" s="25"/>
      <c r="O193" s="25"/>
      <c r="P193" s="25"/>
      <c r="T193" s="56"/>
      <c r="V193" s="25"/>
      <c r="AF193" s="56"/>
      <c r="AG193" s="56"/>
      <c r="AH193" s="25"/>
      <c r="AI193" s="56"/>
      <c r="AJ193" s="56"/>
      <c r="AK193" s="56"/>
      <c r="AL193" s="56"/>
      <c r="AM193" s="56"/>
      <c r="AN193" s="56"/>
      <c r="AO193" s="56"/>
      <c r="AS193" s="56"/>
      <c r="AU193" s="25"/>
    </row>
    <row r="194" spans="2:47" s="54" customFormat="1" x14ac:dyDescent="0.2">
      <c r="B194" s="74"/>
      <c r="G194" s="56"/>
      <c r="I194" s="25"/>
      <c r="J194" s="25"/>
      <c r="K194" s="25"/>
      <c r="L194" s="25"/>
      <c r="M194" s="25"/>
      <c r="N194" s="25"/>
      <c r="O194" s="25"/>
      <c r="P194" s="25"/>
      <c r="T194" s="56"/>
      <c r="V194" s="25"/>
      <c r="AF194" s="56"/>
      <c r="AG194" s="56"/>
      <c r="AH194" s="25"/>
      <c r="AI194" s="56"/>
      <c r="AJ194" s="56"/>
      <c r="AK194" s="56"/>
      <c r="AL194" s="56"/>
      <c r="AM194" s="56"/>
      <c r="AN194" s="56"/>
      <c r="AO194" s="56"/>
      <c r="AS194" s="56"/>
      <c r="AU194" s="25"/>
    </row>
    <row r="195" spans="2:47" s="54" customFormat="1" x14ac:dyDescent="0.2">
      <c r="B195" s="74"/>
      <c r="G195" s="56"/>
      <c r="I195" s="25"/>
      <c r="J195" s="25"/>
      <c r="K195" s="25"/>
      <c r="L195" s="25"/>
      <c r="M195" s="25"/>
      <c r="N195" s="25"/>
      <c r="O195" s="25"/>
      <c r="P195" s="25"/>
      <c r="T195" s="56"/>
      <c r="V195" s="25"/>
      <c r="AF195" s="56"/>
      <c r="AG195" s="56"/>
      <c r="AH195" s="25"/>
      <c r="AI195" s="56"/>
      <c r="AJ195" s="56"/>
      <c r="AK195" s="56"/>
      <c r="AL195" s="56"/>
      <c r="AM195" s="56"/>
      <c r="AN195" s="56"/>
      <c r="AO195" s="56"/>
      <c r="AS195" s="56"/>
      <c r="AU195" s="25"/>
    </row>
    <row r="196" spans="2:47" s="54" customFormat="1" x14ac:dyDescent="0.2">
      <c r="B196" s="74"/>
      <c r="G196" s="56"/>
      <c r="I196" s="25"/>
      <c r="J196" s="25"/>
      <c r="K196" s="25"/>
      <c r="L196" s="25"/>
      <c r="M196" s="25"/>
      <c r="N196" s="25"/>
      <c r="O196" s="25"/>
      <c r="P196" s="25"/>
      <c r="T196" s="56"/>
      <c r="V196" s="25"/>
      <c r="AF196" s="56"/>
      <c r="AG196" s="56"/>
      <c r="AH196" s="25"/>
      <c r="AI196" s="56"/>
      <c r="AJ196" s="56"/>
      <c r="AK196" s="56"/>
      <c r="AL196" s="56"/>
      <c r="AM196" s="56"/>
      <c r="AN196" s="56"/>
      <c r="AO196" s="56"/>
      <c r="AS196" s="56"/>
      <c r="AU196" s="25"/>
    </row>
    <row r="197" spans="2:47" s="54" customFormat="1" x14ac:dyDescent="0.2">
      <c r="B197" s="74"/>
      <c r="G197" s="56"/>
      <c r="I197" s="25"/>
      <c r="J197" s="25"/>
      <c r="K197" s="25"/>
      <c r="L197" s="25"/>
      <c r="M197" s="25"/>
      <c r="N197" s="25"/>
      <c r="O197" s="25"/>
      <c r="P197" s="25"/>
      <c r="T197" s="56"/>
      <c r="V197" s="25"/>
      <c r="AF197" s="56"/>
      <c r="AG197" s="56"/>
      <c r="AH197" s="25"/>
      <c r="AI197" s="56"/>
      <c r="AJ197" s="56"/>
      <c r="AK197" s="56"/>
      <c r="AL197" s="56"/>
      <c r="AM197" s="56"/>
      <c r="AN197" s="56"/>
      <c r="AO197" s="56"/>
      <c r="AS197" s="56"/>
      <c r="AU197" s="25"/>
    </row>
    <row r="198" spans="2:47" s="54" customFormat="1" x14ac:dyDescent="0.2">
      <c r="B198" s="74"/>
      <c r="G198" s="56"/>
      <c r="I198" s="25"/>
      <c r="J198" s="25"/>
      <c r="K198" s="25"/>
      <c r="L198" s="25"/>
      <c r="M198" s="25"/>
      <c r="N198" s="25"/>
      <c r="O198" s="25"/>
      <c r="P198" s="25"/>
      <c r="T198" s="56"/>
      <c r="V198" s="25"/>
      <c r="AF198" s="56"/>
      <c r="AG198" s="56"/>
      <c r="AH198" s="25"/>
      <c r="AI198" s="56"/>
      <c r="AJ198" s="56"/>
      <c r="AK198" s="56"/>
      <c r="AL198" s="56"/>
      <c r="AM198" s="56"/>
      <c r="AN198" s="56"/>
      <c r="AO198" s="56"/>
      <c r="AS198" s="56"/>
      <c r="AU198" s="25"/>
    </row>
    <row r="199" spans="2:47" s="54" customFormat="1" x14ac:dyDescent="0.2">
      <c r="B199" s="74"/>
      <c r="G199" s="56"/>
      <c r="I199" s="25"/>
      <c r="J199" s="25"/>
      <c r="K199" s="25"/>
      <c r="L199" s="25"/>
      <c r="M199" s="25"/>
      <c r="N199" s="25"/>
      <c r="O199" s="25"/>
      <c r="P199" s="25"/>
      <c r="T199" s="56"/>
      <c r="V199" s="25"/>
      <c r="AF199" s="56"/>
      <c r="AG199" s="56"/>
      <c r="AH199" s="25"/>
      <c r="AI199" s="56"/>
      <c r="AJ199" s="56"/>
      <c r="AK199" s="56"/>
      <c r="AL199" s="56"/>
      <c r="AM199" s="56"/>
      <c r="AN199" s="56"/>
      <c r="AO199" s="56"/>
      <c r="AS199" s="56"/>
      <c r="AU199" s="25"/>
    </row>
    <row r="200" spans="2:47" s="54" customFormat="1" x14ac:dyDescent="0.2">
      <c r="B200" s="74"/>
      <c r="G200" s="56"/>
      <c r="I200" s="25"/>
      <c r="J200" s="25"/>
      <c r="K200" s="25"/>
      <c r="L200" s="25"/>
      <c r="M200" s="25"/>
      <c r="N200" s="25"/>
      <c r="O200" s="25"/>
      <c r="P200" s="25"/>
      <c r="T200" s="56"/>
      <c r="V200" s="25"/>
      <c r="AF200" s="56"/>
      <c r="AG200" s="56"/>
      <c r="AH200" s="25"/>
      <c r="AI200" s="56"/>
      <c r="AJ200" s="56"/>
      <c r="AK200" s="56"/>
      <c r="AL200" s="56"/>
      <c r="AM200" s="56"/>
      <c r="AN200" s="56"/>
      <c r="AO200" s="56"/>
      <c r="AS200" s="56"/>
      <c r="AU200" s="25"/>
    </row>
    <row r="201" spans="2:47" s="54" customFormat="1" x14ac:dyDescent="0.2">
      <c r="B201" s="74"/>
      <c r="G201" s="56"/>
      <c r="I201" s="25"/>
      <c r="J201" s="25"/>
      <c r="K201" s="25"/>
      <c r="L201" s="25"/>
      <c r="M201" s="25"/>
      <c r="N201" s="25"/>
      <c r="O201" s="25"/>
      <c r="P201" s="25"/>
      <c r="T201" s="56"/>
      <c r="V201" s="25"/>
      <c r="AF201" s="56"/>
      <c r="AG201" s="56"/>
      <c r="AH201" s="25"/>
      <c r="AI201" s="56"/>
      <c r="AJ201" s="56"/>
      <c r="AK201" s="56"/>
      <c r="AL201" s="56"/>
      <c r="AM201" s="56"/>
      <c r="AN201" s="56"/>
      <c r="AO201" s="56"/>
      <c r="AS201" s="56"/>
      <c r="AU201" s="25"/>
    </row>
    <row r="202" spans="2:47" s="54" customFormat="1" x14ac:dyDescent="0.2">
      <c r="B202" s="74"/>
      <c r="G202" s="56"/>
      <c r="I202" s="25"/>
      <c r="J202" s="25"/>
      <c r="K202" s="25"/>
      <c r="L202" s="25"/>
      <c r="M202" s="25"/>
      <c r="N202" s="25"/>
      <c r="O202" s="25"/>
      <c r="P202" s="25"/>
      <c r="T202" s="56"/>
      <c r="V202" s="25"/>
      <c r="AF202" s="56"/>
      <c r="AG202" s="56"/>
      <c r="AH202" s="25"/>
      <c r="AI202" s="56"/>
      <c r="AJ202" s="56"/>
      <c r="AK202" s="56"/>
      <c r="AL202" s="56"/>
      <c r="AM202" s="56"/>
      <c r="AN202" s="56"/>
      <c r="AO202" s="56"/>
      <c r="AS202" s="56"/>
      <c r="AU202" s="25"/>
    </row>
    <row r="203" spans="2:47" s="54" customFormat="1" x14ac:dyDescent="0.2">
      <c r="B203" s="74"/>
      <c r="G203" s="56"/>
      <c r="I203" s="25"/>
      <c r="J203" s="25"/>
      <c r="K203" s="25"/>
      <c r="L203" s="25"/>
      <c r="M203" s="25"/>
      <c r="N203" s="25"/>
      <c r="O203" s="25"/>
      <c r="P203" s="25"/>
      <c r="T203" s="56"/>
      <c r="V203" s="25"/>
      <c r="AF203" s="56"/>
      <c r="AG203" s="56"/>
      <c r="AH203" s="25"/>
      <c r="AI203" s="56"/>
      <c r="AJ203" s="56"/>
      <c r="AK203" s="56"/>
      <c r="AL203" s="56"/>
      <c r="AM203" s="56"/>
      <c r="AN203" s="56"/>
      <c r="AO203" s="56"/>
      <c r="AS203" s="56"/>
      <c r="AU203" s="25"/>
    </row>
    <row r="204" spans="2:47" s="54" customFormat="1" x14ac:dyDescent="0.2">
      <c r="B204" s="74"/>
      <c r="G204" s="56"/>
      <c r="I204" s="25"/>
      <c r="J204" s="25"/>
      <c r="K204" s="25"/>
      <c r="L204" s="25"/>
      <c r="M204" s="25"/>
      <c r="N204" s="25"/>
      <c r="O204" s="25"/>
      <c r="P204" s="25"/>
      <c r="T204" s="56"/>
      <c r="V204" s="25"/>
      <c r="AF204" s="56"/>
      <c r="AG204" s="56"/>
      <c r="AH204" s="25"/>
      <c r="AI204" s="56"/>
      <c r="AJ204" s="56"/>
      <c r="AK204" s="56"/>
      <c r="AL204" s="56"/>
      <c r="AM204" s="56"/>
      <c r="AN204" s="56"/>
      <c r="AO204" s="56"/>
      <c r="AS204" s="56"/>
      <c r="AU204" s="25"/>
    </row>
    <row r="205" spans="2:47" s="54" customFormat="1" x14ac:dyDescent="0.2">
      <c r="B205" s="74"/>
      <c r="G205" s="56"/>
      <c r="I205" s="25"/>
      <c r="J205" s="25"/>
      <c r="K205" s="25"/>
      <c r="L205" s="25"/>
      <c r="M205" s="25"/>
      <c r="N205" s="25"/>
      <c r="O205" s="25"/>
      <c r="P205" s="25"/>
      <c r="T205" s="56"/>
      <c r="V205" s="25"/>
      <c r="AF205" s="56"/>
      <c r="AG205" s="56"/>
      <c r="AH205" s="25"/>
      <c r="AI205" s="56"/>
      <c r="AJ205" s="56"/>
      <c r="AK205" s="56"/>
      <c r="AL205" s="56"/>
      <c r="AM205" s="56"/>
      <c r="AN205" s="56"/>
      <c r="AO205" s="56"/>
      <c r="AS205" s="56"/>
      <c r="AU205" s="25"/>
    </row>
    <row r="206" spans="2:47" s="54" customFormat="1" x14ac:dyDescent="0.2">
      <c r="B206" s="74"/>
      <c r="G206" s="56"/>
      <c r="I206" s="25"/>
      <c r="J206" s="25"/>
      <c r="K206" s="25"/>
      <c r="L206" s="25"/>
      <c r="M206" s="25"/>
      <c r="N206" s="25"/>
      <c r="O206" s="25"/>
      <c r="P206" s="25"/>
      <c r="T206" s="56"/>
      <c r="V206" s="25"/>
      <c r="AF206" s="56"/>
      <c r="AG206" s="56"/>
      <c r="AH206" s="25"/>
      <c r="AI206" s="56"/>
      <c r="AJ206" s="56"/>
      <c r="AK206" s="56"/>
      <c r="AL206" s="56"/>
      <c r="AM206" s="56"/>
      <c r="AN206" s="56"/>
      <c r="AO206" s="56"/>
      <c r="AS206" s="56"/>
      <c r="AU206" s="25"/>
    </row>
    <row r="207" spans="2:47" s="54" customFormat="1" x14ac:dyDescent="0.2">
      <c r="B207" s="74"/>
      <c r="G207" s="56"/>
      <c r="I207" s="25"/>
      <c r="J207" s="25"/>
      <c r="K207" s="25"/>
      <c r="L207" s="25"/>
      <c r="M207" s="25"/>
      <c r="N207" s="25"/>
      <c r="O207" s="25"/>
      <c r="P207" s="25"/>
      <c r="T207" s="56"/>
      <c r="V207" s="25"/>
      <c r="AF207" s="56"/>
      <c r="AG207" s="56"/>
      <c r="AH207" s="25"/>
      <c r="AI207" s="56"/>
      <c r="AJ207" s="56"/>
      <c r="AK207" s="56"/>
      <c r="AL207" s="56"/>
      <c r="AM207" s="56"/>
      <c r="AN207" s="56"/>
      <c r="AO207" s="56"/>
      <c r="AS207" s="56"/>
      <c r="AU207" s="25"/>
    </row>
    <row r="208" spans="2:47" s="54" customFormat="1" x14ac:dyDescent="0.2">
      <c r="B208" s="74"/>
      <c r="G208" s="56"/>
      <c r="I208" s="25"/>
      <c r="J208" s="25"/>
      <c r="K208" s="25"/>
      <c r="L208" s="25"/>
      <c r="M208" s="25"/>
      <c r="N208" s="25"/>
      <c r="O208" s="25"/>
      <c r="P208" s="25"/>
      <c r="T208" s="56"/>
      <c r="V208" s="25"/>
      <c r="AF208" s="56"/>
      <c r="AG208" s="56"/>
      <c r="AH208" s="25"/>
      <c r="AI208" s="56"/>
      <c r="AJ208" s="56"/>
      <c r="AK208" s="56"/>
      <c r="AL208" s="56"/>
      <c r="AM208" s="56"/>
      <c r="AN208" s="56"/>
      <c r="AO208" s="56"/>
      <c r="AS208" s="56"/>
      <c r="AU208" s="25"/>
    </row>
    <row r="209" spans="2:47" s="54" customFormat="1" x14ac:dyDescent="0.2">
      <c r="B209" s="74"/>
      <c r="G209" s="56"/>
      <c r="I209" s="25"/>
      <c r="J209" s="25"/>
      <c r="K209" s="25"/>
      <c r="L209" s="25"/>
      <c r="M209" s="25"/>
      <c r="N209" s="25"/>
      <c r="O209" s="25"/>
      <c r="P209" s="25"/>
      <c r="T209" s="56"/>
      <c r="V209" s="25"/>
      <c r="AF209" s="56"/>
      <c r="AG209" s="56"/>
      <c r="AH209" s="25"/>
      <c r="AI209" s="56"/>
      <c r="AJ209" s="56"/>
      <c r="AK209" s="56"/>
      <c r="AL209" s="56"/>
      <c r="AM209" s="56"/>
      <c r="AN209" s="56"/>
      <c r="AO209" s="56"/>
      <c r="AS209" s="56"/>
      <c r="AU209" s="25"/>
    </row>
    <row r="210" spans="2:47" s="54" customFormat="1" x14ac:dyDescent="0.2">
      <c r="B210" s="74"/>
      <c r="G210" s="56"/>
      <c r="I210" s="25"/>
      <c r="J210" s="25"/>
      <c r="K210" s="25"/>
      <c r="L210" s="25"/>
      <c r="M210" s="25"/>
      <c r="N210" s="25"/>
      <c r="O210" s="25"/>
      <c r="P210" s="25"/>
      <c r="T210" s="56"/>
      <c r="V210" s="25"/>
      <c r="AF210" s="56"/>
      <c r="AG210" s="56"/>
      <c r="AH210" s="25"/>
      <c r="AI210" s="56"/>
      <c r="AJ210" s="56"/>
      <c r="AK210" s="56"/>
      <c r="AL210" s="56"/>
      <c r="AM210" s="56"/>
      <c r="AN210" s="56"/>
      <c r="AO210" s="56"/>
      <c r="AS210" s="56"/>
      <c r="AU210" s="25"/>
    </row>
    <row r="211" spans="2:47" s="54" customFormat="1" x14ac:dyDescent="0.2">
      <c r="B211" s="74"/>
      <c r="G211" s="56"/>
      <c r="I211" s="25"/>
      <c r="J211" s="25"/>
      <c r="K211" s="25"/>
      <c r="L211" s="25"/>
      <c r="M211" s="25"/>
      <c r="N211" s="25"/>
      <c r="O211" s="25"/>
      <c r="P211" s="25"/>
      <c r="T211" s="56"/>
      <c r="V211" s="25"/>
      <c r="AF211" s="56"/>
      <c r="AG211" s="56"/>
      <c r="AH211" s="25"/>
      <c r="AI211" s="56"/>
      <c r="AJ211" s="56"/>
      <c r="AK211" s="56"/>
      <c r="AL211" s="56"/>
      <c r="AM211" s="56"/>
      <c r="AN211" s="56"/>
      <c r="AO211" s="56"/>
      <c r="AS211" s="56"/>
      <c r="AU211" s="25"/>
    </row>
    <row r="212" spans="2:47" s="54" customFormat="1" x14ac:dyDescent="0.2">
      <c r="B212" s="74"/>
      <c r="G212" s="56"/>
      <c r="I212" s="25"/>
      <c r="J212" s="25"/>
      <c r="K212" s="25"/>
      <c r="L212" s="25"/>
      <c r="M212" s="25"/>
      <c r="N212" s="25"/>
      <c r="O212" s="25"/>
      <c r="P212" s="25"/>
      <c r="T212" s="56"/>
      <c r="V212" s="25"/>
      <c r="AF212" s="56"/>
      <c r="AG212" s="56"/>
      <c r="AH212" s="25"/>
      <c r="AI212" s="56"/>
      <c r="AJ212" s="56"/>
      <c r="AK212" s="56"/>
      <c r="AL212" s="56"/>
      <c r="AM212" s="56"/>
      <c r="AN212" s="56"/>
      <c r="AO212" s="56"/>
      <c r="AS212" s="56"/>
      <c r="AU212" s="25"/>
    </row>
    <row r="213" spans="2:47" s="54" customFormat="1" x14ac:dyDescent="0.2">
      <c r="B213" s="74"/>
      <c r="G213" s="56"/>
      <c r="I213" s="25"/>
      <c r="J213" s="25"/>
      <c r="K213" s="25"/>
      <c r="L213" s="25"/>
      <c r="M213" s="25"/>
      <c r="N213" s="25"/>
      <c r="O213" s="25"/>
      <c r="P213" s="25"/>
      <c r="T213" s="56"/>
      <c r="V213" s="25"/>
      <c r="AF213" s="56"/>
      <c r="AG213" s="56"/>
      <c r="AH213" s="25"/>
      <c r="AI213" s="56"/>
      <c r="AJ213" s="56"/>
      <c r="AK213" s="56"/>
      <c r="AL213" s="56"/>
      <c r="AM213" s="56"/>
      <c r="AN213" s="56"/>
      <c r="AO213" s="56"/>
      <c r="AS213" s="56"/>
      <c r="AU213" s="25"/>
    </row>
    <row r="214" spans="2:47" s="54" customFormat="1" x14ac:dyDescent="0.2">
      <c r="B214" s="74"/>
      <c r="G214" s="56"/>
      <c r="I214" s="25"/>
      <c r="J214" s="25"/>
      <c r="K214" s="25"/>
      <c r="L214" s="25"/>
      <c r="M214" s="25"/>
      <c r="N214" s="25"/>
      <c r="O214" s="25"/>
      <c r="P214" s="25"/>
      <c r="T214" s="56"/>
      <c r="V214" s="25"/>
      <c r="AF214" s="56"/>
      <c r="AG214" s="56"/>
      <c r="AH214" s="25"/>
      <c r="AI214" s="56"/>
      <c r="AJ214" s="56"/>
      <c r="AK214" s="56"/>
      <c r="AL214" s="56"/>
      <c r="AM214" s="56"/>
      <c r="AN214" s="56"/>
      <c r="AO214" s="56"/>
      <c r="AS214" s="56"/>
      <c r="AU214" s="25"/>
    </row>
    <row r="215" spans="2:47" s="54" customFormat="1" x14ac:dyDescent="0.2">
      <c r="B215" s="74"/>
      <c r="G215" s="56"/>
      <c r="I215" s="25"/>
      <c r="J215" s="25"/>
      <c r="K215" s="25"/>
      <c r="L215" s="25"/>
      <c r="M215" s="25"/>
      <c r="N215" s="25"/>
      <c r="O215" s="25"/>
      <c r="P215" s="25"/>
      <c r="T215" s="56"/>
      <c r="V215" s="25"/>
      <c r="AF215" s="56"/>
      <c r="AG215" s="56"/>
      <c r="AH215" s="25"/>
      <c r="AI215" s="56"/>
      <c r="AJ215" s="56"/>
      <c r="AK215" s="56"/>
      <c r="AL215" s="56"/>
      <c r="AM215" s="56"/>
      <c r="AN215" s="56"/>
      <c r="AO215" s="56"/>
      <c r="AS215" s="56"/>
      <c r="AU215" s="25"/>
    </row>
    <row r="216" spans="2:47" s="54" customFormat="1" x14ac:dyDescent="0.2">
      <c r="B216" s="74"/>
      <c r="G216" s="56"/>
      <c r="I216" s="25"/>
      <c r="J216" s="25"/>
      <c r="K216" s="25"/>
      <c r="L216" s="25"/>
      <c r="M216" s="25"/>
      <c r="N216" s="25"/>
      <c r="O216" s="25"/>
      <c r="P216" s="25"/>
      <c r="T216" s="56"/>
      <c r="V216" s="25"/>
      <c r="AF216" s="56"/>
      <c r="AG216" s="56"/>
      <c r="AH216" s="25"/>
      <c r="AI216" s="56"/>
      <c r="AJ216" s="56"/>
      <c r="AK216" s="56"/>
      <c r="AL216" s="56"/>
      <c r="AM216" s="56"/>
      <c r="AN216" s="56"/>
      <c r="AO216" s="56"/>
      <c r="AS216" s="56"/>
      <c r="AU216" s="25"/>
    </row>
    <row r="217" spans="2:47" s="54" customFormat="1" x14ac:dyDescent="0.2">
      <c r="B217" s="74"/>
      <c r="G217" s="56"/>
      <c r="I217" s="25"/>
      <c r="J217" s="25"/>
      <c r="K217" s="25"/>
      <c r="L217" s="25"/>
      <c r="M217" s="25"/>
      <c r="N217" s="25"/>
      <c r="O217" s="25"/>
      <c r="P217" s="25"/>
      <c r="T217" s="56"/>
      <c r="V217" s="25"/>
      <c r="AF217" s="56"/>
      <c r="AG217" s="56"/>
      <c r="AH217" s="25"/>
      <c r="AI217" s="56"/>
      <c r="AJ217" s="56"/>
      <c r="AK217" s="56"/>
      <c r="AL217" s="56"/>
      <c r="AM217" s="56"/>
      <c r="AN217" s="56"/>
      <c r="AO217" s="56"/>
      <c r="AS217" s="56"/>
      <c r="AU217" s="25"/>
    </row>
    <row r="218" spans="2:47" s="54" customFormat="1" x14ac:dyDescent="0.2">
      <c r="B218" s="74"/>
      <c r="G218" s="56"/>
      <c r="I218" s="25"/>
      <c r="J218" s="25"/>
      <c r="K218" s="25"/>
      <c r="L218" s="25"/>
      <c r="M218" s="25"/>
      <c r="N218" s="25"/>
      <c r="O218" s="25"/>
      <c r="P218" s="25"/>
      <c r="T218" s="56"/>
      <c r="V218" s="25"/>
      <c r="AF218" s="56"/>
      <c r="AG218" s="56"/>
      <c r="AH218" s="25"/>
      <c r="AI218" s="56"/>
      <c r="AJ218" s="56"/>
      <c r="AK218" s="56"/>
      <c r="AL218" s="56"/>
      <c r="AM218" s="56"/>
      <c r="AN218" s="56"/>
      <c r="AO218" s="56"/>
      <c r="AS218" s="56"/>
      <c r="AU218" s="25"/>
    </row>
    <row r="219" spans="2:47" s="54" customFormat="1" x14ac:dyDescent="0.2">
      <c r="B219" s="74"/>
      <c r="G219" s="56"/>
      <c r="I219" s="25"/>
      <c r="J219" s="25"/>
      <c r="K219" s="25"/>
      <c r="L219" s="25"/>
      <c r="M219" s="25"/>
      <c r="N219" s="25"/>
      <c r="O219" s="25"/>
      <c r="P219" s="25"/>
      <c r="T219" s="56"/>
      <c r="V219" s="25"/>
      <c r="AF219" s="56"/>
      <c r="AG219" s="56"/>
      <c r="AH219" s="25"/>
      <c r="AI219" s="56"/>
      <c r="AJ219" s="56"/>
      <c r="AK219" s="56"/>
      <c r="AL219" s="56"/>
      <c r="AM219" s="56"/>
      <c r="AN219" s="56"/>
      <c r="AO219" s="56"/>
      <c r="AS219" s="56"/>
      <c r="AU219" s="25"/>
    </row>
    <row r="220" spans="2:47" s="54" customFormat="1" x14ac:dyDescent="0.2">
      <c r="B220" s="74"/>
      <c r="G220" s="56"/>
      <c r="I220" s="25"/>
      <c r="J220" s="25"/>
      <c r="K220" s="25"/>
      <c r="L220" s="25"/>
      <c r="M220" s="25"/>
      <c r="N220" s="25"/>
      <c r="O220" s="25"/>
      <c r="P220" s="25"/>
      <c r="T220" s="56"/>
      <c r="V220" s="25"/>
      <c r="AF220" s="56"/>
      <c r="AG220" s="56"/>
      <c r="AH220" s="25"/>
      <c r="AI220" s="56"/>
      <c r="AJ220" s="56"/>
      <c r="AK220" s="56"/>
      <c r="AL220" s="56"/>
      <c r="AM220" s="56"/>
      <c r="AN220" s="56"/>
      <c r="AO220" s="56"/>
      <c r="AS220" s="56"/>
      <c r="AU220" s="25"/>
    </row>
    <row r="221" spans="2:47" s="54" customFormat="1" x14ac:dyDescent="0.2">
      <c r="B221" s="74"/>
      <c r="G221" s="56"/>
      <c r="I221" s="25"/>
      <c r="J221" s="25"/>
      <c r="K221" s="25"/>
      <c r="L221" s="25"/>
      <c r="M221" s="25"/>
      <c r="N221" s="25"/>
      <c r="O221" s="25"/>
      <c r="P221" s="25"/>
      <c r="T221" s="56"/>
      <c r="V221" s="25"/>
      <c r="AF221" s="56"/>
      <c r="AG221" s="56"/>
      <c r="AH221" s="25"/>
      <c r="AI221" s="56"/>
      <c r="AJ221" s="56"/>
      <c r="AK221" s="56"/>
      <c r="AL221" s="56"/>
      <c r="AM221" s="56"/>
      <c r="AN221" s="56"/>
      <c r="AO221" s="56"/>
      <c r="AS221" s="56"/>
      <c r="AU221" s="25"/>
    </row>
    <row r="222" spans="2:47" s="54" customFormat="1" x14ac:dyDescent="0.2">
      <c r="B222" s="74"/>
      <c r="G222" s="56"/>
      <c r="I222" s="25"/>
      <c r="J222" s="25"/>
      <c r="K222" s="25"/>
      <c r="L222" s="25"/>
      <c r="M222" s="25"/>
      <c r="N222" s="25"/>
      <c r="O222" s="25"/>
      <c r="P222" s="25"/>
      <c r="T222" s="56"/>
      <c r="V222" s="25"/>
      <c r="AF222" s="56"/>
      <c r="AG222" s="56"/>
      <c r="AH222" s="25"/>
      <c r="AI222" s="56"/>
      <c r="AJ222" s="56"/>
      <c r="AK222" s="56"/>
      <c r="AL222" s="56"/>
      <c r="AM222" s="56"/>
      <c r="AN222" s="56"/>
      <c r="AO222" s="56"/>
      <c r="AS222" s="56"/>
      <c r="AU222" s="25"/>
    </row>
    <row r="223" spans="2:47" s="54" customFormat="1" x14ac:dyDescent="0.2">
      <c r="B223" s="74"/>
      <c r="G223" s="56"/>
      <c r="I223" s="25"/>
      <c r="J223" s="25"/>
      <c r="K223" s="25"/>
      <c r="L223" s="25"/>
      <c r="M223" s="25"/>
      <c r="N223" s="25"/>
      <c r="O223" s="25"/>
      <c r="P223" s="25"/>
      <c r="T223" s="56"/>
      <c r="V223" s="25"/>
      <c r="AF223" s="56"/>
      <c r="AG223" s="56"/>
      <c r="AH223" s="25"/>
      <c r="AI223" s="56"/>
      <c r="AJ223" s="56"/>
      <c r="AK223" s="56"/>
      <c r="AL223" s="56"/>
      <c r="AM223" s="56"/>
      <c r="AN223" s="56"/>
      <c r="AO223" s="56"/>
      <c r="AS223" s="56"/>
      <c r="AU223" s="25"/>
    </row>
    <row r="224" spans="2:47" s="54" customFormat="1" x14ac:dyDescent="0.2">
      <c r="B224" s="74"/>
      <c r="G224" s="56"/>
      <c r="I224" s="25"/>
      <c r="J224" s="25"/>
      <c r="K224" s="25"/>
      <c r="L224" s="25"/>
      <c r="M224" s="25"/>
      <c r="N224" s="25"/>
      <c r="O224" s="25"/>
      <c r="P224" s="25"/>
      <c r="T224" s="56"/>
      <c r="V224" s="25"/>
      <c r="AF224" s="56"/>
      <c r="AG224" s="56"/>
      <c r="AH224" s="25"/>
      <c r="AI224" s="56"/>
      <c r="AJ224" s="56"/>
      <c r="AK224" s="56"/>
      <c r="AL224" s="56"/>
      <c r="AM224" s="56"/>
      <c r="AN224" s="56"/>
      <c r="AO224" s="56"/>
      <c r="AS224" s="56"/>
      <c r="AU224" s="25"/>
    </row>
    <row r="225" spans="2:47" s="54" customFormat="1" x14ac:dyDescent="0.2">
      <c r="B225" s="74"/>
      <c r="G225" s="56"/>
      <c r="I225" s="25"/>
      <c r="J225" s="25"/>
      <c r="K225" s="25"/>
      <c r="L225" s="25"/>
      <c r="M225" s="25"/>
      <c r="N225" s="25"/>
      <c r="O225" s="25"/>
      <c r="P225" s="25"/>
      <c r="T225" s="56"/>
      <c r="V225" s="25"/>
      <c r="AF225" s="56"/>
      <c r="AG225" s="56"/>
      <c r="AH225" s="25"/>
      <c r="AI225" s="56"/>
      <c r="AJ225" s="56"/>
      <c r="AK225" s="56"/>
      <c r="AL225" s="56"/>
      <c r="AM225" s="56"/>
      <c r="AN225" s="56"/>
      <c r="AO225" s="56"/>
      <c r="AS225" s="56"/>
      <c r="AU225" s="25"/>
    </row>
    <row r="226" spans="2:47" s="54" customFormat="1" x14ac:dyDescent="0.2">
      <c r="B226" s="74"/>
      <c r="G226" s="56"/>
      <c r="I226" s="25"/>
      <c r="J226" s="25"/>
      <c r="K226" s="25"/>
      <c r="L226" s="25"/>
      <c r="M226" s="25"/>
      <c r="N226" s="25"/>
      <c r="O226" s="25"/>
      <c r="P226" s="25"/>
      <c r="T226" s="56"/>
      <c r="V226" s="25"/>
      <c r="AF226" s="56"/>
      <c r="AG226" s="56"/>
      <c r="AH226" s="25"/>
      <c r="AI226" s="56"/>
      <c r="AJ226" s="56"/>
      <c r="AK226" s="56"/>
      <c r="AL226" s="56"/>
      <c r="AM226" s="56"/>
      <c r="AN226" s="56"/>
      <c r="AO226" s="56"/>
      <c r="AS226" s="56"/>
      <c r="AU226" s="25"/>
    </row>
    <row r="227" spans="2:47" s="54" customFormat="1" x14ac:dyDescent="0.2">
      <c r="B227" s="74"/>
      <c r="G227" s="56"/>
      <c r="I227" s="25"/>
      <c r="J227" s="25"/>
      <c r="K227" s="25"/>
      <c r="L227" s="25"/>
      <c r="M227" s="25"/>
      <c r="N227" s="25"/>
      <c r="O227" s="25"/>
      <c r="P227" s="25"/>
      <c r="T227" s="56"/>
      <c r="V227" s="25"/>
      <c r="AF227" s="56"/>
      <c r="AG227" s="56"/>
      <c r="AH227" s="25"/>
      <c r="AI227" s="56"/>
      <c r="AJ227" s="56"/>
      <c r="AK227" s="56"/>
      <c r="AL227" s="56"/>
      <c r="AM227" s="56"/>
      <c r="AN227" s="56"/>
      <c r="AO227" s="56"/>
      <c r="AS227" s="56"/>
      <c r="AU227" s="25"/>
    </row>
    <row r="228" spans="2:47" s="54" customFormat="1" x14ac:dyDescent="0.2">
      <c r="B228" s="74"/>
      <c r="G228" s="56"/>
      <c r="I228" s="25"/>
      <c r="J228" s="25"/>
      <c r="K228" s="25"/>
      <c r="L228" s="25"/>
      <c r="M228" s="25"/>
      <c r="N228" s="25"/>
      <c r="O228" s="25"/>
      <c r="P228" s="25"/>
      <c r="T228" s="56"/>
      <c r="V228" s="25"/>
      <c r="AF228" s="56"/>
      <c r="AG228" s="56"/>
      <c r="AH228" s="25"/>
      <c r="AI228" s="56"/>
      <c r="AJ228" s="56"/>
      <c r="AK228" s="56"/>
      <c r="AL228" s="56"/>
      <c r="AM228" s="56"/>
      <c r="AN228" s="56"/>
      <c r="AO228" s="56"/>
      <c r="AS228" s="56"/>
      <c r="AU228" s="25"/>
    </row>
    <row r="229" spans="2:47" s="54" customFormat="1" x14ac:dyDescent="0.2">
      <c r="B229" s="74"/>
      <c r="G229" s="56"/>
      <c r="I229" s="25"/>
      <c r="J229" s="25"/>
      <c r="K229" s="25"/>
      <c r="L229" s="25"/>
      <c r="M229" s="25"/>
      <c r="N229" s="25"/>
      <c r="O229" s="25"/>
      <c r="P229" s="25"/>
      <c r="T229" s="56"/>
      <c r="V229" s="25"/>
      <c r="AF229" s="56"/>
      <c r="AG229" s="56"/>
      <c r="AH229" s="25"/>
      <c r="AI229" s="56"/>
      <c r="AJ229" s="56"/>
      <c r="AK229" s="56"/>
      <c r="AL229" s="56"/>
      <c r="AM229" s="56"/>
      <c r="AN229" s="56"/>
      <c r="AO229" s="56"/>
      <c r="AS229" s="56"/>
      <c r="AU229" s="25"/>
    </row>
    <row r="230" spans="2:47" s="54" customFormat="1" x14ac:dyDescent="0.2">
      <c r="B230" s="74"/>
      <c r="G230" s="56"/>
      <c r="I230" s="25"/>
      <c r="J230" s="25"/>
      <c r="K230" s="25"/>
      <c r="L230" s="25"/>
      <c r="M230" s="25"/>
      <c r="N230" s="25"/>
      <c r="O230" s="25"/>
      <c r="P230" s="25"/>
      <c r="T230" s="56"/>
      <c r="V230" s="25"/>
      <c r="AF230" s="56"/>
      <c r="AG230" s="56"/>
      <c r="AH230" s="25"/>
      <c r="AI230" s="56"/>
      <c r="AJ230" s="56"/>
      <c r="AK230" s="56"/>
      <c r="AL230" s="56"/>
      <c r="AM230" s="56"/>
      <c r="AN230" s="56"/>
      <c r="AO230" s="56"/>
      <c r="AS230" s="56"/>
      <c r="AU230" s="25"/>
    </row>
    <row r="231" spans="2:47" s="54" customFormat="1" x14ac:dyDescent="0.2">
      <c r="B231" s="74"/>
      <c r="G231" s="56"/>
      <c r="I231" s="25"/>
      <c r="J231" s="25"/>
      <c r="K231" s="25"/>
      <c r="L231" s="25"/>
      <c r="M231" s="25"/>
      <c r="N231" s="25"/>
      <c r="O231" s="25"/>
      <c r="P231" s="25"/>
      <c r="T231" s="56"/>
      <c r="V231" s="25"/>
      <c r="AF231" s="56"/>
      <c r="AG231" s="56"/>
      <c r="AH231" s="25"/>
      <c r="AI231" s="56"/>
      <c r="AJ231" s="56"/>
      <c r="AK231" s="56"/>
      <c r="AL231" s="56"/>
      <c r="AM231" s="56"/>
      <c r="AN231" s="56"/>
      <c r="AO231" s="56"/>
      <c r="AS231" s="56"/>
      <c r="AU231" s="25"/>
    </row>
    <row r="232" spans="2:47" s="54" customFormat="1" x14ac:dyDescent="0.2">
      <c r="B232" s="74"/>
      <c r="G232" s="56"/>
      <c r="I232" s="25"/>
      <c r="J232" s="25"/>
      <c r="K232" s="25"/>
      <c r="L232" s="25"/>
      <c r="M232" s="25"/>
      <c r="N232" s="25"/>
      <c r="O232" s="25"/>
      <c r="P232" s="25"/>
      <c r="T232" s="56"/>
      <c r="V232" s="25"/>
      <c r="AF232" s="56"/>
      <c r="AG232" s="56"/>
      <c r="AH232" s="25"/>
      <c r="AI232" s="56"/>
      <c r="AJ232" s="56"/>
      <c r="AK232" s="56"/>
      <c r="AL232" s="56"/>
      <c r="AM232" s="56"/>
      <c r="AN232" s="56"/>
      <c r="AO232" s="56"/>
      <c r="AS232" s="56"/>
      <c r="AU232" s="25"/>
    </row>
    <row r="233" spans="2:47" s="54" customFormat="1" x14ac:dyDescent="0.2">
      <c r="B233" s="74"/>
      <c r="G233" s="56"/>
      <c r="I233" s="25"/>
      <c r="J233" s="25"/>
      <c r="K233" s="25"/>
      <c r="L233" s="25"/>
      <c r="M233" s="25"/>
      <c r="N233" s="25"/>
      <c r="O233" s="25"/>
      <c r="P233" s="25"/>
      <c r="T233" s="56"/>
      <c r="V233" s="25"/>
      <c r="AF233" s="56"/>
      <c r="AG233" s="56"/>
      <c r="AH233" s="25"/>
      <c r="AI233" s="56"/>
      <c r="AJ233" s="56"/>
      <c r="AK233" s="56"/>
      <c r="AL233" s="56"/>
      <c r="AM233" s="56"/>
      <c r="AN233" s="56"/>
      <c r="AO233" s="56"/>
      <c r="AS233" s="56"/>
      <c r="AU233" s="25"/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1"/>
  <sheetViews>
    <sheetView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T61" sqref="T61"/>
    </sheetView>
  </sheetViews>
  <sheetFormatPr defaultColWidth="9.140625" defaultRowHeight="12.75" x14ac:dyDescent="0.2"/>
  <cols>
    <col min="1" max="1" width="5" style="1" bestFit="1" customWidth="1"/>
    <col min="2" max="2" width="10.140625" style="1" bestFit="1" customWidth="1"/>
    <col min="3" max="3" width="10.140625" style="1" customWidth="1"/>
    <col min="4" max="4" width="4.28515625" style="6" bestFit="1" customWidth="1"/>
    <col min="5" max="5" width="6.28515625" style="6" customWidth="1"/>
    <col min="6" max="6" width="5.42578125" style="6" bestFit="1" customWidth="1"/>
    <col min="7" max="7" width="5.42578125" style="6" customWidth="1"/>
    <col min="8" max="8" width="8.7109375" style="22" customWidth="1"/>
    <col min="9" max="9" width="7.28515625" style="1" customWidth="1"/>
    <col min="10" max="10" width="5.42578125" style="1" bestFit="1" customWidth="1"/>
    <col min="11" max="11" width="9.140625" style="1"/>
    <col min="12" max="12" width="5.85546875" style="1" customWidth="1"/>
    <col min="13" max="13" width="6.42578125" style="1" customWidth="1"/>
    <col min="14" max="14" width="5.42578125" style="1" bestFit="1" customWidth="1"/>
    <col min="15" max="15" width="7.42578125" style="1" customWidth="1"/>
    <col min="16" max="16" width="4.28515625" style="1" bestFit="1" customWidth="1"/>
    <col min="17" max="17" width="9.140625" style="1"/>
    <col min="18" max="18" width="5.42578125" style="1" bestFit="1" customWidth="1"/>
    <col min="19" max="19" width="5.42578125" style="1" customWidth="1"/>
    <col min="20" max="20" width="9.140625" style="6"/>
    <col min="21" max="16384" width="9.140625" style="1"/>
  </cols>
  <sheetData>
    <row r="1" spans="1:20" x14ac:dyDescent="0.2">
      <c r="A1" s="12" t="s">
        <v>139</v>
      </c>
    </row>
    <row r="2" spans="1:20" s="15" customFormat="1" x14ac:dyDescent="0.2">
      <c r="D2" s="30"/>
      <c r="E2" s="181" t="s">
        <v>227</v>
      </c>
      <c r="F2" s="181"/>
      <c r="G2" s="19"/>
      <c r="H2" s="52"/>
      <c r="I2" s="30" t="s">
        <v>228</v>
      </c>
      <c r="J2" s="50"/>
      <c r="M2" s="30" t="s">
        <v>229</v>
      </c>
      <c r="O2" s="30"/>
      <c r="P2" s="30"/>
      <c r="Q2" s="30" t="s">
        <v>230</v>
      </c>
      <c r="R2" s="30"/>
      <c r="S2" s="30"/>
      <c r="T2" s="30" t="s">
        <v>6</v>
      </c>
    </row>
    <row r="3" spans="1:20" x14ac:dyDescent="0.2">
      <c r="D3" s="6" t="s">
        <v>287</v>
      </c>
      <c r="E3" s="18" t="s">
        <v>223</v>
      </c>
      <c r="F3" s="18" t="s">
        <v>224</v>
      </c>
      <c r="G3" s="18"/>
      <c r="H3" s="52" t="s">
        <v>287</v>
      </c>
      <c r="I3" s="6" t="s">
        <v>223</v>
      </c>
      <c r="J3" s="6" t="s">
        <v>224</v>
      </c>
      <c r="L3" s="6" t="s">
        <v>287</v>
      </c>
      <c r="M3" s="6" t="s">
        <v>223</v>
      </c>
      <c r="N3" s="6" t="s">
        <v>224</v>
      </c>
      <c r="O3" s="6"/>
      <c r="P3" s="6" t="s">
        <v>287</v>
      </c>
      <c r="Q3" s="6" t="s">
        <v>223</v>
      </c>
      <c r="R3" s="6" t="s">
        <v>224</v>
      </c>
      <c r="S3" s="6"/>
    </row>
    <row r="4" spans="1:20" x14ac:dyDescent="0.2">
      <c r="B4" s="42">
        <v>39213</v>
      </c>
      <c r="C4" s="42"/>
      <c r="D4" s="51"/>
      <c r="E4" s="18"/>
      <c r="F4" s="18"/>
      <c r="G4" s="18"/>
      <c r="H4" s="53"/>
      <c r="I4" s="6"/>
      <c r="J4" s="6"/>
      <c r="L4" s="6"/>
      <c r="M4" s="6"/>
      <c r="N4" s="6"/>
      <c r="O4" s="6"/>
      <c r="P4" s="6"/>
      <c r="Q4" s="6"/>
      <c r="R4" s="6"/>
      <c r="S4" s="6"/>
    </row>
    <row r="5" spans="1:20" x14ac:dyDescent="0.2">
      <c r="B5" s="42">
        <v>39206</v>
      </c>
      <c r="C5" s="42"/>
      <c r="D5" s="51"/>
      <c r="E5" s="18"/>
      <c r="F5" s="18"/>
      <c r="G5" s="18"/>
      <c r="H5" s="53"/>
      <c r="I5" s="6"/>
      <c r="J5" s="6"/>
      <c r="L5" s="6"/>
      <c r="N5" s="6"/>
      <c r="O5" s="6"/>
      <c r="P5" s="6"/>
      <c r="Q5" s="6"/>
      <c r="R5" s="6"/>
      <c r="S5" s="6"/>
    </row>
    <row r="6" spans="1:20" x14ac:dyDescent="0.2">
      <c r="B6" s="42">
        <v>39199</v>
      </c>
      <c r="C6" s="42"/>
      <c r="D6" s="51"/>
      <c r="E6" s="18"/>
      <c r="F6" s="18"/>
      <c r="G6" s="18"/>
      <c r="H6" s="53"/>
      <c r="I6" s="6"/>
      <c r="J6" s="6"/>
      <c r="L6" s="6"/>
      <c r="M6" s="6"/>
      <c r="N6" s="6"/>
      <c r="O6" s="6"/>
      <c r="P6" s="6"/>
      <c r="Q6" s="6"/>
      <c r="R6" s="6"/>
      <c r="S6" s="6"/>
    </row>
    <row r="7" spans="1:20" x14ac:dyDescent="0.2">
      <c r="B7" s="42">
        <v>39192</v>
      </c>
      <c r="C7" s="42"/>
      <c r="D7" s="51"/>
      <c r="E7" s="18"/>
      <c r="F7" s="18"/>
      <c r="G7" s="18"/>
      <c r="H7" s="53"/>
      <c r="I7" s="6"/>
      <c r="J7" s="6"/>
      <c r="L7" s="6"/>
      <c r="M7" s="6"/>
      <c r="N7" s="6"/>
      <c r="O7" s="6"/>
      <c r="P7" s="6"/>
      <c r="Q7" s="6"/>
      <c r="R7" s="6"/>
      <c r="S7" s="6"/>
    </row>
    <row r="8" spans="1:20" x14ac:dyDescent="0.2">
      <c r="B8" s="42">
        <v>39185</v>
      </c>
      <c r="C8" s="42"/>
      <c r="D8" s="51"/>
      <c r="E8" s="18">
        <v>10280</v>
      </c>
      <c r="F8" s="18">
        <v>3376</v>
      </c>
      <c r="G8" s="18"/>
      <c r="H8" s="53"/>
      <c r="I8" s="18">
        <v>17194</v>
      </c>
      <c r="J8" s="18">
        <v>5687</v>
      </c>
      <c r="L8" s="18"/>
      <c r="M8" s="18">
        <v>8707</v>
      </c>
      <c r="N8" s="18">
        <v>2666</v>
      </c>
      <c r="O8" s="18"/>
      <c r="P8" s="18"/>
      <c r="Q8" s="18">
        <v>3259</v>
      </c>
      <c r="R8" s="18">
        <v>918</v>
      </c>
      <c r="S8" s="18"/>
      <c r="T8" s="18">
        <f t="shared" ref="T8:T35" si="0">E8+I8+M8</f>
        <v>36181</v>
      </c>
    </row>
    <row r="9" spans="1:20" x14ac:dyDescent="0.2">
      <c r="B9" s="45">
        <v>39178</v>
      </c>
      <c r="C9" s="45"/>
      <c r="D9" s="51"/>
      <c r="E9" s="46">
        <v>10369</v>
      </c>
      <c r="F9" s="46">
        <v>3400</v>
      </c>
      <c r="G9" s="46"/>
      <c r="H9" s="53"/>
      <c r="I9" s="46">
        <v>18301</v>
      </c>
      <c r="J9" s="46">
        <v>5875</v>
      </c>
      <c r="L9" s="46"/>
      <c r="M9" s="46">
        <v>9505</v>
      </c>
      <c r="N9" s="46">
        <v>2804</v>
      </c>
      <c r="O9" s="46"/>
      <c r="P9" s="46"/>
      <c r="Q9" s="46">
        <v>3237</v>
      </c>
      <c r="R9" s="46">
        <v>895</v>
      </c>
      <c r="S9" s="46"/>
      <c r="T9" s="46">
        <f t="shared" si="0"/>
        <v>38175</v>
      </c>
    </row>
    <row r="10" spans="1:20" x14ac:dyDescent="0.2">
      <c r="B10" s="42">
        <v>39171</v>
      </c>
      <c r="C10" s="42"/>
      <c r="D10" s="51"/>
      <c r="E10" s="18">
        <v>9901</v>
      </c>
      <c r="F10" s="18">
        <v>3237</v>
      </c>
      <c r="G10" s="18"/>
      <c r="H10" s="53"/>
      <c r="I10" s="18">
        <v>17550</v>
      </c>
      <c r="J10" s="18">
        <v>5697</v>
      </c>
      <c r="L10" s="18"/>
      <c r="M10" s="18">
        <v>8947</v>
      </c>
      <c r="N10" s="18">
        <v>2710</v>
      </c>
      <c r="O10" s="18"/>
      <c r="P10" s="18"/>
      <c r="Q10" s="18">
        <v>3320</v>
      </c>
      <c r="R10" s="18">
        <v>963</v>
      </c>
      <c r="S10" s="18"/>
      <c r="T10" s="18">
        <f t="shared" si="0"/>
        <v>36398</v>
      </c>
    </row>
    <row r="11" spans="1:20" x14ac:dyDescent="0.2">
      <c r="B11" s="42">
        <v>39164</v>
      </c>
      <c r="C11" s="42"/>
      <c r="D11" s="51"/>
      <c r="E11" s="18">
        <v>10126</v>
      </c>
      <c r="F11" s="18">
        <v>3481</v>
      </c>
      <c r="G11" s="18"/>
      <c r="H11" s="53"/>
      <c r="I11" s="18">
        <v>17241</v>
      </c>
      <c r="J11" s="18">
        <v>5596</v>
      </c>
      <c r="L11" s="18"/>
      <c r="M11" s="18">
        <v>8986</v>
      </c>
      <c r="N11" s="18">
        <v>2741</v>
      </c>
      <c r="O11" s="18"/>
      <c r="P11" s="18"/>
      <c r="Q11" s="18">
        <v>3189</v>
      </c>
      <c r="R11" s="18">
        <v>939</v>
      </c>
      <c r="S11" s="18"/>
      <c r="T11" s="18">
        <f t="shared" si="0"/>
        <v>36353</v>
      </c>
    </row>
    <row r="12" spans="1:20" x14ac:dyDescent="0.2">
      <c r="B12" s="42">
        <v>39157</v>
      </c>
      <c r="C12" s="42"/>
      <c r="D12" s="51"/>
      <c r="E12" s="18">
        <v>10186</v>
      </c>
      <c r="F12" s="18">
        <v>3540</v>
      </c>
      <c r="G12" s="18"/>
      <c r="H12" s="53"/>
      <c r="I12" s="18">
        <v>17616</v>
      </c>
      <c r="J12" s="18">
        <v>5854</v>
      </c>
      <c r="L12" s="18"/>
      <c r="M12" s="18">
        <v>9216</v>
      </c>
      <c r="N12" s="18">
        <v>2724</v>
      </c>
      <c r="O12" s="18"/>
      <c r="P12" s="18"/>
      <c r="Q12" s="18">
        <v>3321</v>
      </c>
      <c r="R12" s="18">
        <v>943</v>
      </c>
      <c r="S12" s="18"/>
      <c r="T12" s="18">
        <f t="shared" si="0"/>
        <v>37018</v>
      </c>
    </row>
    <row r="13" spans="1:20" x14ac:dyDescent="0.2">
      <c r="B13" s="42">
        <v>39150</v>
      </c>
      <c r="C13" s="42"/>
      <c r="D13" s="51"/>
      <c r="E13" s="18">
        <v>10380</v>
      </c>
      <c r="F13" s="18">
        <v>3445</v>
      </c>
      <c r="G13" s="18"/>
      <c r="H13" s="53"/>
      <c r="I13" s="18">
        <v>18904</v>
      </c>
      <c r="J13" s="18">
        <v>5952</v>
      </c>
      <c r="L13" s="18"/>
      <c r="M13" s="18">
        <v>9705</v>
      </c>
      <c r="N13" s="18">
        <v>2930</v>
      </c>
      <c r="O13" s="18"/>
      <c r="P13" s="18"/>
      <c r="Q13" s="18">
        <v>3503</v>
      </c>
      <c r="R13" s="18">
        <v>973</v>
      </c>
      <c r="S13" s="18"/>
      <c r="T13" s="18">
        <f t="shared" si="0"/>
        <v>38989</v>
      </c>
    </row>
    <row r="14" spans="1:20" x14ac:dyDescent="0.2">
      <c r="B14" s="42">
        <v>39143</v>
      </c>
      <c r="C14" s="42"/>
      <c r="D14" s="51"/>
      <c r="E14" s="18">
        <v>9825</v>
      </c>
      <c r="F14" s="18">
        <v>3261</v>
      </c>
      <c r="G14" s="18"/>
      <c r="H14" s="53"/>
      <c r="I14" s="18">
        <v>18623</v>
      </c>
      <c r="J14" s="18">
        <v>5748</v>
      </c>
      <c r="L14" s="18"/>
      <c r="M14" s="18">
        <v>9982</v>
      </c>
      <c r="N14" s="18">
        <v>2956</v>
      </c>
      <c r="O14" s="18"/>
      <c r="P14" s="18"/>
      <c r="Q14" s="18">
        <v>3378</v>
      </c>
      <c r="R14" s="18">
        <v>994</v>
      </c>
      <c r="S14" s="18"/>
      <c r="T14" s="18">
        <f t="shared" si="0"/>
        <v>38430</v>
      </c>
    </row>
    <row r="15" spans="1:20" x14ac:dyDescent="0.2">
      <c r="B15" s="42">
        <v>39136</v>
      </c>
      <c r="C15" s="42"/>
      <c r="D15" s="51"/>
      <c r="E15" s="6">
        <v>9249</v>
      </c>
      <c r="F15" s="18">
        <v>3150</v>
      </c>
      <c r="G15" s="18"/>
      <c r="H15" s="53"/>
      <c r="I15" s="18">
        <v>16911</v>
      </c>
      <c r="J15" s="18">
        <v>5560</v>
      </c>
      <c r="L15" s="18"/>
      <c r="M15" s="18">
        <v>9036</v>
      </c>
      <c r="N15" s="18">
        <v>2721</v>
      </c>
      <c r="O15" s="18"/>
      <c r="P15" s="18"/>
      <c r="Q15" s="18">
        <v>3147</v>
      </c>
      <c r="R15" s="18">
        <v>862</v>
      </c>
      <c r="S15" s="18"/>
      <c r="T15" s="18">
        <f t="shared" si="0"/>
        <v>35196</v>
      </c>
    </row>
    <row r="16" spans="1:20" x14ac:dyDescent="0.2">
      <c r="B16" s="42">
        <v>39129</v>
      </c>
      <c r="C16" s="42"/>
      <c r="D16" s="51"/>
      <c r="E16" s="18">
        <v>9314</v>
      </c>
      <c r="F16" s="18">
        <v>3267</v>
      </c>
      <c r="G16" s="18"/>
      <c r="H16" s="53"/>
      <c r="I16" s="18">
        <v>17156</v>
      </c>
      <c r="J16" s="18">
        <v>5456</v>
      </c>
      <c r="L16" s="18"/>
      <c r="M16" s="18">
        <v>9335</v>
      </c>
      <c r="N16" s="18">
        <v>2870</v>
      </c>
      <c r="O16" s="18"/>
      <c r="P16" s="18"/>
      <c r="Q16" s="18">
        <v>3238</v>
      </c>
      <c r="R16" s="18">
        <v>956</v>
      </c>
      <c r="S16" s="18"/>
      <c r="T16" s="18">
        <f t="shared" si="0"/>
        <v>35805</v>
      </c>
    </row>
    <row r="17" spans="2:20" x14ac:dyDescent="0.2">
      <c r="B17" s="42">
        <v>39122</v>
      </c>
      <c r="C17" s="42"/>
      <c r="D17" s="51"/>
      <c r="E17" s="18">
        <v>9492</v>
      </c>
      <c r="F17" s="18">
        <v>3354</v>
      </c>
      <c r="G17" s="18"/>
      <c r="H17" s="53"/>
      <c r="I17" s="18">
        <v>17979</v>
      </c>
      <c r="J17" s="18">
        <v>5882</v>
      </c>
      <c r="L17" s="18"/>
      <c r="M17" s="18">
        <v>9359</v>
      </c>
      <c r="N17" s="18">
        <v>2861</v>
      </c>
      <c r="O17" s="18"/>
      <c r="P17" s="18"/>
      <c r="Q17" s="18">
        <v>3312</v>
      </c>
      <c r="R17" s="18">
        <v>963</v>
      </c>
      <c r="S17" s="18"/>
      <c r="T17" s="18">
        <f t="shared" si="0"/>
        <v>36830</v>
      </c>
    </row>
    <row r="18" spans="2:20" x14ac:dyDescent="0.2">
      <c r="B18" s="42">
        <v>39115</v>
      </c>
      <c r="C18" s="42"/>
      <c r="D18" s="51"/>
      <c r="E18" s="18">
        <v>9046</v>
      </c>
      <c r="F18" s="18">
        <v>3157</v>
      </c>
      <c r="G18" s="18"/>
      <c r="H18" s="53"/>
      <c r="I18" s="18">
        <v>18296</v>
      </c>
      <c r="J18" s="18">
        <v>5964</v>
      </c>
      <c r="L18" s="18"/>
      <c r="M18" s="18">
        <v>10099</v>
      </c>
      <c r="N18" s="18">
        <v>3090</v>
      </c>
      <c r="O18" s="18"/>
      <c r="P18" s="18"/>
      <c r="Q18" s="18">
        <v>3349</v>
      </c>
      <c r="R18" s="18">
        <v>1028</v>
      </c>
      <c r="S18" s="18"/>
      <c r="T18" s="18">
        <f t="shared" si="0"/>
        <v>37441</v>
      </c>
    </row>
    <row r="19" spans="2:20" x14ac:dyDescent="0.2">
      <c r="B19" s="42">
        <v>39108</v>
      </c>
      <c r="C19" s="42"/>
      <c r="D19" s="51"/>
      <c r="E19" s="18">
        <v>8666</v>
      </c>
      <c r="F19" s="18">
        <v>3047</v>
      </c>
      <c r="G19" s="18"/>
      <c r="H19" s="53"/>
      <c r="I19" s="18">
        <v>17106</v>
      </c>
      <c r="J19" s="18">
        <v>5707</v>
      </c>
      <c r="L19" s="18"/>
      <c r="M19" s="18">
        <v>9324</v>
      </c>
      <c r="N19" s="18">
        <v>2848</v>
      </c>
      <c r="O19" s="18"/>
      <c r="P19" s="18"/>
      <c r="Q19" s="18">
        <v>3174</v>
      </c>
      <c r="R19" s="18">
        <v>951</v>
      </c>
      <c r="S19" s="18"/>
      <c r="T19" s="18">
        <f t="shared" si="0"/>
        <v>35096</v>
      </c>
    </row>
    <row r="20" spans="2:20" x14ac:dyDescent="0.2">
      <c r="B20" s="42">
        <v>39101</v>
      </c>
      <c r="C20" s="42"/>
      <c r="D20" s="51"/>
      <c r="E20" s="18">
        <v>8579</v>
      </c>
      <c r="F20" s="18">
        <v>2826</v>
      </c>
      <c r="G20" s="18"/>
      <c r="H20" s="53"/>
      <c r="I20" s="18">
        <v>17239</v>
      </c>
      <c r="J20" s="18">
        <v>5454</v>
      </c>
      <c r="L20" s="18"/>
      <c r="M20" s="18">
        <v>9148</v>
      </c>
      <c r="N20" s="18">
        <v>2794</v>
      </c>
      <c r="O20" s="18"/>
      <c r="P20" s="18"/>
      <c r="Q20" s="18">
        <v>3149</v>
      </c>
      <c r="R20" s="18">
        <v>919</v>
      </c>
      <c r="S20" s="18"/>
      <c r="T20" s="18">
        <f t="shared" si="0"/>
        <v>34966</v>
      </c>
    </row>
    <row r="21" spans="2:20" x14ac:dyDescent="0.2">
      <c r="B21" s="42">
        <v>39094</v>
      </c>
      <c r="C21" s="42"/>
      <c r="D21" s="51"/>
      <c r="E21" s="18">
        <v>8896</v>
      </c>
      <c r="F21" s="18">
        <v>2903</v>
      </c>
      <c r="G21" s="18"/>
      <c r="H21" s="53"/>
      <c r="I21" s="18">
        <v>18420</v>
      </c>
      <c r="J21" s="18">
        <v>5874</v>
      </c>
      <c r="L21" s="18"/>
      <c r="M21" s="18">
        <v>9707</v>
      </c>
      <c r="N21" s="18">
        <v>2963</v>
      </c>
      <c r="O21" s="18"/>
      <c r="P21" s="18"/>
      <c r="Q21" s="18">
        <v>3333</v>
      </c>
      <c r="R21" s="18">
        <v>879</v>
      </c>
      <c r="S21" s="18"/>
      <c r="T21" s="18">
        <f t="shared" si="0"/>
        <v>37023</v>
      </c>
    </row>
    <row r="22" spans="2:20" x14ac:dyDescent="0.2">
      <c r="B22" s="45">
        <v>39087</v>
      </c>
      <c r="C22" s="45"/>
      <c r="D22" s="51"/>
      <c r="E22" s="46">
        <v>7809</v>
      </c>
      <c r="F22" s="46">
        <v>2416</v>
      </c>
      <c r="G22" s="46"/>
      <c r="H22" s="53"/>
      <c r="I22" s="46">
        <v>17109</v>
      </c>
      <c r="J22" s="46">
        <v>5254</v>
      </c>
      <c r="L22" s="46"/>
      <c r="M22" s="46">
        <v>9456</v>
      </c>
      <c r="N22" s="46">
        <v>2641</v>
      </c>
      <c r="O22" s="46"/>
      <c r="P22" s="46"/>
      <c r="Q22" s="46">
        <v>3130</v>
      </c>
      <c r="R22" s="46">
        <v>846</v>
      </c>
      <c r="S22" s="46"/>
      <c r="T22" s="46">
        <f t="shared" si="0"/>
        <v>34374</v>
      </c>
    </row>
    <row r="23" spans="2:20" x14ac:dyDescent="0.2">
      <c r="B23" s="42">
        <v>39080</v>
      </c>
      <c r="C23" s="42"/>
      <c r="D23" s="51"/>
      <c r="E23" s="18">
        <v>7406</v>
      </c>
      <c r="F23" s="18">
        <v>2165</v>
      </c>
      <c r="G23" s="18"/>
      <c r="H23" s="53"/>
      <c r="I23" s="18">
        <v>16284</v>
      </c>
      <c r="J23" s="18">
        <v>4817</v>
      </c>
      <c r="L23" s="18"/>
      <c r="M23" s="18">
        <v>9000</v>
      </c>
      <c r="N23" s="18">
        <v>2487</v>
      </c>
      <c r="O23" s="18"/>
      <c r="P23" s="18"/>
      <c r="Q23" s="18">
        <v>3014</v>
      </c>
      <c r="R23" s="18">
        <v>775</v>
      </c>
      <c r="S23" s="18"/>
      <c r="T23" s="18">
        <f t="shared" si="0"/>
        <v>32690</v>
      </c>
    </row>
    <row r="24" spans="2:20" x14ac:dyDescent="0.2">
      <c r="B24" s="42">
        <v>39073</v>
      </c>
      <c r="C24" s="42"/>
      <c r="D24" s="51"/>
      <c r="E24" s="18">
        <v>8429</v>
      </c>
      <c r="F24" s="18">
        <v>2800</v>
      </c>
      <c r="G24" s="18"/>
      <c r="H24" s="53"/>
      <c r="I24" s="18">
        <v>18483</v>
      </c>
      <c r="J24" s="18">
        <v>5807</v>
      </c>
      <c r="L24" s="18"/>
      <c r="M24" s="18">
        <v>9882</v>
      </c>
      <c r="N24" s="18">
        <v>2886</v>
      </c>
      <c r="O24" s="18"/>
      <c r="P24" s="18"/>
      <c r="Q24" s="18">
        <v>3490</v>
      </c>
      <c r="R24" s="18">
        <v>924</v>
      </c>
      <c r="S24" s="18"/>
      <c r="T24" s="18">
        <f t="shared" si="0"/>
        <v>36794</v>
      </c>
    </row>
    <row r="25" spans="2:20" x14ac:dyDescent="0.2">
      <c r="B25" s="42">
        <v>39066</v>
      </c>
      <c r="C25" s="42"/>
      <c r="D25" s="51"/>
      <c r="E25" s="18">
        <v>7997</v>
      </c>
      <c r="F25" s="18">
        <v>2651</v>
      </c>
      <c r="G25" s="18"/>
      <c r="H25" s="53"/>
      <c r="I25" s="18">
        <v>18439</v>
      </c>
      <c r="J25" s="18">
        <v>5767</v>
      </c>
      <c r="L25" s="18"/>
      <c r="M25" s="18">
        <v>9653</v>
      </c>
      <c r="N25" s="18">
        <v>2869</v>
      </c>
      <c r="O25" s="18"/>
      <c r="P25" s="18"/>
      <c r="Q25" s="18">
        <v>3230</v>
      </c>
      <c r="R25" s="18">
        <v>882</v>
      </c>
      <c r="S25" s="18"/>
      <c r="T25" s="18">
        <f t="shared" si="0"/>
        <v>36089</v>
      </c>
    </row>
    <row r="26" spans="2:20" x14ac:dyDescent="0.2">
      <c r="B26" s="42">
        <v>39059</v>
      </c>
      <c r="C26" s="42"/>
      <c r="D26" s="51"/>
      <c r="E26" s="18">
        <v>7833</v>
      </c>
      <c r="F26" s="18">
        <v>2715</v>
      </c>
      <c r="G26" s="18"/>
      <c r="H26" s="53"/>
      <c r="I26" s="18">
        <v>18780</v>
      </c>
      <c r="J26" s="18">
        <v>5872</v>
      </c>
      <c r="L26" s="18"/>
      <c r="M26" s="18">
        <v>10314</v>
      </c>
      <c r="N26" s="18">
        <v>2963</v>
      </c>
      <c r="O26" s="18"/>
      <c r="P26" s="18"/>
      <c r="Q26" s="18">
        <v>3304</v>
      </c>
      <c r="R26" s="18">
        <v>882</v>
      </c>
      <c r="S26" s="18"/>
      <c r="T26" s="18">
        <f t="shared" si="0"/>
        <v>36927</v>
      </c>
    </row>
    <row r="27" spans="2:20" x14ac:dyDescent="0.2">
      <c r="B27" s="42">
        <v>39052</v>
      </c>
      <c r="C27" s="42"/>
      <c r="D27" s="51"/>
      <c r="E27" s="18">
        <v>7782</v>
      </c>
      <c r="F27" s="18">
        <v>2689</v>
      </c>
      <c r="G27" s="18"/>
      <c r="H27" s="53"/>
      <c r="I27" s="18">
        <v>19258</v>
      </c>
      <c r="J27" s="18">
        <v>6098</v>
      </c>
      <c r="L27" s="18"/>
      <c r="M27" s="18">
        <v>10690</v>
      </c>
      <c r="N27" s="18">
        <v>3043</v>
      </c>
      <c r="O27" s="18"/>
      <c r="P27" s="18"/>
      <c r="Q27" s="18">
        <v>3399</v>
      </c>
      <c r="R27" s="18">
        <v>929</v>
      </c>
      <c r="S27" s="18"/>
      <c r="T27" s="18">
        <f t="shared" si="0"/>
        <v>37730</v>
      </c>
    </row>
    <row r="28" spans="2:20" x14ac:dyDescent="0.2">
      <c r="B28" s="42">
        <v>39045</v>
      </c>
      <c r="C28" s="42"/>
      <c r="D28" s="51"/>
      <c r="E28" s="18">
        <v>6460</v>
      </c>
      <c r="F28" s="18">
        <v>2388</v>
      </c>
      <c r="G28" s="18"/>
      <c r="H28" s="53"/>
      <c r="I28" s="18">
        <v>15513</v>
      </c>
      <c r="J28" s="18">
        <v>4874</v>
      </c>
      <c r="L28" s="18"/>
      <c r="M28" s="18">
        <v>8554</v>
      </c>
      <c r="N28" s="18">
        <v>2314</v>
      </c>
      <c r="O28" s="18"/>
      <c r="P28" s="18"/>
      <c r="Q28" s="18">
        <v>2949</v>
      </c>
      <c r="R28" s="18">
        <v>831</v>
      </c>
      <c r="S28" s="18"/>
      <c r="T28" s="18">
        <f t="shared" si="0"/>
        <v>30527</v>
      </c>
    </row>
    <row r="29" spans="2:20" x14ac:dyDescent="0.2">
      <c r="B29" s="42">
        <v>39038</v>
      </c>
      <c r="C29" s="42"/>
      <c r="D29" s="51"/>
      <c r="E29" s="18">
        <v>7216</v>
      </c>
      <c r="F29" s="18">
        <v>2748</v>
      </c>
      <c r="G29" s="18"/>
      <c r="H29" s="53"/>
      <c r="I29" s="18">
        <v>17940</v>
      </c>
      <c r="J29" s="18">
        <v>5803</v>
      </c>
      <c r="L29" s="18"/>
      <c r="M29" s="18">
        <v>9745</v>
      </c>
      <c r="N29" s="18">
        <v>2874</v>
      </c>
      <c r="O29" s="18"/>
      <c r="P29" s="18"/>
      <c r="Q29" s="18">
        <v>3189</v>
      </c>
      <c r="R29" s="18">
        <v>1002</v>
      </c>
      <c r="S29" s="18"/>
      <c r="T29" s="18">
        <f t="shared" si="0"/>
        <v>34901</v>
      </c>
    </row>
    <row r="30" spans="2:20" x14ac:dyDescent="0.2">
      <c r="B30" s="42">
        <v>39031</v>
      </c>
      <c r="C30" s="42"/>
      <c r="D30" s="51"/>
      <c r="E30" s="18">
        <v>6747</v>
      </c>
      <c r="F30" s="18">
        <v>2629</v>
      </c>
      <c r="G30" s="18"/>
      <c r="H30" s="53"/>
      <c r="I30" s="18">
        <v>18575</v>
      </c>
      <c r="J30" s="18">
        <v>5726</v>
      </c>
      <c r="L30" s="18"/>
      <c r="M30" s="18">
        <v>9993</v>
      </c>
      <c r="N30" s="18">
        <v>2865</v>
      </c>
      <c r="O30" s="18"/>
      <c r="P30" s="18"/>
      <c r="Q30" s="18">
        <v>3240</v>
      </c>
      <c r="R30" s="18">
        <v>926</v>
      </c>
      <c r="S30" s="18"/>
      <c r="T30" s="18">
        <f t="shared" si="0"/>
        <v>35315</v>
      </c>
    </row>
    <row r="31" spans="2:20" x14ac:dyDescent="0.2">
      <c r="B31" s="42">
        <v>39024</v>
      </c>
      <c r="C31" s="42"/>
      <c r="D31" s="51"/>
      <c r="E31" s="18">
        <v>6413</v>
      </c>
      <c r="F31" s="18">
        <v>2637</v>
      </c>
      <c r="G31" s="18"/>
      <c r="H31" s="53"/>
      <c r="I31" s="18">
        <v>18815</v>
      </c>
      <c r="J31" s="18">
        <v>5933</v>
      </c>
      <c r="L31" s="18"/>
      <c r="M31" s="18">
        <v>10279</v>
      </c>
      <c r="N31" s="18">
        <v>2956</v>
      </c>
      <c r="O31" s="18"/>
      <c r="P31" s="18"/>
      <c r="Q31" s="18">
        <v>3193</v>
      </c>
      <c r="R31" s="18">
        <v>943</v>
      </c>
      <c r="S31" s="18"/>
      <c r="T31" s="18">
        <f t="shared" si="0"/>
        <v>35507</v>
      </c>
    </row>
    <row r="32" spans="2:20" x14ac:dyDescent="0.2">
      <c r="B32" s="42">
        <v>39017</v>
      </c>
      <c r="C32" s="42"/>
      <c r="D32" s="51"/>
      <c r="E32" s="18">
        <v>6271</v>
      </c>
      <c r="F32" s="18">
        <v>2814</v>
      </c>
      <c r="G32" s="18"/>
      <c r="H32" s="53"/>
      <c r="I32" s="18">
        <v>17824</v>
      </c>
      <c r="J32" s="18">
        <v>5613</v>
      </c>
      <c r="L32" s="18"/>
      <c r="M32" s="18">
        <v>9729</v>
      </c>
      <c r="N32" s="18">
        <v>2765</v>
      </c>
      <c r="O32" s="18"/>
      <c r="P32" s="18"/>
      <c r="Q32" s="18">
        <v>3174</v>
      </c>
      <c r="R32" s="18">
        <v>947</v>
      </c>
      <c r="S32" s="18"/>
      <c r="T32" s="18">
        <f t="shared" si="0"/>
        <v>33824</v>
      </c>
    </row>
    <row r="33" spans="2:20" x14ac:dyDescent="0.2">
      <c r="B33" s="42">
        <v>39010</v>
      </c>
      <c r="C33" s="42"/>
      <c r="D33" s="51"/>
      <c r="E33" s="18">
        <v>5767</v>
      </c>
      <c r="F33" s="18">
        <v>2616</v>
      </c>
      <c r="G33" s="18"/>
      <c r="H33" s="53"/>
      <c r="I33" s="18">
        <v>17776</v>
      </c>
      <c r="J33" s="18">
        <v>5748</v>
      </c>
      <c r="L33" s="18"/>
      <c r="M33" s="18">
        <v>9715</v>
      </c>
      <c r="N33" s="18">
        <v>2947</v>
      </c>
      <c r="O33" s="18"/>
      <c r="P33" s="18"/>
      <c r="Q33" s="18">
        <v>3128</v>
      </c>
      <c r="R33" s="18">
        <v>962</v>
      </c>
      <c r="S33" s="18"/>
      <c r="T33" s="18">
        <f t="shared" si="0"/>
        <v>33258</v>
      </c>
    </row>
    <row r="34" spans="2:20" x14ac:dyDescent="0.2">
      <c r="B34" s="42">
        <v>39003</v>
      </c>
      <c r="C34" s="42"/>
      <c r="D34" s="51"/>
      <c r="E34" s="18">
        <v>5478</v>
      </c>
      <c r="F34" s="18">
        <v>2669</v>
      </c>
      <c r="G34" s="18"/>
      <c r="H34" s="53"/>
      <c r="I34" s="18">
        <v>18800</v>
      </c>
      <c r="J34" s="18">
        <v>6005</v>
      </c>
      <c r="L34" s="18"/>
      <c r="M34" s="18">
        <v>10060</v>
      </c>
      <c r="N34" s="18">
        <v>3013</v>
      </c>
      <c r="O34" s="18"/>
      <c r="P34" s="18"/>
      <c r="Q34" s="18">
        <v>3212</v>
      </c>
      <c r="R34" s="18">
        <v>953</v>
      </c>
      <c r="S34" s="18"/>
      <c r="T34" s="18">
        <f t="shared" si="0"/>
        <v>34338</v>
      </c>
    </row>
    <row r="35" spans="2:20" x14ac:dyDescent="0.2">
      <c r="B35" s="45">
        <v>38996</v>
      </c>
      <c r="C35" s="45"/>
      <c r="D35" s="51"/>
      <c r="E35" s="9"/>
      <c r="F35" s="9"/>
      <c r="G35" s="9"/>
      <c r="H35" s="53"/>
      <c r="I35" s="46">
        <v>19401</v>
      </c>
      <c r="J35" s="46">
        <v>6152</v>
      </c>
      <c r="L35" s="46"/>
      <c r="M35" s="46">
        <v>10627</v>
      </c>
      <c r="N35" s="46">
        <v>3134</v>
      </c>
      <c r="O35" s="46"/>
      <c r="P35" s="46"/>
      <c r="Q35" s="46">
        <v>3339</v>
      </c>
      <c r="R35" s="46">
        <v>991</v>
      </c>
      <c r="S35" s="46"/>
      <c r="T35" s="46">
        <f t="shared" si="0"/>
        <v>30028</v>
      </c>
    </row>
    <row r="36" spans="2:20" x14ac:dyDescent="0.2">
      <c r="B36" s="42">
        <v>38989</v>
      </c>
      <c r="C36" s="42"/>
      <c r="D36" s="51"/>
      <c r="H36" s="53"/>
      <c r="I36" s="18">
        <v>18744</v>
      </c>
      <c r="J36" s="18">
        <v>6002</v>
      </c>
      <c r="L36" s="18"/>
      <c r="M36" s="18">
        <v>10211</v>
      </c>
      <c r="N36" s="18">
        <v>2994</v>
      </c>
      <c r="O36" s="18"/>
      <c r="P36" s="18"/>
      <c r="Q36" s="18">
        <v>3063</v>
      </c>
      <c r="R36" s="18">
        <v>871</v>
      </c>
      <c r="S36" s="18"/>
    </row>
    <row r="37" spans="2:20" x14ac:dyDescent="0.2">
      <c r="B37" s="42">
        <v>38982</v>
      </c>
      <c r="C37" s="42"/>
      <c r="D37" s="51"/>
      <c r="H37" s="53"/>
      <c r="I37" s="18">
        <v>18929</v>
      </c>
      <c r="J37" s="18">
        <v>6224</v>
      </c>
      <c r="L37" s="18"/>
      <c r="M37" s="18">
        <v>9900</v>
      </c>
      <c r="N37" s="18">
        <v>2892</v>
      </c>
      <c r="O37" s="18"/>
      <c r="P37" s="18"/>
      <c r="Q37" s="18">
        <v>3167</v>
      </c>
      <c r="R37" s="18">
        <v>1021</v>
      </c>
      <c r="S37" s="18"/>
    </row>
    <row r="38" spans="2:20" x14ac:dyDescent="0.2">
      <c r="B38" s="42">
        <v>38975</v>
      </c>
      <c r="C38" s="42"/>
      <c r="D38" s="51"/>
      <c r="H38" s="53"/>
      <c r="I38" s="18">
        <v>19742</v>
      </c>
      <c r="J38" s="18">
        <v>6042</v>
      </c>
      <c r="L38" s="18"/>
      <c r="M38" s="18">
        <v>10452</v>
      </c>
      <c r="N38" s="18">
        <v>3023</v>
      </c>
      <c r="O38" s="18"/>
      <c r="P38" s="18"/>
      <c r="Q38" s="18">
        <v>3230</v>
      </c>
      <c r="R38" s="18">
        <v>951</v>
      </c>
      <c r="S38" s="18"/>
    </row>
    <row r="39" spans="2:20" x14ac:dyDescent="0.2">
      <c r="B39" s="42">
        <v>38968</v>
      </c>
      <c r="C39" s="42"/>
      <c r="D39" s="51"/>
      <c r="H39" s="53"/>
      <c r="I39" s="18">
        <v>18382</v>
      </c>
      <c r="J39" s="18">
        <v>5347</v>
      </c>
      <c r="L39" s="18"/>
      <c r="M39" s="18">
        <v>10002</v>
      </c>
      <c r="N39" s="18">
        <v>2863</v>
      </c>
      <c r="O39" s="18"/>
      <c r="P39" s="18"/>
      <c r="Q39" s="18">
        <v>3104</v>
      </c>
      <c r="R39" s="18">
        <v>856</v>
      </c>
      <c r="S39" s="18"/>
    </row>
    <row r="40" spans="2:20" x14ac:dyDescent="0.2">
      <c r="B40" s="42">
        <v>38961</v>
      </c>
      <c r="C40" s="42"/>
      <c r="D40" s="51"/>
      <c r="H40" s="53"/>
      <c r="I40" s="18">
        <v>19697</v>
      </c>
      <c r="J40" s="18">
        <v>5931</v>
      </c>
      <c r="L40" s="18"/>
      <c r="M40" s="18">
        <v>10768</v>
      </c>
      <c r="N40" s="18">
        <v>3097</v>
      </c>
      <c r="O40" s="18"/>
      <c r="P40" s="18"/>
      <c r="Q40" s="18">
        <v>3146</v>
      </c>
      <c r="R40" s="18">
        <v>879</v>
      </c>
      <c r="S40" s="18"/>
    </row>
    <row r="41" spans="2:20" x14ac:dyDescent="0.2">
      <c r="B41" s="42">
        <v>38954</v>
      </c>
      <c r="C41" s="42"/>
      <c r="D41" s="51"/>
      <c r="H41" s="53"/>
      <c r="I41" s="18">
        <v>19810</v>
      </c>
      <c r="J41" s="18">
        <v>5938</v>
      </c>
      <c r="L41" s="18"/>
      <c r="M41" s="18">
        <v>10464</v>
      </c>
      <c r="N41" s="18">
        <v>3067</v>
      </c>
      <c r="O41" s="18"/>
      <c r="P41" s="18"/>
      <c r="Q41" s="18">
        <v>3027</v>
      </c>
      <c r="R41" s="18">
        <v>916</v>
      </c>
      <c r="S41" s="18"/>
    </row>
    <row r="42" spans="2:20" x14ac:dyDescent="0.2">
      <c r="B42" s="42">
        <v>38947</v>
      </c>
      <c r="C42" s="42"/>
      <c r="D42" s="51"/>
      <c r="H42" s="53"/>
      <c r="I42" s="18">
        <v>19606</v>
      </c>
      <c r="J42" s="18">
        <v>6139</v>
      </c>
      <c r="L42" s="18"/>
      <c r="M42" s="18">
        <v>10215</v>
      </c>
      <c r="N42" s="18">
        <v>3036</v>
      </c>
      <c r="O42" s="18"/>
      <c r="P42" s="18"/>
      <c r="Q42" s="18">
        <v>2973</v>
      </c>
      <c r="R42" s="18">
        <v>857</v>
      </c>
      <c r="S42" s="18"/>
    </row>
    <row r="43" spans="2:20" x14ac:dyDescent="0.2">
      <c r="B43" s="42">
        <v>38940</v>
      </c>
      <c r="C43" s="42"/>
      <c r="D43" s="51"/>
      <c r="H43" s="53"/>
      <c r="I43" s="18">
        <v>20135</v>
      </c>
      <c r="J43" s="18">
        <v>6295</v>
      </c>
      <c r="L43" s="18"/>
      <c r="M43" s="18">
        <v>10600</v>
      </c>
      <c r="N43" s="18">
        <v>3108</v>
      </c>
      <c r="O43" s="18"/>
      <c r="P43" s="18"/>
      <c r="Q43" s="18">
        <v>3101</v>
      </c>
      <c r="R43" s="18">
        <v>882</v>
      </c>
      <c r="S43" s="18"/>
    </row>
    <row r="44" spans="2:20" x14ac:dyDescent="0.2">
      <c r="B44" s="42">
        <v>38933</v>
      </c>
      <c r="C44" s="42"/>
      <c r="D44" s="51"/>
      <c r="H44" s="53"/>
      <c r="I44" s="18">
        <v>20437</v>
      </c>
      <c r="J44" s="18">
        <v>6351</v>
      </c>
      <c r="L44" s="18"/>
      <c r="M44" s="18">
        <v>10883</v>
      </c>
      <c r="N44" s="18">
        <v>3098</v>
      </c>
      <c r="O44" s="18"/>
      <c r="P44" s="18"/>
      <c r="Q44" s="18">
        <v>3218</v>
      </c>
      <c r="R44" s="18">
        <v>931</v>
      </c>
      <c r="S44" s="18"/>
    </row>
    <row r="45" spans="2:20" x14ac:dyDescent="0.2">
      <c r="B45" s="42">
        <v>38926</v>
      </c>
      <c r="C45" s="42"/>
      <c r="D45" s="51"/>
      <c r="H45" s="53"/>
      <c r="I45" s="18">
        <v>20489</v>
      </c>
      <c r="J45" s="18">
        <v>6446</v>
      </c>
      <c r="L45" s="18"/>
      <c r="M45" s="18">
        <v>10705</v>
      </c>
      <c r="N45" s="18">
        <v>3150</v>
      </c>
      <c r="O45" s="18"/>
      <c r="P45" s="18"/>
      <c r="Q45" s="18">
        <v>3028</v>
      </c>
      <c r="R45" s="18">
        <v>833</v>
      </c>
      <c r="S45" s="18"/>
    </row>
    <row r="46" spans="2:20" x14ac:dyDescent="0.2">
      <c r="B46" s="42">
        <v>38919</v>
      </c>
      <c r="C46" s="42"/>
      <c r="D46" s="51"/>
      <c r="H46" s="53"/>
      <c r="I46" s="18">
        <v>20741</v>
      </c>
      <c r="J46" s="18">
        <v>6548</v>
      </c>
      <c r="L46" s="18"/>
      <c r="M46" s="18">
        <v>10457</v>
      </c>
      <c r="N46" s="18">
        <v>3089</v>
      </c>
      <c r="O46" s="18"/>
      <c r="P46" s="18"/>
      <c r="Q46" s="18">
        <v>2866</v>
      </c>
      <c r="R46" s="18">
        <v>810</v>
      </c>
      <c r="S46" s="18"/>
    </row>
    <row r="47" spans="2:20" x14ac:dyDescent="0.2">
      <c r="B47" s="42">
        <v>38912</v>
      </c>
      <c r="C47" s="42"/>
      <c r="D47" s="51"/>
      <c r="H47" s="53"/>
      <c r="I47" s="18">
        <v>20725</v>
      </c>
      <c r="J47" s="18">
        <v>6698</v>
      </c>
      <c r="L47" s="18"/>
      <c r="M47" s="18">
        <v>10917</v>
      </c>
      <c r="N47" s="18">
        <v>3190</v>
      </c>
      <c r="O47" s="18"/>
      <c r="P47" s="18"/>
      <c r="Q47" s="18">
        <v>3110</v>
      </c>
      <c r="R47" s="18">
        <v>879</v>
      </c>
      <c r="S47" s="18"/>
    </row>
    <row r="48" spans="2:20" x14ac:dyDescent="0.2">
      <c r="B48" s="42">
        <v>38905</v>
      </c>
      <c r="C48" s="42"/>
      <c r="D48" s="51"/>
      <c r="H48" s="53"/>
      <c r="I48" s="18">
        <v>19447</v>
      </c>
      <c r="J48" s="18">
        <v>5965</v>
      </c>
      <c r="L48" s="18"/>
      <c r="M48" s="18">
        <v>10546</v>
      </c>
      <c r="N48" s="18">
        <v>2871</v>
      </c>
      <c r="O48" s="18"/>
      <c r="P48" s="18"/>
      <c r="Q48" s="18">
        <v>2989</v>
      </c>
      <c r="R48" s="18">
        <v>780</v>
      </c>
      <c r="S48" s="18"/>
    </row>
    <row r="49" spans="2:19" x14ac:dyDescent="0.2">
      <c r="B49" s="42">
        <v>38898</v>
      </c>
      <c r="C49" s="42"/>
      <c r="D49" s="51"/>
      <c r="H49" s="53"/>
      <c r="I49" s="18">
        <v>21178</v>
      </c>
      <c r="J49" s="18">
        <v>6673</v>
      </c>
      <c r="L49" s="18"/>
      <c r="M49" s="18">
        <v>11370</v>
      </c>
      <c r="N49" s="18">
        <v>3220</v>
      </c>
      <c r="O49" s="18"/>
      <c r="P49" s="18"/>
      <c r="Q49" s="18">
        <v>3128</v>
      </c>
      <c r="R49" s="18">
        <v>952</v>
      </c>
      <c r="S49" s="18"/>
    </row>
    <row r="50" spans="2:19" x14ac:dyDescent="0.2">
      <c r="B50" s="42">
        <v>38891</v>
      </c>
      <c r="C50" s="42"/>
      <c r="D50" s="51"/>
      <c r="H50" s="53"/>
      <c r="I50" s="18">
        <v>20328</v>
      </c>
      <c r="J50" s="18">
        <v>6636</v>
      </c>
      <c r="L50" s="18"/>
      <c r="M50" s="18">
        <v>10791</v>
      </c>
      <c r="N50" s="18">
        <v>3225</v>
      </c>
      <c r="O50" s="18"/>
      <c r="P50" s="18"/>
      <c r="Q50" s="18">
        <v>3026</v>
      </c>
      <c r="R50" s="18">
        <v>889</v>
      </c>
      <c r="S50" s="18"/>
    </row>
    <row r="51" spans="2:19" x14ac:dyDescent="0.2">
      <c r="B51" s="42">
        <v>38884</v>
      </c>
      <c r="C51" s="42"/>
      <c r="D51" s="51"/>
      <c r="H51" s="53"/>
      <c r="I51" s="18">
        <v>19935</v>
      </c>
      <c r="J51" s="18">
        <v>6262</v>
      </c>
      <c r="L51" s="18"/>
      <c r="M51" s="18">
        <v>10634</v>
      </c>
      <c r="N51" s="18">
        <v>3228</v>
      </c>
      <c r="O51" s="18"/>
      <c r="P51" s="18"/>
      <c r="Q51" s="18">
        <v>2974</v>
      </c>
      <c r="R51" s="18">
        <v>849</v>
      </c>
      <c r="S51" s="18"/>
    </row>
    <row r="52" spans="2:19" x14ac:dyDescent="0.2">
      <c r="B52" s="42">
        <v>38877</v>
      </c>
      <c r="C52" s="42"/>
      <c r="D52" s="51"/>
      <c r="H52" s="53"/>
      <c r="I52" s="18">
        <v>20381</v>
      </c>
      <c r="J52" s="18">
        <v>6562</v>
      </c>
      <c r="L52" s="18"/>
      <c r="M52" s="18">
        <v>11427</v>
      </c>
      <c r="N52" s="18">
        <v>3392</v>
      </c>
      <c r="O52" s="18"/>
      <c r="P52" s="18"/>
      <c r="Q52" s="18">
        <v>3124</v>
      </c>
      <c r="R52" s="18">
        <v>867</v>
      </c>
      <c r="S52" s="18"/>
    </row>
    <row r="53" spans="2:19" x14ac:dyDescent="0.2">
      <c r="B53" s="42">
        <v>38870</v>
      </c>
      <c r="C53" s="42"/>
      <c r="D53" s="51"/>
      <c r="H53" s="53"/>
      <c r="I53" s="18">
        <v>19088</v>
      </c>
      <c r="J53" s="18">
        <v>5768</v>
      </c>
      <c r="L53" s="18"/>
      <c r="M53" s="18">
        <v>10785</v>
      </c>
      <c r="N53" s="18">
        <v>3048</v>
      </c>
      <c r="O53" s="18"/>
      <c r="P53" s="18"/>
      <c r="Q53" s="18">
        <v>2951</v>
      </c>
      <c r="R53" s="18">
        <v>808</v>
      </c>
      <c r="S53" s="18"/>
    </row>
    <row r="54" spans="2:19" x14ac:dyDescent="0.2">
      <c r="B54" s="42">
        <v>38863</v>
      </c>
      <c r="C54" s="42"/>
      <c r="D54" s="51"/>
      <c r="H54" s="53"/>
      <c r="I54" s="18">
        <v>19622</v>
      </c>
      <c r="J54" s="18">
        <v>6382</v>
      </c>
      <c r="L54" s="18"/>
      <c r="M54" s="18">
        <v>10681</v>
      </c>
      <c r="N54" s="18">
        <v>3060</v>
      </c>
      <c r="O54" s="18"/>
      <c r="P54" s="18"/>
      <c r="Q54" s="18">
        <v>3093</v>
      </c>
      <c r="R54" s="18">
        <v>904</v>
      </c>
      <c r="S54" s="18"/>
    </row>
    <row r="55" spans="2:19" x14ac:dyDescent="0.2">
      <c r="B55" s="42">
        <v>38856</v>
      </c>
      <c r="C55" s="42"/>
      <c r="D55" s="51"/>
      <c r="H55" s="53"/>
      <c r="I55" s="18">
        <v>19289</v>
      </c>
      <c r="J55" s="18">
        <v>6147</v>
      </c>
      <c r="L55" s="18"/>
      <c r="M55" s="18">
        <v>10614</v>
      </c>
      <c r="N55" s="18">
        <v>3052</v>
      </c>
      <c r="O55" s="18"/>
      <c r="P55" s="18"/>
      <c r="Q55" s="18">
        <v>3017</v>
      </c>
      <c r="R55" s="18">
        <v>847</v>
      </c>
      <c r="S55" s="18"/>
    </row>
    <row r="56" spans="2:19" x14ac:dyDescent="0.2">
      <c r="B56" s="42">
        <v>38849</v>
      </c>
      <c r="C56" s="42"/>
      <c r="D56" s="51"/>
      <c r="H56" s="53"/>
      <c r="I56" s="18">
        <v>19129</v>
      </c>
      <c r="J56" s="18">
        <v>6272</v>
      </c>
      <c r="L56" s="18"/>
      <c r="M56" s="18">
        <v>10866</v>
      </c>
      <c r="N56" s="18">
        <v>3065</v>
      </c>
      <c r="O56" s="18"/>
      <c r="P56" s="18"/>
      <c r="Q56" s="18">
        <v>3035</v>
      </c>
      <c r="R56" s="18">
        <v>905</v>
      </c>
      <c r="S56" s="18"/>
    </row>
    <row r="57" spans="2:19" x14ac:dyDescent="0.2">
      <c r="B57" s="42">
        <v>38842</v>
      </c>
      <c r="C57" s="42"/>
      <c r="D57" s="51"/>
      <c r="H57" s="53"/>
      <c r="I57" s="18">
        <v>20262</v>
      </c>
      <c r="J57" s="18">
        <v>6546</v>
      </c>
      <c r="L57" s="18"/>
      <c r="M57" s="18">
        <v>12071</v>
      </c>
      <c r="N57" s="18">
        <v>3483</v>
      </c>
      <c r="O57" s="18"/>
      <c r="P57" s="18"/>
      <c r="Q57" s="18">
        <v>3093</v>
      </c>
      <c r="R57" s="18">
        <v>881</v>
      </c>
      <c r="S57" s="18"/>
    </row>
    <row r="58" spans="2:19" x14ac:dyDescent="0.2">
      <c r="B58" s="42">
        <v>38835</v>
      </c>
      <c r="C58" s="42"/>
      <c r="D58" s="51"/>
      <c r="H58" s="53"/>
      <c r="I58" s="18">
        <v>18327</v>
      </c>
      <c r="J58" s="18">
        <v>6083</v>
      </c>
      <c r="L58" s="18"/>
      <c r="M58" s="18">
        <v>10934</v>
      </c>
      <c r="N58" s="18">
        <v>3258</v>
      </c>
      <c r="O58" s="18"/>
      <c r="P58" s="18"/>
      <c r="Q58" s="18">
        <v>3019</v>
      </c>
      <c r="R58" s="18">
        <v>867</v>
      </c>
      <c r="S58" s="18"/>
    </row>
    <row r="59" spans="2:19" x14ac:dyDescent="0.2">
      <c r="B59" s="42">
        <v>38828</v>
      </c>
      <c r="C59" s="42"/>
      <c r="D59" s="51"/>
      <c r="H59" s="53"/>
      <c r="I59" s="18">
        <v>18176</v>
      </c>
      <c r="J59" s="18">
        <v>6067</v>
      </c>
      <c r="L59" s="18"/>
      <c r="M59" s="18">
        <v>10500</v>
      </c>
      <c r="N59" s="18">
        <v>3037</v>
      </c>
      <c r="O59" s="18"/>
      <c r="P59" s="18"/>
      <c r="Q59" s="18">
        <v>2871</v>
      </c>
      <c r="R59" s="18">
        <v>847</v>
      </c>
      <c r="S59" s="18"/>
    </row>
    <row r="60" spans="2:19" x14ac:dyDescent="0.2">
      <c r="B60" s="42">
        <v>38821</v>
      </c>
      <c r="C60" s="42"/>
      <c r="D60" s="51"/>
      <c r="H60" s="53"/>
      <c r="I60" s="18">
        <v>17953</v>
      </c>
      <c r="J60" s="18">
        <v>5874</v>
      </c>
      <c r="L60" s="18"/>
      <c r="M60" s="18">
        <v>11090</v>
      </c>
      <c r="N60" s="18">
        <v>3140</v>
      </c>
      <c r="O60" s="18"/>
      <c r="P60" s="18"/>
      <c r="Q60" s="18">
        <v>3046</v>
      </c>
      <c r="R60" s="18">
        <v>812</v>
      </c>
      <c r="S60" s="18"/>
    </row>
    <row r="61" spans="2:19" x14ac:dyDescent="0.2">
      <c r="B61" s="42"/>
      <c r="C61" s="42"/>
      <c r="D61" s="35"/>
      <c r="I61" s="18"/>
      <c r="J61" s="18"/>
      <c r="L61" s="18"/>
      <c r="M61" s="18"/>
      <c r="N61" s="18"/>
      <c r="O61" s="18"/>
      <c r="P61" s="18"/>
      <c r="Q61" s="18"/>
      <c r="R61" s="18"/>
      <c r="S61" s="18"/>
    </row>
  </sheetData>
  <mergeCells count="1">
    <mergeCell ref="E2:F2"/>
  </mergeCells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33" t="s">
        <v>139</v>
      </c>
    </row>
    <row r="2" spans="1:2" x14ac:dyDescent="0.2">
      <c r="B2" t="s">
        <v>47</v>
      </c>
    </row>
    <row r="3" spans="1:2" x14ac:dyDescent="0.2">
      <c r="B3" t="s">
        <v>163</v>
      </c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</row>
    <row r="3" spans="1:3" x14ac:dyDescent="0.2">
      <c r="B3" s="1" t="s">
        <v>141</v>
      </c>
      <c r="C3" s="1" t="s">
        <v>209</v>
      </c>
    </row>
    <row r="4" spans="1:3" x14ac:dyDescent="0.2">
      <c r="B4" s="1" t="s">
        <v>1</v>
      </c>
      <c r="C4" s="1" t="s">
        <v>330</v>
      </c>
    </row>
    <row r="5" spans="1:3" x14ac:dyDescent="0.2">
      <c r="B5" s="1" t="s">
        <v>253</v>
      </c>
      <c r="C5" s="1" t="s">
        <v>325</v>
      </c>
    </row>
    <row r="6" spans="1:3" x14ac:dyDescent="0.2">
      <c r="B6" s="1" t="s">
        <v>142</v>
      </c>
    </row>
    <row r="7" spans="1:3" x14ac:dyDescent="0.2">
      <c r="C7" s="34" t="s">
        <v>331</v>
      </c>
    </row>
    <row r="8" spans="1:3" x14ac:dyDescent="0.2">
      <c r="C8" s="1" t="s">
        <v>265</v>
      </c>
    </row>
    <row r="9" spans="1:3" x14ac:dyDescent="0.2">
      <c r="C9" s="1" t="s">
        <v>306</v>
      </c>
    </row>
    <row r="11" spans="1:3" x14ac:dyDescent="0.2">
      <c r="C11" s="34" t="s">
        <v>332</v>
      </c>
    </row>
    <row r="12" spans="1:3" x14ac:dyDescent="0.2">
      <c r="C12" s="1" t="s">
        <v>266</v>
      </c>
    </row>
    <row r="13" spans="1:3" x14ac:dyDescent="0.2">
      <c r="C13" s="1" t="s">
        <v>307</v>
      </c>
    </row>
    <row r="15" spans="1:3" x14ac:dyDescent="0.2">
      <c r="C15" s="34" t="s">
        <v>333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"/>
  <sheetViews>
    <sheetView zoomScale="140" zoomScaleNormal="140" workbookViewId="0">
      <selection activeCell="L6" sqref="L6"/>
    </sheetView>
  </sheetViews>
  <sheetFormatPr defaultColWidth="9.140625" defaultRowHeight="12.75" x14ac:dyDescent="0.2"/>
  <cols>
    <col min="1" max="1" width="2.85546875" style="1" customWidth="1"/>
    <col min="2" max="2" width="32.85546875" style="1" customWidth="1"/>
    <col min="3" max="3" width="15.140625" style="1" customWidth="1"/>
    <col min="4" max="5" width="15.42578125" style="1" customWidth="1"/>
    <col min="6" max="6" width="25.42578125" style="1" customWidth="1"/>
    <col min="7" max="7" width="24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42578125" style="1" customWidth="1"/>
    <col min="12" max="15" width="9.140625" style="1"/>
    <col min="16" max="16" width="11.42578125" style="1" bestFit="1" customWidth="1"/>
    <col min="17" max="16384" width="9.140625" style="1"/>
  </cols>
  <sheetData>
    <row r="1" spans="1:16" x14ac:dyDescent="0.2">
      <c r="A1" s="92"/>
    </row>
    <row r="2" spans="1:16" x14ac:dyDescent="0.2">
      <c r="B2" s="2" t="s">
        <v>0</v>
      </c>
      <c r="C2" s="90" t="s">
        <v>1</v>
      </c>
      <c r="D2" s="3" t="s">
        <v>2</v>
      </c>
      <c r="E2" s="3" t="s">
        <v>188</v>
      </c>
      <c r="F2" s="168" t="s">
        <v>711</v>
      </c>
      <c r="G2" s="4" t="s">
        <v>4</v>
      </c>
      <c r="I2" s="1" t="s">
        <v>138</v>
      </c>
      <c r="J2" s="49">
        <v>76.08</v>
      </c>
    </row>
    <row r="3" spans="1:16" x14ac:dyDescent="0.2">
      <c r="B3" s="32" t="s">
        <v>703</v>
      </c>
      <c r="C3" s="94" t="s">
        <v>6</v>
      </c>
      <c r="D3" s="7">
        <v>1</v>
      </c>
      <c r="E3" s="35"/>
      <c r="F3" s="97" t="s">
        <v>705</v>
      </c>
      <c r="G3" s="8">
        <v>2033</v>
      </c>
      <c r="I3" s="1" t="s">
        <v>21</v>
      </c>
      <c r="J3" s="17">
        <v>1244.9920810000001</v>
      </c>
      <c r="K3" s="101" t="s">
        <v>771</v>
      </c>
    </row>
    <row r="4" spans="1:16" x14ac:dyDescent="0.2">
      <c r="B4" s="32" t="s">
        <v>734</v>
      </c>
      <c r="C4" s="94" t="s">
        <v>6</v>
      </c>
      <c r="D4" s="7">
        <v>1</v>
      </c>
      <c r="E4" s="35"/>
      <c r="F4" s="97" t="s">
        <v>705</v>
      </c>
      <c r="G4" s="8">
        <v>2027</v>
      </c>
      <c r="I4" s="1" t="s">
        <v>262</v>
      </c>
      <c r="J4" s="17">
        <f>J3*J2</f>
        <v>94718.99752248</v>
      </c>
    </row>
    <row r="5" spans="1:16" x14ac:dyDescent="0.2">
      <c r="B5" s="32" t="s">
        <v>730</v>
      </c>
      <c r="C5" s="94" t="s">
        <v>6</v>
      </c>
      <c r="D5" s="7">
        <v>1</v>
      </c>
      <c r="E5" s="35"/>
      <c r="F5" s="97" t="s">
        <v>733</v>
      </c>
      <c r="G5" s="8">
        <v>2025</v>
      </c>
      <c r="I5" s="1" t="s">
        <v>46</v>
      </c>
      <c r="J5" s="17">
        <v>2772</v>
      </c>
      <c r="K5" s="101" t="s">
        <v>771</v>
      </c>
    </row>
    <row r="6" spans="1:16" x14ac:dyDescent="0.2">
      <c r="B6" s="32" t="s">
        <v>738</v>
      </c>
      <c r="C6" s="94" t="s">
        <v>6</v>
      </c>
      <c r="D6" s="7">
        <v>1</v>
      </c>
      <c r="E6" s="35"/>
      <c r="F6" s="97" t="s">
        <v>750</v>
      </c>
      <c r="G6" s="8"/>
      <c r="I6" s="1" t="s">
        <v>208</v>
      </c>
      <c r="J6" s="17">
        <v>23350</v>
      </c>
      <c r="K6" s="101" t="s">
        <v>771</v>
      </c>
    </row>
    <row r="7" spans="1:16" x14ac:dyDescent="0.2">
      <c r="B7" s="32" t="s">
        <v>573</v>
      </c>
      <c r="C7" s="94" t="s">
        <v>6</v>
      </c>
      <c r="D7" s="7">
        <v>1</v>
      </c>
      <c r="E7" s="35">
        <v>41148</v>
      </c>
      <c r="F7" s="97" t="s">
        <v>705</v>
      </c>
      <c r="G7" s="8">
        <v>2021</v>
      </c>
      <c r="I7" s="1" t="s">
        <v>263</v>
      </c>
      <c r="J7" s="17">
        <f>J4-J5+J6</f>
        <v>115296.99752248</v>
      </c>
    </row>
    <row r="8" spans="1:16" x14ac:dyDescent="0.2">
      <c r="B8" s="32" t="s">
        <v>740</v>
      </c>
      <c r="C8" s="94" t="s">
        <v>741</v>
      </c>
      <c r="D8" s="7">
        <v>1</v>
      </c>
      <c r="E8" s="35"/>
      <c r="F8" s="97" t="s">
        <v>749</v>
      </c>
      <c r="G8" s="8"/>
    </row>
    <row r="9" spans="1:16" x14ac:dyDescent="0.2">
      <c r="B9" s="32" t="s">
        <v>574</v>
      </c>
      <c r="C9" s="6" t="s">
        <v>15</v>
      </c>
      <c r="D9" s="7">
        <v>1</v>
      </c>
      <c r="E9" s="35">
        <v>41614</v>
      </c>
      <c r="F9" s="6"/>
      <c r="G9" s="8" t="s">
        <v>571</v>
      </c>
      <c r="N9" s="129"/>
    </row>
    <row r="10" spans="1:16" x14ac:dyDescent="0.2">
      <c r="B10" s="32" t="s">
        <v>404</v>
      </c>
      <c r="C10" s="91" t="s">
        <v>6</v>
      </c>
      <c r="D10" s="7" t="s">
        <v>155</v>
      </c>
      <c r="E10" s="35" t="s">
        <v>340</v>
      </c>
      <c r="F10" s="97" t="s">
        <v>751</v>
      </c>
      <c r="G10" s="8" t="s">
        <v>324</v>
      </c>
      <c r="I10" s="1" t="s">
        <v>717</v>
      </c>
    </row>
    <row r="11" spans="1:16" x14ac:dyDescent="0.2">
      <c r="B11" s="5" t="s">
        <v>147</v>
      </c>
      <c r="C11" s="89" t="s">
        <v>6</v>
      </c>
      <c r="D11" s="7">
        <v>1</v>
      </c>
      <c r="E11" s="35" t="s">
        <v>339</v>
      </c>
      <c r="F11" s="97" t="s">
        <v>749</v>
      </c>
      <c r="G11" s="8" t="s">
        <v>323</v>
      </c>
      <c r="I11" s="92" t="s">
        <v>748</v>
      </c>
      <c r="N11" s="15"/>
      <c r="P11" s="130"/>
    </row>
    <row r="12" spans="1:16" x14ac:dyDescent="0.2">
      <c r="B12" s="32" t="s">
        <v>149</v>
      </c>
      <c r="C12" s="6" t="s">
        <v>10</v>
      </c>
      <c r="D12" s="7">
        <v>1</v>
      </c>
      <c r="E12" s="35" t="s">
        <v>338</v>
      </c>
      <c r="F12" s="6"/>
      <c r="G12" s="8"/>
      <c r="I12" s="129" t="s">
        <v>691</v>
      </c>
      <c r="N12" s="129"/>
    </row>
    <row r="13" spans="1:16" x14ac:dyDescent="0.2">
      <c r="B13" s="32" t="s">
        <v>240</v>
      </c>
      <c r="C13" s="6" t="s">
        <v>187</v>
      </c>
      <c r="D13" s="6" t="s">
        <v>43</v>
      </c>
      <c r="E13" s="35" t="s">
        <v>337</v>
      </c>
      <c r="F13" s="97" t="s">
        <v>752</v>
      </c>
      <c r="G13" s="8" t="s">
        <v>505</v>
      </c>
    </row>
    <row r="14" spans="1:16" x14ac:dyDescent="0.2">
      <c r="B14" s="5" t="s">
        <v>11</v>
      </c>
      <c r="C14" s="6" t="s">
        <v>68</v>
      </c>
      <c r="D14" s="7" t="s">
        <v>345</v>
      </c>
      <c r="E14" s="35" t="s">
        <v>343</v>
      </c>
      <c r="F14" s="97" t="s">
        <v>755</v>
      </c>
      <c r="G14" s="8"/>
    </row>
    <row r="15" spans="1:16" x14ac:dyDescent="0.2">
      <c r="B15" s="96" t="s">
        <v>682</v>
      </c>
      <c r="C15" s="6"/>
      <c r="D15" s="7"/>
      <c r="E15" s="35"/>
      <c r="F15" s="97"/>
      <c r="G15" s="8"/>
    </row>
    <row r="16" spans="1:16" x14ac:dyDescent="0.2">
      <c r="B16" s="96" t="s">
        <v>683</v>
      </c>
      <c r="C16" s="6"/>
      <c r="D16" s="7"/>
      <c r="E16" s="35"/>
      <c r="F16" s="97"/>
      <c r="G16" s="8"/>
    </row>
    <row r="17" spans="2:7" x14ac:dyDescent="0.2">
      <c r="B17" s="96" t="s">
        <v>760</v>
      </c>
      <c r="C17" s="6"/>
      <c r="D17" s="7"/>
      <c r="E17" s="35"/>
      <c r="F17" s="97"/>
      <c r="G17" s="8"/>
    </row>
    <row r="18" spans="2:7" x14ac:dyDescent="0.2">
      <c r="B18" s="96" t="s">
        <v>759</v>
      </c>
      <c r="C18" s="97" t="s">
        <v>6</v>
      </c>
      <c r="D18" s="7">
        <v>1</v>
      </c>
      <c r="E18" s="35">
        <v>44917</v>
      </c>
      <c r="F18" s="97"/>
      <c r="G18" s="8"/>
    </row>
    <row r="19" spans="2:7" x14ac:dyDescent="0.2">
      <c r="B19" s="96" t="s">
        <v>591</v>
      </c>
      <c r="C19" s="22" t="s">
        <v>6</v>
      </c>
      <c r="D19" s="25" t="s">
        <v>379</v>
      </c>
      <c r="E19" s="97"/>
      <c r="F19" s="22"/>
      <c r="G19" s="29" t="s">
        <v>380</v>
      </c>
    </row>
    <row r="20" spans="2:7" x14ac:dyDescent="0.2">
      <c r="B20" s="32" t="s">
        <v>754</v>
      </c>
      <c r="C20" s="97" t="s">
        <v>756</v>
      </c>
      <c r="D20" s="25"/>
      <c r="E20" s="97"/>
      <c r="F20" s="22"/>
      <c r="G20" s="29"/>
    </row>
    <row r="21" spans="2:7" x14ac:dyDescent="0.2">
      <c r="B21" s="32" t="s">
        <v>693</v>
      </c>
      <c r="C21" s="97" t="s">
        <v>15</v>
      </c>
      <c r="D21" s="25">
        <v>1</v>
      </c>
      <c r="E21" s="97"/>
      <c r="F21" s="97"/>
      <c r="G21" s="116" t="s">
        <v>618</v>
      </c>
    </row>
    <row r="22" spans="2:7" x14ac:dyDescent="0.2">
      <c r="B22" s="32" t="s">
        <v>685</v>
      </c>
      <c r="C22" s="97" t="s">
        <v>612</v>
      </c>
      <c r="D22" s="25">
        <v>1</v>
      </c>
      <c r="E22" s="97" t="s">
        <v>610</v>
      </c>
      <c r="F22" s="22"/>
      <c r="G22" s="29"/>
    </row>
    <row r="23" spans="2:7" x14ac:dyDescent="0.2">
      <c r="B23" s="77" t="s">
        <v>12</v>
      </c>
      <c r="C23" s="9" t="s">
        <v>239</v>
      </c>
      <c r="D23" s="10" t="s">
        <v>257</v>
      </c>
      <c r="E23" s="36">
        <v>36460</v>
      </c>
      <c r="F23" s="9"/>
      <c r="G23" s="11"/>
    </row>
    <row r="24" spans="2:7" x14ac:dyDescent="0.2">
      <c r="B24" s="2"/>
      <c r="C24" s="3"/>
      <c r="D24" s="3"/>
      <c r="E24" s="3" t="s">
        <v>13</v>
      </c>
      <c r="F24" s="3" t="s">
        <v>57</v>
      </c>
      <c r="G24" s="4" t="s">
        <v>3</v>
      </c>
    </row>
    <row r="25" spans="2:7" x14ac:dyDescent="0.2">
      <c r="B25" s="175" t="s">
        <v>687</v>
      </c>
      <c r="C25" s="176"/>
      <c r="D25" s="177"/>
      <c r="E25" s="176" t="s">
        <v>322</v>
      </c>
      <c r="F25" s="176" t="s">
        <v>690</v>
      </c>
      <c r="G25" s="178"/>
    </row>
    <row r="26" spans="2:7" x14ac:dyDescent="0.2">
      <c r="B26" s="96" t="s">
        <v>688</v>
      </c>
      <c r="C26" s="97"/>
      <c r="D26" s="7"/>
      <c r="E26" s="97" t="s">
        <v>322</v>
      </c>
      <c r="F26" s="97" t="s">
        <v>689</v>
      </c>
      <c r="G26" s="8"/>
    </row>
    <row r="27" spans="2:7" x14ac:dyDescent="0.2">
      <c r="B27" s="96" t="s">
        <v>765</v>
      </c>
      <c r="C27" s="97" t="s">
        <v>766</v>
      </c>
      <c r="D27" s="98" t="s">
        <v>767</v>
      </c>
      <c r="E27" s="97" t="s">
        <v>317</v>
      </c>
      <c r="F27" s="97" t="s">
        <v>768</v>
      </c>
      <c r="G27" s="8"/>
    </row>
    <row r="28" spans="2:7" x14ac:dyDescent="0.2">
      <c r="B28" s="96" t="s">
        <v>763</v>
      </c>
      <c r="C28" s="97" t="s">
        <v>741</v>
      </c>
      <c r="G28" s="179"/>
    </row>
    <row r="29" spans="2:7" x14ac:dyDescent="0.2">
      <c r="B29" s="32" t="s">
        <v>622</v>
      </c>
      <c r="C29" s="97" t="s">
        <v>623</v>
      </c>
      <c r="D29" s="98">
        <v>1</v>
      </c>
      <c r="E29" s="97" t="s">
        <v>317</v>
      </c>
      <c r="F29" s="97" t="s">
        <v>627</v>
      </c>
      <c r="G29" s="116"/>
    </row>
    <row r="30" spans="2:7" x14ac:dyDescent="0.2">
      <c r="B30" s="96" t="s">
        <v>619</v>
      </c>
      <c r="C30" s="97" t="s">
        <v>620</v>
      </c>
      <c r="D30" s="98">
        <v>1</v>
      </c>
      <c r="E30" s="97" t="s">
        <v>317</v>
      </c>
      <c r="F30" s="97" t="s">
        <v>621</v>
      </c>
      <c r="G30" s="116"/>
    </row>
    <row r="31" spans="2:7" x14ac:dyDescent="0.2">
      <c r="B31" s="122" t="s">
        <v>488</v>
      </c>
      <c r="C31" s="94" t="s">
        <v>15</v>
      </c>
      <c r="D31" s="180">
        <v>1</v>
      </c>
      <c r="E31" s="94" t="s">
        <v>317</v>
      </c>
      <c r="F31" s="94" t="s">
        <v>506</v>
      </c>
      <c r="G31" s="123"/>
    </row>
    <row r="32" spans="2:7" x14ac:dyDescent="0.2">
      <c r="B32" s="122" t="s">
        <v>489</v>
      </c>
      <c r="C32" s="94" t="s">
        <v>15</v>
      </c>
      <c r="D32" s="180">
        <v>1</v>
      </c>
      <c r="E32" s="94" t="s">
        <v>507</v>
      </c>
      <c r="F32" s="94" t="s">
        <v>490</v>
      </c>
      <c r="G32" s="123"/>
    </row>
    <row r="33" spans="2:7" x14ac:dyDescent="0.2">
      <c r="B33" s="122" t="s">
        <v>632</v>
      </c>
      <c r="C33" s="111" t="s">
        <v>635</v>
      </c>
      <c r="D33" s="180">
        <v>1</v>
      </c>
      <c r="E33" s="94" t="s">
        <v>317</v>
      </c>
      <c r="F33" s="94" t="s">
        <v>636</v>
      </c>
      <c r="G33" s="125" t="s">
        <v>616</v>
      </c>
    </row>
    <row r="34" spans="2:7" x14ac:dyDescent="0.2">
      <c r="B34" s="88" t="s">
        <v>500</v>
      </c>
      <c r="C34" s="9" t="s">
        <v>501</v>
      </c>
      <c r="D34" s="10"/>
      <c r="E34" s="9" t="s">
        <v>322</v>
      </c>
      <c r="F34" s="9" t="s">
        <v>502</v>
      </c>
      <c r="G34" s="11"/>
    </row>
    <row r="36" spans="2:7" x14ac:dyDescent="0.2">
      <c r="E36" s="21" t="s">
        <v>474</v>
      </c>
    </row>
    <row r="37" spans="2:7" x14ac:dyDescent="0.2">
      <c r="E37" s="21" t="s">
        <v>472</v>
      </c>
    </row>
    <row r="38" spans="2:7" x14ac:dyDescent="0.2">
      <c r="E38" s="21" t="s">
        <v>231</v>
      </c>
    </row>
    <row r="39" spans="2:7" x14ac:dyDescent="0.2">
      <c r="E39" s="21" t="s">
        <v>473</v>
      </c>
    </row>
    <row r="40" spans="2:7" x14ac:dyDescent="0.2">
      <c r="E40" s="21" t="s">
        <v>442</v>
      </c>
    </row>
    <row r="41" spans="2:7" x14ac:dyDescent="0.2">
      <c r="E41" s="21" t="s">
        <v>475</v>
      </c>
    </row>
    <row r="42" spans="2:7" x14ac:dyDescent="0.2">
      <c r="E42" s="21" t="s">
        <v>419</v>
      </c>
    </row>
    <row r="43" spans="2:7" x14ac:dyDescent="0.2">
      <c r="E43" s="21" t="s">
        <v>418</v>
      </c>
    </row>
    <row r="44" spans="2:7" x14ac:dyDescent="0.2">
      <c r="E44" s="92" t="s">
        <v>588</v>
      </c>
    </row>
    <row r="45" spans="2:7" x14ac:dyDescent="0.2">
      <c r="E45" s="92" t="s">
        <v>600</v>
      </c>
    </row>
    <row r="46" spans="2:7" x14ac:dyDescent="0.2">
      <c r="E46" s="92" t="s">
        <v>598</v>
      </c>
    </row>
    <row r="47" spans="2:7" x14ac:dyDescent="0.2">
      <c r="E47" s="92" t="s">
        <v>599</v>
      </c>
    </row>
    <row r="48" spans="2:7" x14ac:dyDescent="0.2">
      <c r="E48" s="92" t="s">
        <v>601</v>
      </c>
    </row>
    <row r="49" spans="5:5" x14ac:dyDescent="0.2">
      <c r="E49" s="92" t="s">
        <v>602</v>
      </c>
    </row>
    <row r="50" spans="5:5" x14ac:dyDescent="0.2">
      <c r="E50" s="92" t="s">
        <v>603</v>
      </c>
    </row>
    <row r="51" spans="5:5" x14ac:dyDescent="0.2">
      <c r="E51" s="21" t="s">
        <v>604</v>
      </c>
    </row>
    <row r="52" spans="5:5" x14ac:dyDescent="0.2">
      <c r="E52" s="124" t="s">
        <v>633</v>
      </c>
    </row>
    <row r="54" spans="5:5" x14ac:dyDescent="0.2">
      <c r="E54" s="15" t="s">
        <v>628</v>
      </c>
    </row>
    <row r="57" spans="5:5" x14ac:dyDescent="0.2">
      <c r="E57" s="21" t="s">
        <v>686</v>
      </c>
    </row>
    <row r="59" spans="5:5" x14ac:dyDescent="0.2">
      <c r="E59" s="92" t="s">
        <v>739</v>
      </c>
    </row>
    <row r="60" spans="5:5" x14ac:dyDescent="0.2">
      <c r="E60" s="92" t="s">
        <v>753</v>
      </c>
    </row>
  </sheetData>
  <customSheetViews>
    <customSheetView guid="{242E8787-30C2-4AAB-B25A-4ABD2B9A9CA6}" showRuler="0">
      <pageMargins left="0.75" right="0.75" top="1" bottom="1" header="0.5" footer="0.5"/>
      <pageSetup orientation="portrait" horizontalDpi="1200" verticalDpi="1200"/>
      <headerFooter alignWithMargins="0"/>
    </customSheetView>
    <customSheetView guid="{4186580B-64C2-4B0C-BB3D-D214EFB8989E}" showRuler="0">
      <pageMargins left="0.75" right="0.75" top="1" bottom="1" header="0.5" footer="0.5"/>
      <pageSetup orientation="portrait" horizontalDpi="1200" verticalDpi="1200"/>
      <headerFooter alignWithMargins="0"/>
    </customSheetView>
  </customSheetViews>
  <phoneticPr fontId="3" type="noConversion"/>
  <hyperlinks>
    <hyperlink ref="C11" r:id="rId1" xr:uid="{00000000-0004-0000-0100-000002000000}"/>
    <hyperlink ref="B12" location="Hepsera!A1" display="Hepsera (adefovir)" xr:uid="{00000000-0004-0000-0100-000003000000}"/>
    <hyperlink ref="B10" location="Atripla!A1" display="Atripla" xr:uid="{00000000-0004-0000-0100-000004000000}"/>
    <hyperlink ref="B13" location="Letairis!A1" display="Letairis (ambrisentan)" xr:uid="{00000000-0004-0000-0100-000006000000}"/>
    <hyperlink ref="C10" r:id="rId2" xr:uid="{00000000-0004-0000-0100-000008000000}"/>
    <hyperlink ref="B23" location="Tamiflu!A1" display="Tamiflu" xr:uid="{00000000-0004-0000-0100-000009000000}"/>
    <hyperlink ref="B7" location="Stribild!A1" display="Stribild (Truvada/elvitegravir/cobicistat)" xr:uid="{00000000-0004-0000-0100-00000A000000}"/>
    <hyperlink ref="B9" location="sofosbuvir!A1" display="GS-7977" xr:uid="{00000000-0004-0000-0100-00000B000000}"/>
    <hyperlink ref="B29" location="'5806'!A1" display="GS5806" xr:uid="{00000000-0004-0000-0100-00000D000000}"/>
    <hyperlink ref="B21" location="Harvoni!A1" display="Harvoni (ledipasvir (GS-5885)/sofosbuvir)" xr:uid="{BF60304D-83C5-40EB-9F48-17522961056C}"/>
    <hyperlink ref="B3" location="Biktarvy!A1" display="Biktarvy (bictegravir/emtricitabine/TAF)" xr:uid="{A2CE480C-605B-43E0-B496-E9C5589F4A6B}"/>
    <hyperlink ref="B8" location="Veklury!A1" display="Veklury (remdesivir)" xr:uid="{795364B5-4E23-4C23-AC6F-B4DE0C4295C4}"/>
    <hyperlink ref="B20" location="Trodelvy!A1" display="Trodelvy (sacituzumab govitecan)" xr:uid="{E1DA42CE-651F-4365-A31D-B57C11B4139C}"/>
  </hyperlinks>
  <pageMargins left="0.75" right="0.75" top="1" bottom="1" header="0.5" footer="0.5"/>
  <pageSetup orientation="portrait" horizontalDpi="1200" verticalDpi="1200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8"/>
  <sheetViews>
    <sheetView zoomScaleNormal="100"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3" width="9.85546875" style="6" customWidth="1"/>
    <col min="4" max="4" width="10" style="6" customWidth="1"/>
    <col min="5" max="6" width="9.28515625" style="6" bestFit="1" customWidth="1"/>
    <col min="7" max="8" width="9.7109375" style="6" bestFit="1" customWidth="1"/>
    <col min="9" max="10" width="10.85546875" style="6" bestFit="1" customWidth="1"/>
    <col min="11" max="12" width="10.7109375" style="6" bestFit="1" customWidth="1"/>
    <col min="13" max="16384" width="9.140625" style="1"/>
  </cols>
  <sheetData>
    <row r="1" spans="1:13" x14ac:dyDescent="0.2">
      <c r="A1" s="12" t="s">
        <v>139</v>
      </c>
    </row>
    <row r="2" spans="1:13" x14ac:dyDescent="0.2">
      <c r="A2" s="12"/>
      <c r="B2" s="1" t="s">
        <v>140</v>
      </c>
      <c r="C2" s="1" t="s">
        <v>251</v>
      </c>
    </row>
    <row r="3" spans="1:13" x14ac:dyDescent="0.2">
      <c r="A3" s="12"/>
      <c r="B3" s="1" t="s">
        <v>141</v>
      </c>
      <c r="C3" s="1" t="s">
        <v>252</v>
      </c>
    </row>
    <row r="4" spans="1:13" x14ac:dyDescent="0.2">
      <c r="A4" s="12"/>
      <c r="B4" s="1" t="s">
        <v>1</v>
      </c>
      <c r="C4" s="1" t="s">
        <v>270</v>
      </c>
    </row>
    <row r="5" spans="1:13" x14ac:dyDescent="0.2">
      <c r="A5" s="12"/>
      <c r="C5" s="1" t="s">
        <v>271</v>
      </c>
    </row>
    <row r="6" spans="1:13" x14ac:dyDescent="0.2">
      <c r="A6" s="12"/>
      <c r="B6" s="1" t="s">
        <v>253</v>
      </c>
      <c r="C6" s="1" t="s">
        <v>254</v>
      </c>
    </row>
    <row r="7" spans="1:13" x14ac:dyDescent="0.2">
      <c r="A7" s="12"/>
      <c r="B7" s="1" t="s">
        <v>256</v>
      </c>
      <c r="C7" s="1" t="s">
        <v>269</v>
      </c>
    </row>
    <row r="8" spans="1:13" x14ac:dyDescent="0.2">
      <c r="A8" s="12"/>
      <c r="B8" s="1" t="s">
        <v>138</v>
      </c>
      <c r="C8" s="1" t="s">
        <v>259</v>
      </c>
    </row>
    <row r="9" spans="1:13" x14ac:dyDescent="0.2">
      <c r="A9" s="12"/>
      <c r="B9" s="1" t="s">
        <v>3</v>
      </c>
      <c r="C9" s="1" t="s">
        <v>268</v>
      </c>
    </row>
    <row r="10" spans="1:13" x14ac:dyDescent="0.2">
      <c r="A10" s="12"/>
      <c r="B10" s="1" t="s">
        <v>255</v>
      </c>
    </row>
    <row r="11" spans="1:13" x14ac:dyDescent="0.2">
      <c r="A11" s="12"/>
    </row>
    <row r="12" spans="1:13" x14ac:dyDescent="0.2">
      <c r="C12" s="1"/>
      <c r="D12" s="6">
        <v>2006</v>
      </c>
      <c r="E12" s="6">
        <v>2007</v>
      </c>
      <c r="F12" s="6">
        <v>2008</v>
      </c>
      <c r="G12" s="6">
        <v>2009</v>
      </c>
      <c r="H12" s="6">
        <v>2010</v>
      </c>
      <c r="I12" s="6">
        <v>2011</v>
      </c>
      <c r="J12" s="6">
        <v>2012</v>
      </c>
      <c r="K12" s="6">
        <v>2013</v>
      </c>
      <c r="L12" s="6">
        <v>2014</v>
      </c>
      <c r="M12" s="6">
        <v>2015</v>
      </c>
    </row>
    <row r="13" spans="1:13" x14ac:dyDescent="0.2">
      <c r="C13" s="1" t="s">
        <v>241</v>
      </c>
      <c r="D13" s="18">
        <v>50000</v>
      </c>
      <c r="M13" s="6"/>
    </row>
    <row r="14" spans="1:13" x14ac:dyDescent="0.2">
      <c r="C14" s="1" t="s">
        <v>242</v>
      </c>
      <c r="D14" s="18">
        <v>15000</v>
      </c>
      <c r="E14" s="18">
        <f>D14*1.04</f>
        <v>15600</v>
      </c>
      <c r="F14" s="18">
        <f t="shared" ref="F14:M14" si="0">E14*1.04</f>
        <v>16224</v>
      </c>
      <c r="G14" s="18">
        <f t="shared" si="0"/>
        <v>16872.96</v>
      </c>
      <c r="H14" s="18">
        <f t="shared" si="0"/>
        <v>17547.878400000001</v>
      </c>
      <c r="I14" s="18">
        <f t="shared" si="0"/>
        <v>18249.793536000001</v>
      </c>
      <c r="J14" s="18">
        <f t="shared" si="0"/>
        <v>18979.785277440002</v>
      </c>
      <c r="K14" s="18">
        <f t="shared" si="0"/>
        <v>19738.976688537601</v>
      </c>
      <c r="L14" s="18">
        <f t="shared" si="0"/>
        <v>20528.535756079105</v>
      </c>
      <c r="M14" s="18">
        <f t="shared" si="0"/>
        <v>21349.677186322271</v>
      </c>
    </row>
    <row r="15" spans="1:13" x14ac:dyDescent="0.2">
      <c r="C15" s="1" t="s">
        <v>243</v>
      </c>
      <c r="D15" s="7">
        <v>0</v>
      </c>
      <c r="E15" s="7">
        <v>0.03</v>
      </c>
      <c r="F15" s="7">
        <v>0.05</v>
      </c>
      <c r="G15" s="7">
        <v>0.08</v>
      </c>
      <c r="H15" s="7">
        <v>0.1</v>
      </c>
      <c r="I15" s="7">
        <v>0.12</v>
      </c>
      <c r="J15" s="7">
        <v>0.14000000000000001</v>
      </c>
      <c r="K15" s="7">
        <v>0.16</v>
      </c>
      <c r="L15" s="7">
        <v>0.17</v>
      </c>
      <c r="M15" s="7">
        <v>0.18</v>
      </c>
    </row>
    <row r="16" spans="1:13" x14ac:dyDescent="0.2">
      <c r="C16" s="1" t="s">
        <v>207</v>
      </c>
      <c r="D16" s="18">
        <f>D15*D14</f>
        <v>0</v>
      </c>
      <c r="E16" s="18">
        <f t="shared" ref="E16:M16" si="1">E15*E14</f>
        <v>468</v>
      </c>
      <c r="F16" s="18">
        <f t="shared" si="1"/>
        <v>811.2</v>
      </c>
      <c r="G16" s="18">
        <f t="shared" si="1"/>
        <v>1349.8368</v>
      </c>
      <c r="H16" s="18">
        <f t="shared" si="1"/>
        <v>1754.7878400000002</v>
      </c>
      <c r="I16" s="18">
        <f t="shared" si="1"/>
        <v>2189.9752243200001</v>
      </c>
      <c r="J16" s="18">
        <f t="shared" si="1"/>
        <v>2657.1699388416005</v>
      </c>
      <c r="K16" s="18">
        <f t="shared" si="1"/>
        <v>3158.2362701660163</v>
      </c>
      <c r="L16" s="18">
        <f t="shared" si="1"/>
        <v>3489.8510785334483</v>
      </c>
      <c r="M16" s="18">
        <f t="shared" si="1"/>
        <v>3842.9418935380086</v>
      </c>
    </row>
    <row r="17" spans="3:13" x14ac:dyDescent="0.2">
      <c r="C17" s="1" t="s">
        <v>138</v>
      </c>
      <c r="D17" s="47">
        <v>50000</v>
      </c>
      <c r="E17" s="47">
        <v>75000</v>
      </c>
      <c r="F17" s="47">
        <v>75000</v>
      </c>
      <c r="G17" s="47">
        <v>75000</v>
      </c>
      <c r="H17" s="47">
        <v>75000</v>
      </c>
      <c r="I17" s="47">
        <v>75000</v>
      </c>
      <c r="J17" s="47">
        <v>75000</v>
      </c>
      <c r="K17" s="47">
        <v>75000</v>
      </c>
      <c r="L17" s="47">
        <v>75000</v>
      </c>
      <c r="M17" s="47">
        <v>75000</v>
      </c>
    </row>
    <row r="18" spans="3:13" s="15" customFormat="1" x14ac:dyDescent="0.2">
      <c r="C18" s="15" t="s">
        <v>244</v>
      </c>
      <c r="D18" s="48">
        <f>(D17*D16)/1000</f>
        <v>0</v>
      </c>
      <c r="E18" s="48">
        <f t="shared" ref="E18:M18" si="2">(E17*E16)/1000</f>
        <v>35100</v>
      </c>
      <c r="F18" s="48">
        <f t="shared" si="2"/>
        <v>60840</v>
      </c>
      <c r="G18" s="48">
        <f t="shared" si="2"/>
        <v>101237.75999999999</v>
      </c>
      <c r="H18" s="48">
        <f t="shared" si="2"/>
        <v>131609.08800000002</v>
      </c>
      <c r="I18" s="48">
        <f t="shared" si="2"/>
        <v>164248.14182399999</v>
      </c>
      <c r="J18" s="48">
        <f t="shared" si="2"/>
        <v>199287.74541312002</v>
      </c>
      <c r="K18" s="48">
        <f t="shared" si="2"/>
        <v>236867.72026245124</v>
      </c>
      <c r="L18" s="48">
        <f t="shared" si="2"/>
        <v>261738.83089000863</v>
      </c>
      <c r="M18" s="48">
        <f t="shared" si="2"/>
        <v>288220.64201535063</v>
      </c>
    </row>
    <row r="20" spans="3:13" x14ac:dyDescent="0.2">
      <c r="C20" s="34" t="s">
        <v>245</v>
      </c>
    </row>
    <row r="24" spans="3:13" x14ac:dyDescent="0.2">
      <c r="C24" s="34" t="s">
        <v>246</v>
      </c>
    </row>
    <row r="25" spans="3:13" x14ac:dyDescent="0.2">
      <c r="C25" s="1" t="s">
        <v>247</v>
      </c>
    </row>
    <row r="26" spans="3:13" x14ac:dyDescent="0.2">
      <c r="C26" s="1" t="s">
        <v>248</v>
      </c>
    </row>
    <row r="27" spans="3:13" x14ac:dyDescent="0.2">
      <c r="C27" s="1" t="s">
        <v>249</v>
      </c>
    </row>
    <row r="28" spans="3:13" x14ac:dyDescent="0.2">
      <c r="C28" s="1" t="s">
        <v>250</v>
      </c>
    </row>
    <row r="31" spans="3:13" x14ac:dyDescent="0.2">
      <c r="C31" s="34" t="s">
        <v>258</v>
      </c>
    </row>
    <row r="33" spans="2:13" x14ac:dyDescent="0.2">
      <c r="C33" s="34" t="s">
        <v>417</v>
      </c>
    </row>
    <row r="34" spans="2:13" x14ac:dyDescent="0.2">
      <c r="C34" s="34"/>
    </row>
    <row r="36" spans="2:13" x14ac:dyDescent="0.2">
      <c r="B36"/>
      <c r="C36"/>
      <c r="D36" s="37"/>
      <c r="E36"/>
      <c r="F36" t="s">
        <v>210</v>
      </c>
      <c r="G36"/>
      <c r="H36"/>
      <c r="I36"/>
      <c r="J36"/>
      <c r="K36"/>
      <c r="L36"/>
      <c r="M36"/>
    </row>
    <row r="37" spans="2:13" x14ac:dyDescent="0.2">
      <c r="B37"/>
      <c r="C37"/>
      <c r="D37" s="37"/>
      <c r="E37"/>
      <c r="F37" t="s">
        <v>211</v>
      </c>
      <c r="G37"/>
      <c r="H37"/>
      <c r="I37"/>
      <c r="J37"/>
      <c r="K37"/>
      <c r="L37"/>
      <c r="M37"/>
    </row>
    <row r="38" spans="2:13" x14ac:dyDescent="0.2">
      <c r="B38"/>
      <c r="C38"/>
      <c r="D38" s="37"/>
      <c r="E38"/>
      <c r="F38" t="s">
        <v>212</v>
      </c>
      <c r="G38"/>
      <c r="H38"/>
      <c r="I38"/>
      <c r="J38"/>
      <c r="K38"/>
      <c r="L38"/>
      <c r="M38"/>
    </row>
    <row r="39" spans="2:13" x14ac:dyDescent="0.2">
      <c r="B39"/>
      <c r="C39"/>
      <c r="D39" s="37"/>
      <c r="E39"/>
      <c r="F39"/>
      <c r="G39" s="38" t="s">
        <v>213</v>
      </c>
      <c r="H39"/>
      <c r="I39"/>
      <c r="J39"/>
      <c r="K39"/>
      <c r="L39"/>
      <c r="M39"/>
    </row>
    <row r="40" spans="2:13" x14ac:dyDescent="0.2">
      <c r="B40"/>
      <c r="C40"/>
      <c r="D40" s="37"/>
      <c r="E40"/>
      <c r="F40" t="s">
        <v>214</v>
      </c>
      <c r="G40"/>
      <c r="H40"/>
      <c r="I40"/>
      <c r="J40"/>
      <c r="K40"/>
      <c r="L40"/>
      <c r="M40"/>
    </row>
    <row r="41" spans="2:13" x14ac:dyDescent="0.2">
      <c r="B41"/>
      <c r="C41"/>
      <c r="D41" s="37"/>
      <c r="E41"/>
      <c r="F41" t="s">
        <v>215</v>
      </c>
      <c r="G41"/>
      <c r="H41"/>
      <c r="I41"/>
      <c r="J41"/>
      <c r="K41"/>
      <c r="L41"/>
      <c r="M41"/>
    </row>
    <row r="42" spans="2:13" x14ac:dyDescent="0.2">
      <c r="B42"/>
      <c r="C42"/>
      <c r="D42" s="37"/>
      <c r="E42" t="s">
        <v>216</v>
      </c>
      <c r="F42"/>
      <c r="G42"/>
      <c r="H42"/>
      <c r="I42"/>
      <c r="J42"/>
      <c r="K42"/>
      <c r="L42"/>
      <c r="M42"/>
    </row>
    <row r="43" spans="2:13" x14ac:dyDescent="0.2">
      <c r="B43"/>
      <c r="C43"/>
      <c r="D43" s="37"/>
      <c r="E43" t="s">
        <v>217</v>
      </c>
      <c r="F43"/>
      <c r="G43"/>
      <c r="H43"/>
      <c r="I43"/>
      <c r="J43"/>
      <c r="K43"/>
      <c r="L43"/>
      <c r="M43"/>
    </row>
    <row r="44" spans="2:13" x14ac:dyDescent="0.2">
      <c r="B44"/>
      <c r="C44"/>
      <c r="D44" s="37"/>
      <c r="E44"/>
      <c r="F44" t="s">
        <v>218</v>
      </c>
      <c r="G44"/>
      <c r="H44"/>
      <c r="I44"/>
      <c r="J44"/>
      <c r="K44"/>
      <c r="L44"/>
      <c r="M44"/>
    </row>
    <row r="45" spans="2:13" x14ac:dyDescent="0.2">
      <c r="B45"/>
      <c r="C45"/>
      <c r="D45" s="37"/>
      <c r="E45"/>
      <c r="F45" t="s">
        <v>219</v>
      </c>
      <c r="G45"/>
      <c r="H45"/>
      <c r="I45"/>
      <c r="J45"/>
      <c r="K45"/>
      <c r="L45"/>
      <c r="M45"/>
    </row>
    <row r="46" spans="2:13" x14ac:dyDescent="0.2">
      <c r="B46"/>
      <c r="C46"/>
      <c r="D46"/>
      <c r="E46"/>
      <c r="F46"/>
      <c r="G46"/>
      <c r="H46"/>
      <c r="I46"/>
      <c r="J46"/>
      <c r="K46"/>
      <c r="L46"/>
      <c r="M46"/>
    </row>
    <row r="47" spans="2:13" x14ac:dyDescent="0.2">
      <c r="B47"/>
      <c r="C47"/>
      <c r="D47"/>
      <c r="E47"/>
      <c r="F47"/>
      <c r="G47"/>
      <c r="H47"/>
      <c r="I47"/>
      <c r="J47"/>
      <c r="K47"/>
      <c r="L47"/>
      <c r="M47"/>
    </row>
    <row r="48" spans="2:13" x14ac:dyDescent="0.2">
      <c r="B48"/>
      <c r="C48"/>
      <c r="D48"/>
      <c r="E48"/>
      <c r="F48"/>
      <c r="G48"/>
      <c r="H48"/>
      <c r="I48"/>
      <c r="J48"/>
      <c r="K48"/>
      <c r="L48"/>
      <c r="M48"/>
    </row>
  </sheetData>
  <phoneticPr fontId="3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9</v>
      </c>
    </row>
    <row r="3" spans="1:3" x14ac:dyDescent="0.2">
      <c r="B3" s="1" t="s">
        <v>141</v>
      </c>
      <c r="C3" s="1" t="s">
        <v>150</v>
      </c>
    </row>
    <row r="4" spans="1:3" x14ac:dyDescent="0.2">
      <c r="B4" s="1" t="s">
        <v>1</v>
      </c>
      <c r="C4" s="1" t="s">
        <v>280</v>
      </c>
    </row>
    <row r="5" spans="1:3" x14ac:dyDescent="0.2">
      <c r="B5" s="1" t="s">
        <v>3</v>
      </c>
      <c r="C5" s="1" t="s">
        <v>281</v>
      </c>
    </row>
    <row r="6" spans="1:3" x14ac:dyDescent="0.2">
      <c r="B6" s="1" t="s">
        <v>151</v>
      </c>
      <c r="C6" s="1" t="s">
        <v>152</v>
      </c>
    </row>
    <row r="7" spans="1:3" x14ac:dyDescent="0.2">
      <c r="B7" s="1" t="s">
        <v>138</v>
      </c>
      <c r="C7" s="1" t="s">
        <v>351</v>
      </c>
    </row>
    <row r="8" spans="1:3" x14ac:dyDescent="0.2">
      <c r="B8" s="1" t="s">
        <v>142</v>
      </c>
    </row>
    <row r="9" spans="1:3" x14ac:dyDescent="0.2">
      <c r="C9" s="34" t="s">
        <v>278</v>
      </c>
    </row>
    <row r="12" spans="1:3" x14ac:dyDescent="0.2">
      <c r="B12" s="1" t="s">
        <v>279</v>
      </c>
    </row>
    <row r="13" spans="1:3" x14ac:dyDescent="0.2">
      <c r="C13" s="1" t="s">
        <v>223</v>
      </c>
    </row>
    <row r="14" spans="1:3" x14ac:dyDescent="0.2">
      <c r="B14" s="42">
        <v>39094</v>
      </c>
      <c r="C14" s="1">
        <v>3333</v>
      </c>
    </row>
    <row r="15" spans="1:3" x14ac:dyDescent="0.2">
      <c r="B15" s="42">
        <v>39087</v>
      </c>
      <c r="C15" s="1">
        <v>3130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9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5" x14ac:dyDescent="0.2">
      <c r="A1" s="33" t="s">
        <v>139</v>
      </c>
    </row>
    <row r="2" spans="1:5" x14ac:dyDescent="0.2">
      <c r="B2" t="s">
        <v>82</v>
      </c>
    </row>
    <row r="3" spans="1:5" x14ac:dyDescent="0.2">
      <c r="C3" t="s">
        <v>83</v>
      </c>
    </row>
    <row r="4" spans="1:5" x14ac:dyDescent="0.2">
      <c r="C4" t="s">
        <v>84</v>
      </c>
    </row>
    <row r="5" spans="1:5" x14ac:dyDescent="0.2">
      <c r="C5" t="s">
        <v>79</v>
      </c>
    </row>
    <row r="6" spans="1:5" x14ac:dyDescent="0.2">
      <c r="D6" t="s">
        <v>81</v>
      </c>
    </row>
    <row r="7" spans="1:5" x14ac:dyDescent="0.2">
      <c r="D7" t="s">
        <v>85</v>
      </c>
    </row>
    <row r="8" spans="1:5" x14ac:dyDescent="0.2">
      <c r="E8" t="s">
        <v>86</v>
      </c>
    </row>
    <row r="9" spans="1:5" x14ac:dyDescent="0.2">
      <c r="E9" t="s">
        <v>87</v>
      </c>
    </row>
    <row r="11" spans="1:5" x14ac:dyDescent="0.2">
      <c r="B11" s="14" t="s">
        <v>366</v>
      </c>
    </row>
    <row r="12" spans="1:5" x14ac:dyDescent="0.2">
      <c r="C12" s="14" t="s">
        <v>365</v>
      </c>
    </row>
    <row r="13" spans="1:5" x14ac:dyDescent="0.2">
      <c r="C13" t="s">
        <v>361</v>
      </c>
    </row>
    <row r="14" spans="1:5" x14ac:dyDescent="0.2">
      <c r="C14" t="s">
        <v>405</v>
      </c>
    </row>
    <row r="16" spans="1:5" x14ac:dyDescent="0.2">
      <c r="B16" t="s">
        <v>137</v>
      </c>
    </row>
    <row r="17" spans="2:6" x14ac:dyDescent="0.2">
      <c r="B17" s="13" t="s">
        <v>71</v>
      </c>
      <c r="F17" t="s">
        <v>92</v>
      </c>
    </row>
    <row r="18" spans="2:6" s="31" customFormat="1" x14ac:dyDescent="0.2">
      <c r="B18" s="31" t="s">
        <v>121</v>
      </c>
    </row>
    <row r="19" spans="2:6" x14ac:dyDescent="0.2">
      <c r="B19" t="s">
        <v>99</v>
      </c>
      <c r="C19" t="s">
        <v>96</v>
      </c>
    </row>
    <row r="20" spans="2:6" x14ac:dyDescent="0.2">
      <c r="B20" t="s">
        <v>43</v>
      </c>
      <c r="C20" t="s">
        <v>354</v>
      </c>
    </row>
    <row r="21" spans="2:6" x14ac:dyDescent="0.2">
      <c r="D21" t="s">
        <v>117</v>
      </c>
    </row>
    <row r="22" spans="2:6" x14ac:dyDescent="0.2">
      <c r="D22" t="s">
        <v>97</v>
      </c>
    </row>
    <row r="23" spans="2:6" x14ac:dyDescent="0.2">
      <c r="D23" t="s">
        <v>98</v>
      </c>
    </row>
    <row r="24" spans="2:6" x14ac:dyDescent="0.2">
      <c r="B24" t="s">
        <v>44</v>
      </c>
      <c r="C24" t="s">
        <v>111</v>
      </c>
    </row>
    <row r="25" spans="2:6" x14ac:dyDescent="0.2">
      <c r="B25" t="s">
        <v>115</v>
      </c>
      <c r="C25" t="s">
        <v>114</v>
      </c>
    </row>
    <row r="26" spans="2:6" x14ac:dyDescent="0.2">
      <c r="D26" t="s">
        <v>116</v>
      </c>
    </row>
    <row r="27" spans="2:6" x14ac:dyDescent="0.2">
      <c r="B27" t="s">
        <v>44</v>
      </c>
      <c r="C27" t="s">
        <v>118</v>
      </c>
    </row>
    <row r="28" spans="2:6" x14ac:dyDescent="0.2">
      <c r="B28" t="s">
        <v>43</v>
      </c>
      <c r="C28" t="s">
        <v>119</v>
      </c>
    </row>
    <row r="29" spans="2:6" x14ac:dyDescent="0.2">
      <c r="B29" t="s">
        <v>42</v>
      </c>
      <c r="C29" t="s">
        <v>120</v>
      </c>
    </row>
    <row r="31" spans="2:6" x14ac:dyDescent="0.2">
      <c r="B31" s="31" t="s">
        <v>122</v>
      </c>
    </row>
    <row r="32" spans="2:6" x14ac:dyDescent="0.2">
      <c r="B32" t="s">
        <v>42</v>
      </c>
      <c r="C32" t="s">
        <v>123</v>
      </c>
    </row>
    <row r="34" spans="2:3" x14ac:dyDescent="0.2">
      <c r="C34" s="31" t="s">
        <v>124</v>
      </c>
    </row>
    <row r="35" spans="2:3" x14ac:dyDescent="0.2">
      <c r="B35" t="s">
        <v>126</v>
      </c>
      <c r="C35" s="14" t="s">
        <v>125</v>
      </c>
    </row>
    <row r="36" spans="2:3" x14ac:dyDescent="0.2">
      <c r="B36" t="s">
        <v>44</v>
      </c>
      <c r="C36" s="14" t="s">
        <v>127</v>
      </c>
    </row>
    <row r="37" spans="2:3" x14ac:dyDescent="0.2">
      <c r="B37" t="s">
        <v>129</v>
      </c>
      <c r="C37" s="14" t="s">
        <v>128</v>
      </c>
    </row>
    <row r="38" spans="2:3" x14ac:dyDescent="0.2">
      <c r="B38" s="31"/>
    </row>
    <row r="39" spans="2:3" x14ac:dyDescent="0.2">
      <c r="B39" s="13" t="s">
        <v>69</v>
      </c>
    </row>
    <row r="40" spans="2:3" x14ac:dyDescent="0.2">
      <c r="C40" t="s">
        <v>70</v>
      </c>
    </row>
    <row r="41" spans="2:3" x14ac:dyDescent="0.2">
      <c r="C41" t="s">
        <v>90</v>
      </c>
    </row>
    <row r="43" spans="2:3" x14ac:dyDescent="0.2">
      <c r="B43" t="s">
        <v>115</v>
      </c>
      <c r="C43" t="s">
        <v>72</v>
      </c>
    </row>
    <row r="44" spans="2:3" x14ac:dyDescent="0.2">
      <c r="B44" t="s">
        <v>101</v>
      </c>
      <c r="C44" t="s">
        <v>73</v>
      </c>
    </row>
    <row r="45" spans="2:3" x14ac:dyDescent="0.2">
      <c r="B45" t="s">
        <v>14</v>
      </c>
      <c r="C45" t="s">
        <v>74</v>
      </c>
    </row>
    <row r="46" spans="2:3" x14ac:dyDescent="0.2">
      <c r="B46" t="s">
        <v>129</v>
      </c>
      <c r="C46" t="s">
        <v>75</v>
      </c>
    </row>
    <row r="47" spans="2:3" x14ac:dyDescent="0.2">
      <c r="B47" t="s">
        <v>43</v>
      </c>
      <c r="C47" t="s">
        <v>76</v>
      </c>
    </row>
    <row r="48" spans="2:3" x14ac:dyDescent="0.2">
      <c r="B48" t="s">
        <v>101</v>
      </c>
      <c r="C48" t="s">
        <v>77</v>
      </c>
    </row>
    <row r="49" spans="2:4" x14ac:dyDescent="0.2">
      <c r="B49" t="s">
        <v>44</v>
      </c>
      <c r="C49" t="s">
        <v>78</v>
      </c>
    </row>
    <row r="51" spans="2:4" x14ac:dyDescent="0.2">
      <c r="B51" s="13" t="s">
        <v>80</v>
      </c>
    </row>
    <row r="52" spans="2:4" x14ac:dyDescent="0.2">
      <c r="B52" s="13"/>
      <c r="C52" t="s">
        <v>93</v>
      </c>
    </row>
    <row r="53" spans="2:4" s="14" customFormat="1" x14ac:dyDescent="0.2">
      <c r="B53" s="14" t="s">
        <v>89</v>
      </c>
    </row>
    <row r="54" spans="2:4" s="14" customFormat="1" x14ac:dyDescent="0.2"/>
    <row r="55" spans="2:4" x14ac:dyDescent="0.2">
      <c r="B55" s="13" t="s">
        <v>88</v>
      </c>
    </row>
    <row r="56" spans="2:4" x14ac:dyDescent="0.2">
      <c r="C56" s="14" t="s">
        <v>91</v>
      </c>
    </row>
    <row r="57" spans="2:4" s="14" customFormat="1" x14ac:dyDescent="0.2">
      <c r="B57" s="14" t="s">
        <v>41</v>
      </c>
    </row>
    <row r="58" spans="2:4" s="14" customFormat="1" x14ac:dyDescent="0.2">
      <c r="B58" s="14" t="s">
        <v>130</v>
      </c>
    </row>
    <row r="59" spans="2:4" s="14" customFormat="1" x14ac:dyDescent="0.2"/>
    <row r="60" spans="2:4" s="14" customFormat="1" x14ac:dyDescent="0.2">
      <c r="B60" s="13" t="s">
        <v>131</v>
      </c>
    </row>
    <row r="61" spans="2:4" s="14" customFormat="1" x14ac:dyDescent="0.2">
      <c r="B61" s="14" t="s">
        <v>132</v>
      </c>
    </row>
    <row r="62" spans="2:4" s="14" customFormat="1" x14ac:dyDescent="0.2"/>
    <row r="63" spans="2:4" s="14" customFormat="1" x14ac:dyDescent="0.2">
      <c r="B63" s="13" t="s">
        <v>133</v>
      </c>
    </row>
    <row r="64" spans="2:4" s="14" customFormat="1" x14ac:dyDescent="0.2">
      <c r="B64" s="14" t="s">
        <v>134</v>
      </c>
      <c r="C64" s="14" t="s">
        <v>44</v>
      </c>
      <c r="D64" s="14" t="s">
        <v>135</v>
      </c>
    </row>
    <row r="65" spans="2:4" s="14" customFormat="1" x14ac:dyDescent="0.2"/>
    <row r="66" spans="2:4" s="14" customFormat="1" x14ac:dyDescent="0.2">
      <c r="B66" s="13" t="s">
        <v>136</v>
      </c>
    </row>
    <row r="67" spans="2:4" s="14" customFormat="1" x14ac:dyDescent="0.2"/>
    <row r="68" spans="2:4" s="14" customFormat="1" x14ac:dyDescent="0.2"/>
    <row r="69" spans="2:4" s="14" customFormat="1" x14ac:dyDescent="0.2">
      <c r="B69" s="13" t="s">
        <v>71</v>
      </c>
    </row>
    <row r="70" spans="2:4" x14ac:dyDescent="0.2">
      <c r="B70" t="s">
        <v>39</v>
      </c>
      <c r="C70" t="s">
        <v>43</v>
      </c>
      <c r="D70" t="s">
        <v>109</v>
      </c>
    </row>
    <row r="71" spans="2:4" x14ac:dyDescent="0.2">
      <c r="C71" t="s">
        <v>99</v>
      </c>
      <c r="D71" t="s">
        <v>109</v>
      </c>
    </row>
    <row r="72" spans="2:4" x14ac:dyDescent="0.2">
      <c r="B72" t="s">
        <v>38</v>
      </c>
      <c r="C72" t="s">
        <v>43</v>
      </c>
      <c r="D72" t="s">
        <v>110</v>
      </c>
    </row>
    <row r="73" spans="2:4" x14ac:dyDescent="0.2">
      <c r="B73" t="s">
        <v>40</v>
      </c>
      <c r="C73" t="s">
        <v>44</v>
      </c>
      <c r="D73" t="s">
        <v>113</v>
      </c>
    </row>
    <row r="77" spans="2:4" s="14" customFormat="1" x14ac:dyDescent="0.2">
      <c r="B77" s="13" t="s">
        <v>108</v>
      </c>
    </row>
    <row r="78" spans="2:4" s="14" customFormat="1" x14ac:dyDescent="0.2">
      <c r="B78" s="14" t="s">
        <v>104</v>
      </c>
      <c r="C78" s="14" t="s">
        <v>102</v>
      </c>
      <c r="D78" s="14" t="s">
        <v>103</v>
      </c>
    </row>
    <row r="79" spans="2:4" s="14" customFormat="1" x14ac:dyDescent="0.2">
      <c r="B79" s="14" t="s">
        <v>32</v>
      </c>
      <c r="C79" s="14" t="s">
        <v>43</v>
      </c>
      <c r="D79" t="s">
        <v>94</v>
      </c>
    </row>
    <row r="80" spans="2:4" s="14" customFormat="1" x14ac:dyDescent="0.2">
      <c r="B80" s="14" t="s">
        <v>36</v>
      </c>
      <c r="C80" s="14" t="s">
        <v>43</v>
      </c>
      <c r="D80" s="14" t="s">
        <v>95</v>
      </c>
    </row>
    <row r="81" spans="2:4" x14ac:dyDescent="0.2">
      <c r="B81" s="14" t="s">
        <v>100</v>
      </c>
      <c r="C81" t="s">
        <v>101</v>
      </c>
      <c r="D81" s="14" t="s">
        <v>105</v>
      </c>
    </row>
    <row r="82" spans="2:4" x14ac:dyDescent="0.2">
      <c r="B82" s="14" t="s">
        <v>37</v>
      </c>
      <c r="C82" t="s">
        <v>43</v>
      </c>
      <c r="D82" s="14" t="s">
        <v>106</v>
      </c>
    </row>
    <row r="83" spans="2:4" x14ac:dyDescent="0.2">
      <c r="B83" s="14" t="s">
        <v>353</v>
      </c>
      <c r="C83" t="s">
        <v>43</v>
      </c>
      <c r="D83" s="14"/>
    </row>
    <row r="84" spans="2:4" x14ac:dyDescent="0.2">
      <c r="B84" s="14" t="s">
        <v>5</v>
      </c>
      <c r="C84" t="s">
        <v>42</v>
      </c>
      <c r="D84" s="14" t="s">
        <v>107</v>
      </c>
    </row>
    <row r="85" spans="2:4" x14ac:dyDescent="0.2">
      <c r="B85" s="14" t="s">
        <v>45</v>
      </c>
      <c r="C85" t="s">
        <v>42</v>
      </c>
      <c r="D85" s="14" t="s">
        <v>112</v>
      </c>
    </row>
    <row r="88" spans="2:4" x14ac:dyDescent="0.2">
      <c r="B88" t="s">
        <v>356</v>
      </c>
    </row>
    <row r="89" spans="2:4" x14ac:dyDescent="0.2">
      <c r="B89" t="s">
        <v>357</v>
      </c>
    </row>
  </sheetData>
  <customSheetViews>
    <customSheetView guid="{242E8787-30C2-4AAB-B25A-4ABD2B9A9CA6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  <customSheetView guid="{4186580B-64C2-4B0C-BB3D-D214EFB8989E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</customSheetViews>
  <phoneticPr fontId="3" type="noConversion"/>
  <hyperlinks>
    <hyperlink ref="A1" location="Main!A1" display="Main" xr:uid="{00000000-0004-0000-0F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406</v>
      </c>
    </row>
    <row r="3" spans="1:3" x14ac:dyDescent="0.2">
      <c r="B3" s="1" t="s">
        <v>57</v>
      </c>
      <c r="C3" s="1" t="s">
        <v>407</v>
      </c>
    </row>
    <row r="4" spans="1:3" x14ac:dyDescent="0.2">
      <c r="B4" s="1" t="s">
        <v>1</v>
      </c>
      <c r="C4" s="1" t="s">
        <v>6</v>
      </c>
    </row>
    <row r="5" spans="1:3" x14ac:dyDescent="0.2">
      <c r="B5" s="1" t="s">
        <v>3</v>
      </c>
      <c r="C5" s="1" t="s">
        <v>161</v>
      </c>
    </row>
    <row r="6" spans="1:3" x14ac:dyDescent="0.2">
      <c r="B6" s="1" t="s">
        <v>233</v>
      </c>
      <c r="C6" s="1" t="s">
        <v>234</v>
      </c>
    </row>
    <row r="7" spans="1:3" x14ac:dyDescent="0.2">
      <c r="B7" s="16" t="s">
        <v>377</v>
      </c>
      <c r="C7" s="16" t="s">
        <v>378</v>
      </c>
    </row>
    <row r="8" spans="1:3" x14ac:dyDescent="0.2">
      <c r="B8" s="16" t="s">
        <v>253</v>
      </c>
      <c r="C8" s="16" t="s">
        <v>408</v>
      </c>
    </row>
    <row r="9" spans="1:3" x14ac:dyDescent="0.2">
      <c r="B9" s="1" t="s">
        <v>142</v>
      </c>
    </row>
    <row r="10" spans="1:3" x14ac:dyDescent="0.2">
      <c r="C10" s="34" t="s">
        <v>313</v>
      </c>
    </row>
    <row r="11" spans="1:3" x14ac:dyDescent="0.2">
      <c r="C11" s="16" t="s">
        <v>312</v>
      </c>
    </row>
    <row r="12" spans="1:3" x14ac:dyDescent="0.2">
      <c r="C12" s="16"/>
    </row>
    <row r="14" spans="1:3" x14ac:dyDescent="0.2">
      <c r="C14" s="34" t="s">
        <v>236</v>
      </c>
    </row>
    <row r="15" spans="1:3" x14ac:dyDescent="0.2">
      <c r="C15" s="16" t="s">
        <v>237</v>
      </c>
    </row>
    <row r="16" spans="1:3" x14ac:dyDescent="0.2">
      <c r="C16" s="1" t="s">
        <v>156</v>
      </c>
    </row>
    <row r="17" spans="3:3" x14ac:dyDescent="0.2">
      <c r="C17" s="1" t="s">
        <v>232</v>
      </c>
    </row>
    <row r="18" spans="3:3" x14ac:dyDescent="0.2">
      <c r="C18" s="15" t="s">
        <v>238</v>
      </c>
    </row>
    <row r="19" spans="3:3" x14ac:dyDescent="0.2">
      <c r="C19" s="1" t="s">
        <v>235</v>
      </c>
    </row>
    <row r="22" spans="3:3" x14ac:dyDescent="0.2">
      <c r="C22" s="34" t="s">
        <v>184</v>
      </c>
    </row>
    <row r="23" spans="3:3" x14ac:dyDescent="0.2">
      <c r="C23" s="1" t="s">
        <v>183</v>
      </c>
    </row>
    <row r="25" spans="3:3" x14ac:dyDescent="0.2">
      <c r="C25" s="34" t="s">
        <v>179</v>
      </c>
    </row>
    <row r="26" spans="3:3" x14ac:dyDescent="0.2">
      <c r="C26" s="1" t="s">
        <v>180</v>
      </c>
    </row>
    <row r="27" spans="3:3" x14ac:dyDescent="0.2">
      <c r="C27" s="1" t="s">
        <v>181</v>
      </c>
    </row>
    <row r="28" spans="3:3" x14ac:dyDescent="0.2">
      <c r="C28" s="20" t="s">
        <v>182</v>
      </c>
    </row>
    <row r="30" spans="3:3" x14ac:dyDescent="0.2">
      <c r="C30" s="34" t="s">
        <v>185</v>
      </c>
    </row>
    <row r="31" spans="3:3" x14ac:dyDescent="0.2">
      <c r="C31" s="1" t="s">
        <v>186</v>
      </c>
    </row>
    <row r="33" spans="3:3" x14ac:dyDescent="0.2">
      <c r="C33" s="1" t="s">
        <v>157</v>
      </c>
    </row>
    <row r="34" spans="3:3" x14ac:dyDescent="0.2">
      <c r="C34" s="1" t="s">
        <v>159</v>
      </c>
    </row>
    <row r="35" spans="3:3" x14ac:dyDescent="0.2">
      <c r="C35" s="1" t="s">
        <v>158</v>
      </c>
    </row>
    <row r="36" spans="3:3" x14ac:dyDescent="0.2">
      <c r="C36" s="1" t="s">
        <v>160</v>
      </c>
    </row>
  </sheetData>
  <customSheetViews>
    <customSheetView guid="{242E8787-30C2-4AAB-B25A-4ABD2B9A9CA6}" showRuler="0">
      <selection activeCell="B3" sqref="B3"/>
      <pageMargins left="0.75" right="0.75" top="1" bottom="1" header="0.5" footer="0.5"/>
      <headerFooter alignWithMargins="0"/>
    </customSheetView>
    <customSheetView guid="{4186580B-64C2-4B0C-BB3D-D214EFB8989E}" showRuler="0">
      <selection activeCell="B3" sqref="B3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workbookViewId="0">
      <selection activeCell="C11" sqref="C11"/>
    </sheetView>
  </sheetViews>
  <sheetFormatPr defaultColWidth="9.140625" defaultRowHeight="12.75" x14ac:dyDescent="0.2"/>
  <cols>
    <col min="1" max="1" width="5" style="1" bestFit="1" customWidth="1"/>
    <col min="2" max="2" width="11.4257812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54</v>
      </c>
    </row>
    <row r="3" spans="1:3" x14ac:dyDescent="0.2">
      <c r="B3" s="1" t="s">
        <v>53</v>
      </c>
      <c r="C3" s="1" t="s">
        <v>52</v>
      </c>
    </row>
    <row r="4" spans="1:3" x14ac:dyDescent="0.2">
      <c r="B4" s="1" t="s">
        <v>55</v>
      </c>
      <c r="C4" s="1" t="s">
        <v>56</v>
      </c>
    </row>
    <row r="5" spans="1:3" x14ac:dyDescent="0.2">
      <c r="B5" s="1" t="s">
        <v>57</v>
      </c>
      <c r="C5" s="1" t="s">
        <v>64</v>
      </c>
    </row>
    <row r="6" spans="1:3" x14ac:dyDescent="0.2">
      <c r="B6" s="1" t="s">
        <v>58</v>
      </c>
      <c r="C6" s="1" t="s">
        <v>59</v>
      </c>
    </row>
    <row r="7" spans="1:3" x14ac:dyDescent="0.2">
      <c r="B7" s="1" t="s">
        <v>61</v>
      </c>
      <c r="C7" s="1" t="s">
        <v>62</v>
      </c>
    </row>
    <row r="8" spans="1:3" x14ac:dyDescent="0.2">
      <c r="B8" s="1" t="s">
        <v>60</v>
      </c>
      <c r="C8" s="1" t="s">
        <v>63</v>
      </c>
    </row>
    <row r="9" spans="1:3" x14ac:dyDescent="0.2">
      <c r="B9" s="1" t="s">
        <v>3</v>
      </c>
      <c r="C9" s="1" t="s">
        <v>65</v>
      </c>
    </row>
    <row r="10" spans="1:3" x14ac:dyDescent="0.2">
      <c r="B10" s="1" t="s">
        <v>142</v>
      </c>
      <c r="C10" s="1" t="s">
        <v>162</v>
      </c>
    </row>
  </sheetData>
  <customSheetViews>
    <customSheetView guid="{242E8787-30C2-4AAB-B25A-4ABD2B9A9CA6}" showRuler="0">
      <selection activeCell="B10" sqref="B10"/>
      <pageMargins left="0.75" right="0.75" top="1" bottom="1" header="0.5" footer="0.5"/>
      <headerFooter alignWithMargins="0"/>
    </customSheetView>
    <customSheetView guid="{4186580B-64C2-4B0C-BB3D-D214EFB8989E}" showRuler="0">
      <selection activeCell="B10" sqref="B10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267</v>
      </c>
    </row>
    <row r="3" spans="1:3" x14ac:dyDescent="0.2">
      <c r="B3" s="1" t="s">
        <v>1</v>
      </c>
      <c r="C3" s="1" t="s">
        <v>56</v>
      </c>
    </row>
    <row r="4" spans="1:3" x14ac:dyDescent="0.2">
      <c r="B4" s="1" t="s">
        <v>57</v>
      </c>
      <c r="C4" s="1" t="s">
        <v>286</v>
      </c>
    </row>
    <row r="5" spans="1:3" x14ac:dyDescent="0.2">
      <c r="B5" s="1" t="s">
        <v>256</v>
      </c>
      <c r="C5" s="1" t="s">
        <v>285</v>
      </c>
    </row>
    <row r="6" spans="1:3" x14ac:dyDescent="0.2">
      <c r="B6" s="1" t="s">
        <v>142</v>
      </c>
    </row>
    <row r="7" spans="1:3" x14ac:dyDescent="0.2">
      <c r="C7" s="34" t="s">
        <v>311</v>
      </c>
    </row>
    <row r="8" spans="1:3" x14ac:dyDescent="0.2">
      <c r="C8" s="1" t="s">
        <v>334</v>
      </c>
    </row>
    <row r="10" spans="1:3" x14ac:dyDescent="0.2">
      <c r="C10" s="34" t="s">
        <v>309</v>
      </c>
    </row>
    <row r="11" spans="1:3" x14ac:dyDescent="0.2">
      <c r="C11" s="1" t="s">
        <v>310</v>
      </c>
    </row>
    <row r="14" spans="1:3" x14ac:dyDescent="0.2">
      <c r="B14" s="92" t="s">
        <v>491</v>
      </c>
    </row>
    <row r="15" spans="1:3" x14ac:dyDescent="0.2">
      <c r="B15" s="92" t="s">
        <v>492</v>
      </c>
    </row>
    <row r="16" spans="1:3" x14ac:dyDescent="0.2">
      <c r="B16" s="92" t="s">
        <v>493</v>
      </c>
    </row>
    <row r="17" spans="2:2" x14ac:dyDescent="0.2">
      <c r="B17" s="92" t="s">
        <v>494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0"/>
  <sheetViews>
    <sheetView workbookViewId="0">
      <selection activeCell="D7" sqref="D7"/>
    </sheetView>
  </sheetViews>
  <sheetFormatPr defaultColWidth="9.140625" defaultRowHeight="12.75" x14ac:dyDescent="0.2"/>
  <cols>
    <col min="1" max="1" width="5" style="109" bestFit="1" customWidth="1"/>
    <col min="2" max="2" width="12.28515625" style="109" bestFit="1" customWidth="1"/>
    <col min="3" max="16384" width="9.140625" style="109"/>
  </cols>
  <sheetData>
    <row r="1" spans="1:4" x14ac:dyDescent="0.2">
      <c r="A1" s="112" t="s">
        <v>139</v>
      </c>
    </row>
    <row r="2" spans="1:4" x14ac:dyDescent="0.2">
      <c r="A2" s="112"/>
      <c r="B2" s="109" t="s">
        <v>140</v>
      </c>
      <c r="C2" s="109" t="s">
        <v>569</v>
      </c>
    </row>
    <row r="3" spans="1:4" x14ac:dyDescent="0.2">
      <c r="A3" s="112"/>
      <c r="B3" s="109" t="s">
        <v>141</v>
      </c>
      <c r="C3" s="109" t="s">
        <v>570</v>
      </c>
    </row>
    <row r="4" spans="1:4" x14ac:dyDescent="0.2">
      <c r="A4" s="112"/>
      <c r="B4" s="111" t="s">
        <v>549</v>
      </c>
      <c r="C4" s="111" t="s">
        <v>548</v>
      </c>
    </row>
    <row r="5" spans="1:4" x14ac:dyDescent="0.2">
      <c r="B5" s="109" t="s">
        <v>142</v>
      </c>
    </row>
    <row r="6" spans="1:4" x14ac:dyDescent="0.2">
      <c r="C6" s="110" t="s">
        <v>545</v>
      </c>
    </row>
    <row r="7" spans="1:4" x14ac:dyDescent="0.2">
      <c r="C7" s="111" t="s">
        <v>546</v>
      </c>
    </row>
    <row r="8" spans="1:4" x14ac:dyDescent="0.2">
      <c r="C8" s="111" t="s">
        <v>553</v>
      </c>
    </row>
    <row r="9" spans="1:4" x14ac:dyDescent="0.2">
      <c r="C9" s="111"/>
    </row>
    <row r="10" spans="1:4" x14ac:dyDescent="0.2">
      <c r="C10" s="111" t="s">
        <v>550</v>
      </c>
    </row>
    <row r="11" spans="1:4" x14ac:dyDescent="0.2">
      <c r="C11" s="111"/>
      <c r="D11" s="111" t="s">
        <v>557</v>
      </c>
    </row>
    <row r="12" spans="1:4" x14ac:dyDescent="0.2">
      <c r="C12" s="111"/>
      <c r="D12" s="111" t="s">
        <v>555</v>
      </c>
    </row>
    <row r="13" spans="1:4" x14ac:dyDescent="0.2">
      <c r="C13" s="111"/>
      <c r="D13" s="111" t="s">
        <v>556</v>
      </c>
    </row>
    <row r="14" spans="1:4" x14ac:dyDescent="0.2">
      <c r="C14" s="111"/>
      <c r="D14" s="111" t="s">
        <v>558</v>
      </c>
    </row>
    <row r="15" spans="1:4" x14ac:dyDescent="0.2">
      <c r="C15" s="111"/>
      <c r="D15" s="111" t="s">
        <v>559</v>
      </c>
    </row>
    <row r="16" spans="1:4" x14ac:dyDescent="0.2">
      <c r="C16" s="111" t="s">
        <v>554</v>
      </c>
    </row>
    <row r="17" spans="3:5" x14ac:dyDescent="0.2">
      <c r="C17" s="111"/>
      <c r="D17" s="111" t="s">
        <v>516</v>
      </c>
      <c r="E17" s="111" t="s">
        <v>517</v>
      </c>
    </row>
    <row r="18" spans="3:5" x14ac:dyDescent="0.2">
      <c r="C18" s="111"/>
      <c r="E18" s="111" t="s">
        <v>518</v>
      </c>
    </row>
    <row r="19" spans="3:5" x14ac:dyDescent="0.2">
      <c r="C19" s="111"/>
      <c r="D19" s="111" t="s">
        <v>557</v>
      </c>
      <c r="E19" s="111"/>
    </row>
    <row r="20" spans="3:5" x14ac:dyDescent="0.2">
      <c r="C20" s="111"/>
      <c r="D20" s="111" t="s">
        <v>560</v>
      </c>
      <c r="E20" s="111"/>
    </row>
    <row r="21" spans="3:5" x14ac:dyDescent="0.2">
      <c r="C21" s="111"/>
      <c r="D21" s="111" t="s">
        <v>561</v>
      </c>
      <c r="E21" s="111"/>
    </row>
    <row r="22" spans="3:5" x14ac:dyDescent="0.2">
      <c r="C22" s="111" t="s">
        <v>551</v>
      </c>
    </row>
    <row r="23" spans="3:5" x14ac:dyDescent="0.2">
      <c r="C23" s="111" t="s">
        <v>552</v>
      </c>
    </row>
    <row r="24" spans="3:5" x14ac:dyDescent="0.2">
      <c r="C24" s="111"/>
      <c r="D24" s="111" t="s">
        <v>562</v>
      </c>
    </row>
    <row r="25" spans="3:5" x14ac:dyDescent="0.2">
      <c r="C25" s="111"/>
      <c r="D25" s="111" t="s">
        <v>547</v>
      </c>
    </row>
    <row r="26" spans="3:5" x14ac:dyDescent="0.2">
      <c r="C26" s="111"/>
    </row>
    <row r="29" spans="3:5" x14ac:dyDescent="0.2">
      <c r="D29" s="111"/>
    </row>
    <row r="31" spans="3:5" x14ac:dyDescent="0.2">
      <c r="D31" s="111"/>
    </row>
    <row r="32" spans="3:5" x14ac:dyDescent="0.2">
      <c r="C32" s="110" t="s">
        <v>519</v>
      </c>
    </row>
    <row r="33" spans="3:4" x14ac:dyDescent="0.2">
      <c r="C33" s="110"/>
    </row>
    <row r="34" spans="3:4" x14ac:dyDescent="0.2">
      <c r="C34" s="111" t="s">
        <v>521</v>
      </c>
    </row>
    <row r="35" spans="3:4" x14ac:dyDescent="0.2">
      <c r="D35" s="111" t="s">
        <v>520</v>
      </c>
    </row>
    <row r="36" spans="3:4" x14ac:dyDescent="0.2">
      <c r="D36" s="113" t="s">
        <v>527</v>
      </c>
    </row>
    <row r="37" spans="3:4" x14ac:dyDescent="0.2">
      <c r="D37" s="113" t="s">
        <v>528</v>
      </c>
    </row>
    <row r="38" spans="3:4" x14ac:dyDescent="0.2">
      <c r="D38" s="114" t="s">
        <v>523</v>
      </c>
    </row>
    <row r="39" spans="3:4" x14ac:dyDescent="0.2">
      <c r="D39" s="113" t="s">
        <v>529</v>
      </c>
    </row>
    <row r="40" spans="3:4" x14ac:dyDescent="0.2">
      <c r="C40" s="111" t="s">
        <v>522</v>
      </c>
    </row>
    <row r="41" spans="3:4" x14ac:dyDescent="0.2">
      <c r="C41" s="111" t="s">
        <v>524</v>
      </c>
    </row>
    <row r="42" spans="3:4" x14ac:dyDescent="0.2">
      <c r="C42" s="111" t="s">
        <v>525</v>
      </c>
    </row>
    <row r="43" spans="3:4" x14ac:dyDescent="0.2">
      <c r="C43" s="111" t="s">
        <v>526</v>
      </c>
    </row>
    <row r="44" spans="3:4" x14ac:dyDescent="0.2">
      <c r="C44" s="111"/>
    </row>
    <row r="45" spans="3:4" x14ac:dyDescent="0.2">
      <c r="C45" s="111" t="s">
        <v>514</v>
      </c>
    </row>
    <row r="46" spans="3:4" x14ac:dyDescent="0.2">
      <c r="C46" s="111" t="s">
        <v>513</v>
      </c>
    </row>
    <row r="47" spans="3:4" x14ac:dyDescent="0.2">
      <c r="D47" s="111" t="s">
        <v>515</v>
      </c>
    </row>
    <row r="49" spans="3:4" x14ac:dyDescent="0.2">
      <c r="C49" s="110" t="s">
        <v>530</v>
      </c>
    </row>
    <row r="50" spans="3:4" x14ac:dyDescent="0.2">
      <c r="C50" s="111" t="s">
        <v>538</v>
      </c>
    </row>
    <row r="51" spans="3:4" x14ac:dyDescent="0.2">
      <c r="C51" s="111"/>
      <c r="D51" s="111" t="s">
        <v>563</v>
      </c>
    </row>
    <row r="52" spans="3:4" x14ac:dyDescent="0.2">
      <c r="C52" s="111"/>
      <c r="D52" s="111" t="s">
        <v>564</v>
      </c>
    </row>
    <row r="53" spans="3:4" x14ac:dyDescent="0.2">
      <c r="C53" s="111"/>
      <c r="D53" s="111" t="s">
        <v>565</v>
      </c>
    </row>
    <row r="54" spans="3:4" x14ac:dyDescent="0.2">
      <c r="C54" s="111"/>
      <c r="D54" s="111" t="s">
        <v>566</v>
      </c>
    </row>
    <row r="55" spans="3:4" x14ac:dyDescent="0.2">
      <c r="C55" s="111"/>
      <c r="D55" s="111" t="s">
        <v>567</v>
      </c>
    </row>
    <row r="56" spans="3:4" x14ac:dyDescent="0.2">
      <c r="C56" s="111" t="s">
        <v>537</v>
      </c>
    </row>
    <row r="57" spans="3:4" x14ac:dyDescent="0.2">
      <c r="C57" s="111" t="s">
        <v>539</v>
      </c>
    </row>
    <row r="58" spans="3:4" x14ac:dyDescent="0.2">
      <c r="C58" s="111" t="s">
        <v>540</v>
      </c>
    </row>
    <row r="59" spans="3:4" x14ac:dyDescent="0.2">
      <c r="C59" s="111" t="s">
        <v>544</v>
      </c>
    </row>
    <row r="60" spans="3:4" x14ac:dyDescent="0.2">
      <c r="C60" s="111" t="s">
        <v>541</v>
      </c>
    </row>
    <row r="61" spans="3:4" x14ac:dyDescent="0.2">
      <c r="C61" s="111" t="s">
        <v>543</v>
      </c>
    </row>
    <row r="62" spans="3:4" x14ac:dyDescent="0.2">
      <c r="C62" s="111"/>
    </row>
    <row r="63" spans="3:4" x14ac:dyDescent="0.2">
      <c r="D63" s="115" t="s">
        <v>542</v>
      </c>
    </row>
    <row r="64" spans="3:4" x14ac:dyDescent="0.2">
      <c r="D64" s="111" t="s">
        <v>531</v>
      </c>
    </row>
    <row r="65" spans="4:4" x14ac:dyDescent="0.2">
      <c r="D65" s="111" t="s">
        <v>532</v>
      </c>
    </row>
    <row r="66" spans="4:4" x14ac:dyDescent="0.2">
      <c r="D66" s="111" t="s">
        <v>533</v>
      </c>
    </row>
    <row r="67" spans="4:4" x14ac:dyDescent="0.2">
      <c r="D67" s="111" t="s">
        <v>534</v>
      </c>
    </row>
    <row r="68" spans="4:4" x14ac:dyDescent="0.2">
      <c r="D68" s="111" t="s">
        <v>535</v>
      </c>
    </row>
    <row r="69" spans="4:4" x14ac:dyDescent="0.2">
      <c r="D69" s="111" t="s">
        <v>536</v>
      </c>
    </row>
    <row r="70" spans="4:4" x14ac:dyDescent="0.2">
      <c r="D70" s="111" t="s">
        <v>568</v>
      </c>
    </row>
  </sheetData>
  <hyperlinks>
    <hyperlink ref="A1" location="Main!A1" display="Main" xr:uid="{00000000-0004-0000-13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3"/>
  <sheetViews>
    <sheetView workbookViewId="0">
      <selection activeCell="C12" sqref="C12"/>
    </sheetView>
  </sheetViews>
  <sheetFormatPr defaultColWidth="8.85546875" defaultRowHeight="12.75" x14ac:dyDescent="0.2"/>
  <cols>
    <col min="1" max="1" width="4.42578125" bestFit="1" customWidth="1"/>
    <col min="2" max="2" width="13.28515625" customWidth="1"/>
    <col min="3" max="3" width="12.85546875" customWidth="1"/>
  </cols>
  <sheetData>
    <row r="1" spans="1:3" x14ac:dyDescent="0.2">
      <c r="A1" s="33" t="s">
        <v>139</v>
      </c>
    </row>
    <row r="2" spans="1:3" x14ac:dyDescent="0.2">
      <c r="B2" s="95" t="s">
        <v>140</v>
      </c>
      <c r="C2" s="95" t="s">
        <v>607</v>
      </c>
    </row>
    <row r="3" spans="1:3" x14ac:dyDescent="0.2">
      <c r="B3" s="95" t="s">
        <v>141</v>
      </c>
      <c r="C3" s="95" t="s">
        <v>590</v>
      </c>
    </row>
    <row r="4" spans="1:3" x14ac:dyDescent="0.2">
      <c r="B4" s="95" t="s">
        <v>1</v>
      </c>
      <c r="C4" s="95" t="s">
        <v>613</v>
      </c>
    </row>
    <row r="5" spans="1:3" x14ac:dyDescent="0.2">
      <c r="B5" s="95" t="s">
        <v>2</v>
      </c>
    </row>
    <row r="6" spans="1:3" x14ac:dyDescent="0.2">
      <c r="B6" s="95" t="s">
        <v>608</v>
      </c>
      <c r="C6" s="95" t="s">
        <v>609</v>
      </c>
    </row>
    <row r="7" spans="1:3" x14ac:dyDescent="0.2">
      <c r="B7" s="95" t="s">
        <v>319</v>
      </c>
      <c r="C7" s="95" t="s">
        <v>611</v>
      </c>
    </row>
    <row r="8" spans="1:3" x14ac:dyDescent="0.2">
      <c r="B8" s="95" t="s">
        <v>57</v>
      </c>
    </row>
    <row r="9" spans="1:3" x14ac:dyDescent="0.2">
      <c r="B9" s="95" t="s">
        <v>606</v>
      </c>
    </row>
    <row r="10" spans="1:3" x14ac:dyDescent="0.2">
      <c r="B10" s="95" t="s">
        <v>142</v>
      </c>
    </row>
    <row r="11" spans="1:3" x14ac:dyDescent="0.2">
      <c r="C11" s="121" t="s">
        <v>615</v>
      </c>
    </row>
    <row r="13" spans="1:3" x14ac:dyDescent="0.2">
      <c r="C13" s="121" t="s">
        <v>614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8" sqref="B8"/>
    </sheetView>
  </sheetViews>
  <sheetFormatPr defaultColWidth="8.85546875" defaultRowHeight="12.75" x14ac:dyDescent="0.2"/>
  <sheetData>
    <row r="1" spans="1:2" x14ac:dyDescent="0.2">
      <c r="A1" s="12" t="s">
        <v>139</v>
      </c>
    </row>
    <row r="3" spans="1:2" x14ac:dyDescent="0.2">
      <c r="B3" s="95" t="s">
        <v>476</v>
      </c>
    </row>
    <row r="4" spans="1:2" x14ac:dyDescent="0.2">
      <c r="B4" s="95" t="s">
        <v>495</v>
      </c>
    </row>
    <row r="5" spans="1:2" x14ac:dyDescent="0.2">
      <c r="B5" s="95" t="s">
        <v>496</v>
      </c>
    </row>
    <row r="6" spans="1:2" x14ac:dyDescent="0.2">
      <c r="B6" s="95" t="s">
        <v>497</v>
      </c>
    </row>
    <row r="7" spans="1:2" x14ac:dyDescent="0.2">
      <c r="B7" s="95" t="s">
        <v>498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3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2" t="s">
        <v>139</v>
      </c>
    </row>
    <row r="2" spans="1:3" x14ac:dyDescent="0.2">
      <c r="B2" s="1" t="s">
        <v>140</v>
      </c>
      <c r="C2" s="1" t="s">
        <v>164</v>
      </c>
    </row>
    <row r="3" spans="1:3" x14ac:dyDescent="0.2">
      <c r="B3" s="1" t="s">
        <v>141</v>
      </c>
      <c r="C3" s="1" t="s">
        <v>165</v>
      </c>
    </row>
    <row r="4" spans="1:3" x14ac:dyDescent="0.2">
      <c r="B4" s="1" t="s">
        <v>1</v>
      </c>
      <c r="C4" s="1" t="s">
        <v>272</v>
      </c>
    </row>
    <row r="5" spans="1:3" x14ac:dyDescent="0.2">
      <c r="B5" s="1" t="s">
        <v>57</v>
      </c>
      <c r="C5" s="1" t="s">
        <v>166</v>
      </c>
    </row>
    <row r="6" spans="1:3" x14ac:dyDescent="0.2">
      <c r="B6" s="1" t="s">
        <v>3</v>
      </c>
      <c r="C6" s="1" t="s">
        <v>167</v>
      </c>
    </row>
    <row r="7" spans="1:3" x14ac:dyDescent="0.2">
      <c r="C7" s="1" t="s">
        <v>168</v>
      </c>
    </row>
    <row r="8" spans="1:3" x14ac:dyDescent="0.2">
      <c r="B8" s="1" t="s">
        <v>319</v>
      </c>
      <c r="C8" s="1" t="s">
        <v>320</v>
      </c>
    </row>
    <row r="9" spans="1:3" x14ac:dyDescent="0.2">
      <c r="B9" s="1" t="s">
        <v>318</v>
      </c>
      <c r="C9" s="16" t="s">
        <v>367</v>
      </c>
    </row>
    <row r="10" spans="1:3" x14ac:dyDescent="0.2">
      <c r="B10" s="1" t="s">
        <v>142</v>
      </c>
    </row>
    <row r="13" spans="1:3" x14ac:dyDescent="0.2">
      <c r="C13" s="34" t="s">
        <v>191</v>
      </c>
    </row>
    <row r="14" spans="1:3" x14ac:dyDescent="0.2">
      <c r="C14" s="16" t="s">
        <v>190</v>
      </c>
    </row>
    <row r="15" spans="1:3" x14ac:dyDescent="0.2">
      <c r="C15" s="1" t="s">
        <v>189</v>
      </c>
    </row>
    <row r="17" spans="3:3" x14ac:dyDescent="0.2">
      <c r="C17" s="34" t="s">
        <v>273</v>
      </c>
    </row>
    <row r="18" spans="3:3" x14ac:dyDescent="0.2">
      <c r="C18" s="1" t="s">
        <v>274</v>
      </c>
    </row>
    <row r="19" spans="3:3" x14ac:dyDescent="0.2">
      <c r="C19" s="1" t="s">
        <v>275</v>
      </c>
    </row>
    <row r="20" spans="3:3" x14ac:dyDescent="0.2">
      <c r="C20" s="1" t="s">
        <v>276</v>
      </c>
    </row>
    <row r="21" spans="3:3" x14ac:dyDescent="0.2">
      <c r="C21" s="1" t="s">
        <v>316</v>
      </c>
    </row>
    <row r="23" spans="3:3" x14ac:dyDescent="0.2">
      <c r="C23" s="34" t="s">
        <v>192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B102"/>
  <sheetViews>
    <sheetView tabSelected="1" zoomScale="160" zoomScaleNormal="160" workbookViewId="0">
      <pane xSplit="2" ySplit="2" topLeftCell="BT3" activePane="bottomRight" state="frozen"/>
      <selection pane="topRight" activeCell="B1" sqref="B1"/>
      <selection pane="bottomLeft" activeCell="A2" sqref="A2"/>
      <selection pane="bottomRight" activeCell="BA20" sqref="BA20:CL20"/>
    </sheetView>
  </sheetViews>
  <sheetFormatPr defaultColWidth="9.140625" defaultRowHeight="12.75" x14ac:dyDescent="0.2"/>
  <cols>
    <col min="1" max="1" width="5.140625" style="1" bestFit="1" customWidth="1"/>
    <col min="2" max="2" width="27.7109375" style="1" bestFit="1" customWidth="1"/>
    <col min="3" max="18" width="7.42578125" style="76" hidden="1" customWidth="1"/>
    <col min="19" max="30" width="7.140625" style="76" hidden="1" customWidth="1"/>
    <col min="31" max="36" width="7.140625" style="76" customWidth="1"/>
    <col min="37" max="37" width="8.85546875" style="76" bestFit="1" customWidth="1"/>
    <col min="38" max="38" width="7.140625" style="76" customWidth="1"/>
    <col min="39" max="42" width="7.42578125" style="76" customWidth="1"/>
    <col min="43" max="74" width="7.140625" style="76" customWidth="1"/>
    <col min="75" max="98" width="7.140625" style="141" customWidth="1"/>
    <col min="99" max="99" width="4.42578125" customWidth="1"/>
    <col min="100" max="102" width="6.42578125" customWidth="1"/>
    <col min="103" max="105" width="5.7109375" customWidth="1"/>
    <col min="106" max="106" width="5.7109375" style="1" customWidth="1"/>
    <col min="107" max="107" width="5.7109375" style="76" customWidth="1"/>
    <col min="108" max="109" width="6.42578125" style="76" customWidth="1"/>
    <col min="110" max="111" width="8" style="135" customWidth="1"/>
    <col min="112" max="115" width="8" style="76" customWidth="1"/>
    <col min="116" max="117" width="7.7109375" style="76" customWidth="1"/>
    <col min="118" max="121" width="7.42578125" style="141" customWidth="1"/>
    <col min="122" max="123" width="8.140625" style="141" customWidth="1"/>
    <col min="124" max="126" width="8.140625" customWidth="1"/>
    <col min="130" max="136" width="7.42578125" customWidth="1"/>
    <col min="137" max="16384" width="9.140625" style="1"/>
  </cols>
  <sheetData>
    <row r="1" spans="1:136" x14ac:dyDescent="0.2">
      <c r="A1" s="12" t="s">
        <v>139</v>
      </c>
      <c r="AS1" s="82"/>
      <c r="AT1" s="82"/>
      <c r="AU1" s="82"/>
      <c r="AV1" s="82"/>
      <c r="AW1" s="82"/>
      <c r="AX1" s="82"/>
      <c r="AY1" s="82"/>
      <c r="AZ1" s="82"/>
      <c r="DO1" s="138"/>
      <c r="DR1" s="138"/>
    </row>
    <row r="2" spans="1:136" s="92" customFormat="1" x14ac:dyDescent="0.2">
      <c r="C2" s="101" t="s">
        <v>470</v>
      </c>
      <c r="D2" s="101" t="s">
        <v>469</v>
      </c>
      <c r="E2" s="101" t="s">
        <v>468</v>
      </c>
      <c r="F2" s="101" t="s">
        <v>467</v>
      </c>
      <c r="G2" s="101" t="s">
        <v>466</v>
      </c>
      <c r="H2" s="101" t="s">
        <v>465</v>
      </c>
      <c r="I2" s="101" t="s">
        <v>463</v>
      </c>
      <c r="J2" s="101" t="s">
        <v>464</v>
      </c>
      <c r="K2" s="101" t="s">
        <v>462</v>
      </c>
      <c r="L2" s="101" t="s">
        <v>461</v>
      </c>
      <c r="M2" s="101" t="s">
        <v>460</v>
      </c>
      <c r="N2" s="101" t="s">
        <v>459</v>
      </c>
      <c r="O2" s="101" t="s">
        <v>458</v>
      </c>
      <c r="P2" s="101" t="s">
        <v>457</v>
      </c>
      <c r="Q2" s="101" t="s">
        <v>456</v>
      </c>
      <c r="R2" s="101" t="s">
        <v>455</v>
      </c>
      <c r="S2" s="101" t="s">
        <v>454</v>
      </c>
      <c r="T2" s="101" t="s">
        <v>453</v>
      </c>
      <c r="U2" s="101" t="s">
        <v>452</v>
      </c>
      <c r="V2" s="101" t="s">
        <v>451</v>
      </c>
      <c r="W2" s="101" t="s">
        <v>450</v>
      </c>
      <c r="X2" s="101" t="s">
        <v>449</v>
      </c>
      <c r="Y2" s="101" t="s">
        <v>448</v>
      </c>
      <c r="Z2" s="101" t="s">
        <v>447</v>
      </c>
      <c r="AA2" s="101" t="s">
        <v>446</v>
      </c>
      <c r="AB2" s="101" t="s">
        <v>445</v>
      </c>
      <c r="AC2" s="101" t="s">
        <v>444</v>
      </c>
      <c r="AD2" s="101" t="s">
        <v>443</v>
      </c>
      <c r="AE2" s="101" t="s">
        <v>358</v>
      </c>
      <c r="AF2" s="101" t="s">
        <v>362</v>
      </c>
      <c r="AG2" s="101" t="s">
        <v>363</v>
      </c>
      <c r="AH2" s="101" t="s">
        <v>364</v>
      </c>
      <c r="AI2" s="101" t="s">
        <v>409</v>
      </c>
      <c r="AJ2" s="101" t="s">
        <v>410</v>
      </c>
      <c r="AK2" s="101" t="s">
        <v>411</v>
      </c>
      <c r="AL2" s="101" t="s">
        <v>412</v>
      </c>
      <c r="AM2" s="101" t="s">
        <v>413</v>
      </c>
      <c r="AN2" s="101" t="s">
        <v>414</v>
      </c>
      <c r="AO2" s="101" t="s">
        <v>415</v>
      </c>
      <c r="AP2" s="101" t="s">
        <v>416</v>
      </c>
      <c r="AQ2" s="101" t="s">
        <v>575</v>
      </c>
      <c r="AR2" s="101" t="s">
        <v>576</v>
      </c>
      <c r="AS2" s="101" t="s">
        <v>577</v>
      </c>
      <c r="AT2" s="101" t="s">
        <v>578</v>
      </c>
      <c r="AU2" s="101" t="s">
        <v>579</v>
      </c>
      <c r="AV2" s="101" t="s">
        <v>580</v>
      </c>
      <c r="AW2" s="101" t="s">
        <v>572</v>
      </c>
      <c r="AX2" s="101" t="s">
        <v>581</v>
      </c>
      <c r="AY2" s="101" t="s">
        <v>582</v>
      </c>
      <c r="AZ2" s="101" t="s">
        <v>583</v>
      </c>
      <c r="BA2" s="101" t="s">
        <v>584</v>
      </c>
      <c r="BB2" s="101" t="s">
        <v>585</v>
      </c>
      <c r="BC2" s="101" t="s">
        <v>646</v>
      </c>
      <c r="BD2" s="101" t="s">
        <v>647</v>
      </c>
      <c r="BE2" s="101" t="s">
        <v>648</v>
      </c>
      <c r="BF2" s="101" t="s">
        <v>649</v>
      </c>
      <c r="BG2" s="101" t="s">
        <v>650</v>
      </c>
      <c r="BH2" s="101" t="s">
        <v>651</v>
      </c>
      <c r="BI2" s="101" t="s">
        <v>652</v>
      </c>
      <c r="BJ2" s="101" t="s">
        <v>653</v>
      </c>
      <c r="BK2" s="101" t="s">
        <v>654</v>
      </c>
      <c r="BL2" s="101" t="s">
        <v>655</v>
      </c>
      <c r="BM2" s="101" t="s">
        <v>656</v>
      </c>
      <c r="BN2" s="101" t="s">
        <v>657</v>
      </c>
      <c r="BO2" s="101" t="s">
        <v>658</v>
      </c>
      <c r="BP2" s="101" t="s">
        <v>659</v>
      </c>
      <c r="BQ2" s="101" t="s">
        <v>660</v>
      </c>
      <c r="BR2" s="101" t="s">
        <v>661</v>
      </c>
      <c r="BS2" s="101" t="s">
        <v>662</v>
      </c>
      <c r="BT2" s="101" t="s">
        <v>663</v>
      </c>
      <c r="BU2" s="101" t="s">
        <v>664</v>
      </c>
      <c r="BV2" s="101" t="s">
        <v>665</v>
      </c>
      <c r="BW2" s="138" t="s">
        <v>666</v>
      </c>
      <c r="BX2" s="138" t="s">
        <v>667</v>
      </c>
      <c r="BY2" s="138" t="s">
        <v>668</v>
      </c>
      <c r="BZ2" s="138" t="s">
        <v>669</v>
      </c>
      <c r="CA2" s="138" t="s">
        <v>670</v>
      </c>
      <c r="CB2" s="138" t="s">
        <v>671</v>
      </c>
      <c r="CC2" s="138" t="s">
        <v>672</v>
      </c>
      <c r="CD2" s="138" t="s">
        <v>673</v>
      </c>
      <c r="CE2" s="138" t="s">
        <v>645</v>
      </c>
      <c r="CF2" s="138" t="s">
        <v>674</v>
      </c>
      <c r="CG2" s="138" t="s">
        <v>675</v>
      </c>
      <c r="CH2" s="138" t="s">
        <v>676</v>
      </c>
      <c r="CI2" s="138" t="s">
        <v>694</v>
      </c>
      <c r="CJ2" s="138" t="s">
        <v>695</v>
      </c>
      <c r="CK2" s="138" t="s">
        <v>696</v>
      </c>
      <c r="CL2" s="138" t="s">
        <v>697</v>
      </c>
      <c r="CM2" s="138" t="s">
        <v>770</v>
      </c>
      <c r="CN2" s="138" t="s">
        <v>771</v>
      </c>
      <c r="CO2" s="138" t="s">
        <v>772</v>
      </c>
      <c r="CP2" s="138" t="s">
        <v>773</v>
      </c>
      <c r="CQ2" s="138" t="s">
        <v>774</v>
      </c>
      <c r="CR2" s="138" t="s">
        <v>775</v>
      </c>
      <c r="CS2" s="138" t="s">
        <v>776</v>
      </c>
      <c r="CT2" s="138" t="s">
        <v>777</v>
      </c>
      <c r="CU2" s="95"/>
      <c r="CV2" s="138">
        <v>1999</v>
      </c>
      <c r="CW2" s="138">
        <v>2000</v>
      </c>
      <c r="CX2" s="138">
        <v>2001</v>
      </c>
      <c r="CY2" s="138">
        <v>2002</v>
      </c>
      <c r="CZ2" s="138">
        <v>2003</v>
      </c>
      <c r="DA2" s="138">
        <v>2004</v>
      </c>
      <c r="DB2" s="101">
        <v>2005</v>
      </c>
      <c r="DC2" s="101">
        <v>2006</v>
      </c>
      <c r="DD2" s="101">
        <v>2007</v>
      </c>
      <c r="DE2" s="101">
        <v>2008</v>
      </c>
      <c r="DF2" s="134">
        <v>2009</v>
      </c>
      <c r="DG2" s="134">
        <v>2010</v>
      </c>
      <c r="DH2" s="101">
        <v>2011</v>
      </c>
      <c r="DI2" s="101">
        <v>2012</v>
      </c>
      <c r="DJ2" s="101">
        <v>2013</v>
      </c>
      <c r="DK2" s="101">
        <v>2014</v>
      </c>
      <c r="DL2" s="101">
        <v>2015</v>
      </c>
      <c r="DM2" s="101">
        <v>2016</v>
      </c>
      <c r="DN2" s="138">
        <v>2017</v>
      </c>
      <c r="DO2" s="138">
        <v>2018</v>
      </c>
      <c r="DP2" s="138">
        <v>2019</v>
      </c>
      <c r="DQ2" s="138">
        <v>2020</v>
      </c>
      <c r="DR2" s="138">
        <v>2021</v>
      </c>
      <c r="DS2" s="138">
        <v>2022</v>
      </c>
      <c r="DT2" s="95">
        <v>2023</v>
      </c>
      <c r="DU2" s="95">
        <v>2024</v>
      </c>
      <c r="DV2" s="95">
        <v>2025</v>
      </c>
      <c r="DW2" s="95">
        <f>+DV2+1</f>
        <v>2026</v>
      </c>
      <c r="DX2" s="95">
        <f t="shared" ref="DX2:EA2" si="0">+DW2+1</f>
        <v>2027</v>
      </c>
      <c r="DY2" s="95">
        <f t="shared" si="0"/>
        <v>2028</v>
      </c>
      <c r="DZ2" s="95">
        <f t="shared" si="0"/>
        <v>2029</v>
      </c>
      <c r="EA2" s="95">
        <f t="shared" si="0"/>
        <v>2030</v>
      </c>
      <c r="EB2" s="95">
        <f t="shared" ref="EB2" si="1">+EA2+1</f>
        <v>2031</v>
      </c>
      <c r="EC2" s="95">
        <f t="shared" ref="EC2" si="2">+EB2+1</f>
        <v>2032</v>
      </c>
      <c r="ED2" s="95">
        <f t="shared" ref="ED2" si="3">+EC2+1</f>
        <v>2033</v>
      </c>
      <c r="EE2" s="95">
        <f t="shared" ref="EE2" si="4">+ED2+1</f>
        <v>2034</v>
      </c>
      <c r="EF2" s="95">
        <f t="shared" ref="EF2" si="5">+EE2+1</f>
        <v>2035</v>
      </c>
    </row>
    <row r="3" spans="1:136" s="92" customFormat="1" x14ac:dyDescent="0.2">
      <c r="B3" s="92" t="s">
        <v>6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39">
        <f t="shared" ref="BA3:BN3" si="6">SUM(BA9:BA17)+BA27</f>
        <v>2704</v>
      </c>
      <c r="BB3" s="139">
        <f t="shared" si="6"/>
        <v>2866</v>
      </c>
      <c r="BC3" s="139">
        <f t="shared" si="6"/>
        <v>2415</v>
      </c>
      <c r="BD3" s="139">
        <f t="shared" si="6"/>
        <v>2716</v>
      </c>
      <c r="BE3" s="139">
        <f t="shared" si="6"/>
        <v>2889</v>
      </c>
      <c r="BF3" s="139">
        <f t="shared" si="6"/>
        <v>2978</v>
      </c>
      <c r="BG3" s="139">
        <f t="shared" si="6"/>
        <v>2861</v>
      </c>
      <c r="BH3" s="139">
        <f t="shared" si="6"/>
        <v>3120</v>
      </c>
      <c r="BI3" s="139">
        <f t="shared" si="6"/>
        <v>3497</v>
      </c>
      <c r="BJ3" s="139">
        <f t="shared" si="6"/>
        <v>3350</v>
      </c>
      <c r="BK3" s="139">
        <f t="shared" si="6"/>
        <v>3235</v>
      </c>
      <c r="BL3" s="139">
        <f t="shared" si="6"/>
        <v>3535</v>
      </c>
      <c r="BM3" s="139">
        <f t="shared" si="6"/>
        <v>3590</v>
      </c>
      <c r="BN3" s="139">
        <f>SUM(BN9:BN17)+BN27</f>
        <v>3643</v>
      </c>
      <c r="BO3" s="139">
        <f>SUM(BO9:BO17)+BO27</f>
        <v>3247</v>
      </c>
      <c r="BP3" s="139">
        <f>SUM(BP9:BP17)+BP27</f>
        <v>3728</v>
      </c>
      <c r="BQ3" s="139">
        <f>SUM(BQ9:BQ17)+BQ27</f>
        <v>3783</v>
      </c>
      <c r="BR3" s="139">
        <f>SUM(BR9:BR17)+BR27</f>
        <v>4108</v>
      </c>
      <c r="BS3" s="139">
        <f t="shared" ref="BS3:CN3" si="7">SUM(BS9:BS17)+BS27</f>
        <v>3673</v>
      </c>
      <c r="BT3" s="139">
        <f t="shared" si="7"/>
        <v>4101</v>
      </c>
      <c r="BU3" s="139">
        <f t="shared" si="7"/>
        <v>4254</v>
      </c>
      <c r="BV3" s="139">
        <f t="shared" si="7"/>
        <v>4606</v>
      </c>
      <c r="BW3" s="139">
        <f t="shared" si="7"/>
        <v>4166</v>
      </c>
      <c r="BX3" s="139">
        <f t="shared" si="7"/>
        <v>4037</v>
      </c>
      <c r="BY3" s="139">
        <f t="shared" si="7"/>
        <v>4566</v>
      </c>
      <c r="BZ3" s="139">
        <f t="shared" si="7"/>
        <v>4296</v>
      </c>
      <c r="CA3" s="139">
        <f t="shared" si="7"/>
        <v>3633</v>
      </c>
      <c r="CB3" s="139">
        <f t="shared" si="7"/>
        <v>3955</v>
      </c>
      <c r="CC3" s="139">
        <f t="shared" si="7"/>
        <v>4208</v>
      </c>
      <c r="CD3" s="139">
        <f t="shared" si="7"/>
        <v>4522</v>
      </c>
      <c r="CE3" s="139">
        <f t="shared" si="7"/>
        <v>3715</v>
      </c>
      <c r="CF3" s="139">
        <f t="shared" si="7"/>
        <v>4233</v>
      </c>
      <c r="CG3" s="139">
        <f t="shared" si="7"/>
        <v>4497</v>
      </c>
      <c r="CH3" s="139">
        <f t="shared" si="7"/>
        <v>4783</v>
      </c>
      <c r="CI3" s="139">
        <f t="shared" si="7"/>
        <v>4200</v>
      </c>
      <c r="CJ3" s="139">
        <f t="shared" si="7"/>
        <v>4626</v>
      </c>
      <c r="CK3" s="139">
        <f t="shared" si="7"/>
        <v>4667</v>
      </c>
      <c r="CL3" s="139">
        <f t="shared" si="7"/>
        <v>4693</v>
      </c>
      <c r="CM3" s="139">
        <f t="shared" si="7"/>
        <v>4226</v>
      </c>
      <c r="CN3" s="139">
        <f t="shared" si="7"/>
        <v>4640</v>
      </c>
      <c r="CO3" s="139"/>
      <c r="CP3" s="139"/>
      <c r="CQ3" s="139"/>
      <c r="CR3" s="139"/>
      <c r="CS3" s="138"/>
      <c r="CT3" s="138"/>
      <c r="CU3" s="95"/>
      <c r="CV3" s="138"/>
      <c r="CW3" s="138"/>
      <c r="CX3" s="138"/>
      <c r="CY3" s="138"/>
      <c r="CZ3" s="138"/>
      <c r="DA3" s="138"/>
      <c r="DB3" s="101"/>
      <c r="DC3" s="101"/>
      <c r="DD3" s="101"/>
      <c r="DE3" s="101"/>
      <c r="DF3" s="134"/>
      <c r="DG3" s="134"/>
      <c r="DH3" s="139">
        <f t="shared" ref="DH3:DP3" si="8">+DH14+DH15+DH16+DH17+DH26+DH27+DH9+DH10+DH11+DH12+DH13</f>
        <v>6904.6130000000003</v>
      </c>
      <c r="DI3" s="139">
        <f t="shared" si="8"/>
        <v>8033.4750000000004</v>
      </c>
      <c r="DJ3" s="139">
        <f t="shared" si="8"/>
        <v>9119.3490000000002</v>
      </c>
      <c r="DK3" s="139">
        <f t="shared" si="8"/>
        <v>10306.804</v>
      </c>
      <c r="DL3" s="139">
        <f t="shared" si="8"/>
        <v>10814.63535</v>
      </c>
      <c r="DM3" s="139">
        <f t="shared" si="8"/>
        <v>11678.668672500002</v>
      </c>
      <c r="DN3" s="139">
        <f t="shared" si="8"/>
        <v>0</v>
      </c>
      <c r="DO3" s="139">
        <f t="shared" si="8"/>
        <v>0</v>
      </c>
      <c r="DP3" s="139">
        <f t="shared" si="8"/>
        <v>0</v>
      </c>
      <c r="DQ3" s="139">
        <f>+DQ14+DQ15+DQ16+DQ17+DQ26+DQ27+DQ9+DQ10+DQ11+DQ12+DQ13</f>
        <v>17065</v>
      </c>
      <c r="DR3" s="139">
        <f t="shared" ref="DR3:EF3" si="9">+DR14+DR15+DR16+DR17+DR26+DR27+DR9+DR10+DR11+DR12+DR13</f>
        <v>16318</v>
      </c>
      <c r="DS3" s="139">
        <f t="shared" si="9"/>
        <v>17228</v>
      </c>
      <c r="DT3" s="139">
        <f t="shared" si="9"/>
        <v>18186</v>
      </c>
      <c r="DU3" s="139">
        <f t="shared" si="9"/>
        <v>16943.05</v>
      </c>
      <c r="DV3" s="139">
        <f t="shared" si="9"/>
        <v>15419.547500000001</v>
      </c>
      <c r="DW3" s="139">
        <f t="shared" si="9"/>
        <v>12492.794</v>
      </c>
      <c r="DX3" s="139">
        <f t="shared" si="9"/>
        <v>10357.581087499999</v>
      </c>
      <c r="DY3" s="139">
        <f t="shared" si="9"/>
        <v>9665.0251118749984</v>
      </c>
      <c r="DZ3" s="139">
        <f t="shared" si="9"/>
        <v>9143.0485241562474</v>
      </c>
      <c r="EA3" s="139">
        <f t="shared" si="9"/>
        <v>8662.8916887359355</v>
      </c>
      <c r="EB3" s="139">
        <f t="shared" si="9"/>
        <v>8210.2279749778863</v>
      </c>
      <c r="EC3" s="139">
        <f t="shared" si="9"/>
        <v>7782.2678437368677</v>
      </c>
      <c r="ED3" s="139">
        <f t="shared" si="9"/>
        <v>4016.6574633403343</v>
      </c>
      <c r="EE3" s="139">
        <f t="shared" si="9"/>
        <v>627.60937551883353</v>
      </c>
      <c r="EF3" s="139">
        <f t="shared" si="9"/>
        <v>266.11020381820344</v>
      </c>
    </row>
    <row r="4" spans="1:136" s="92" customFormat="1" x14ac:dyDescent="0.2">
      <c r="B4" s="92" t="s">
        <v>761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01"/>
      <c r="BP4" s="101"/>
      <c r="BQ4" s="101"/>
      <c r="BR4" s="101"/>
      <c r="BS4" s="101"/>
      <c r="BT4" s="101"/>
      <c r="BU4" s="101"/>
      <c r="BV4" s="101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95"/>
      <c r="CV4" s="138"/>
      <c r="CW4" s="138"/>
      <c r="CX4" s="138"/>
      <c r="CY4" s="138"/>
      <c r="CZ4" s="138"/>
      <c r="DA4" s="138"/>
      <c r="DB4" s="101"/>
      <c r="DC4" s="101"/>
      <c r="DD4" s="101"/>
      <c r="DE4" s="101"/>
      <c r="DF4" s="134"/>
      <c r="DG4" s="134"/>
      <c r="DH4" s="93"/>
      <c r="DI4" s="93"/>
      <c r="DJ4" s="93"/>
      <c r="DK4" s="93"/>
      <c r="DL4" s="93"/>
      <c r="DM4" s="93"/>
      <c r="DN4" s="139"/>
      <c r="DO4" s="139"/>
      <c r="DP4" s="139"/>
      <c r="DQ4" s="139"/>
      <c r="DR4"/>
      <c r="DS4"/>
      <c r="DT4"/>
      <c r="DU4"/>
      <c r="DV4"/>
      <c r="DW4" s="95"/>
      <c r="DX4" s="95"/>
      <c r="DY4" s="95"/>
      <c r="DZ4" s="95"/>
      <c r="EA4" s="95"/>
      <c r="EB4" s="95"/>
      <c r="EC4" s="95"/>
      <c r="ED4" s="95"/>
      <c r="EE4" s="95"/>
      <c r="EF4" s="95"/>
    </row>
    <row r="5" spans="1:136" s="92" customFormat="1" x14ac:dyDescent="0.2">
      <c r="B5" s="92" t="s">
        <v>762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38"/>
      <c r="AZ5" s="138"/>
      <c r="BA5" s="138"/>
      <c r="BB5" s="138"/>
      <c r="BC5" s="138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01"/>
      <c r="BP5" s="101"/>
      <c r="BQ5" s="101"/>
      <c r="BR5" s="101"/>
      <c r="BS5" s="101"/>
      <c r="BT5" s="101"/>
      <c r="BU5" s="101"/>
      <c r="BV5" s="101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  <c r="CT5" s="138"/>
      <c r="CU5" s="95"/>
      <c r="CV5" s="138"/>
      <c r="CW5" s="138"/>
      <c r="CX5" s="138"/>
      <c r="CY5" s="138"/>
      <c r="CZ5" s="138"/>
      <c r="DA5" s="138"/>
      <c r="DB5" s="101"/>
      <c r="DC5" s="101"/>
      <c r="DD5" s="101"/>
      <c r="DE5" s="101"/>
      <c r="DF5" s="134"/>
      <c r="DG5" s="134"/>
      <c r="DH5" s="93"/>
      <c r="DI5" s="93"/>
      <c r="DJ5" s="93"/>
      <c r="DK5" s="93"/>
      <c r="DL5" s="93"/>
      <c r="DM5" s="93"/>
      <c r="DN5" s="139"/>
      <c r="DO5" s="139"/>
      <c r="DP5" s="139"/>
      <c r="DQ5" s="139"/>
      <c r="DR5"/>
      <c r="DS5"/>
      <c r="DT5"/>
      <c r="DU5"/>
      <c r="DV5"/>
      <c r="DW5" s="95"/>
      <c r="DX5" s="95"/>
      <c r="DY5" s="95"/>
      <c r="DZ5" s="95"/>
      <c r="EA5" s="95"/>
      <c r="EB5" s="95"/>
      <c r="EC5" s="95"/>
      <c r="ED5" s="95"/>
      <c r="EE5" s="95"/>
      <c r="EF5" s="95"/>
    </row>
    <row r="6" spans="1:136" s="92" customFormat="1" x14ac:dyDescent="0.2"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01"/>
      <c r="BP6" s="101"/>
      <c r="BQ6" s="101"/>
      <c r="BR6" s="101"/>
      <c r="BS6" s="101"/>
      <c r="BT6" s="101"/>
      <c r="BU6" s="101"/>
      <c r="BV6" s="101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95"/>
      <c r="CV6" s="138"/>
      <c r="CW6" s="138"/>
      <c r="CX6" s="138"/>
      <c r="CY6" s="138"/>
      <c r="CZ6" s="138"/>
      <c r="DA6" s="138"/>
      <c r="DB6" s="101"/>
      <c r="DC6" s="101"/>
      <c r="DD6" s="101"/>
      <c r="DE6" s="101"/>
      <c r="DF6" s="134"/>
      <c r="DG6" s="134"/>
      <c r="DH6" s="93"/>
      <c r="DI6" s="93"/>
      <c r="DJ6" s="93"/>
      <c r="DK6" s="93"/>
      <c r="DL6" s="93"/>
      <c r="DM6" s="93"/>
      <c r="DN6" s="139"/>
      <c r="DO6" s="139"/>
      <c r="DP6" s="139"/>
      <c r="DQ6" s="139"/>
      <c r="DR6"/>
      <c r="DS6"/>
      <c r="DT6"/>
      <c r="DU6"/>
      <c r="DV6"/>
      <c r="DW6" s="95"/>
      <c r="DX6" s="95"/>
      <c r="DY6" s="95"/>
      <c r="DZ6" s="95"/>
      <c r="EA6" s="95"/>
      <c r="EB6" s="95"/>
      <c r="EC6" s="95"/>
      <c r="ED6" s="95"/>
      <c r="EE6" s="95"/>
      <c r="EF6" s="95"/>
    </row>
    <row r="7" spans="1:136" s="92" customFormat="1" x14ac:dyDescent="0.2"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01"/>
      <c r="BP7" s="101"/>
      <c r="BQ7" s="101"/>
      <c r="BR7" s="101"/>
      <c r="BS7" s="101"/>
      <c r="BT7" s="101"/>
      <c r="BU7" s="101"/>
      <c r="BV7" s="101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95"/>
      <c r="CV7" s="138"/>
      <c r="CW7" s="138"/>
      <c r="CX7" s="138"/>
      <c r="CY7" s="138"/>
      <c r="CZ7" s="138"/>
      <c r="DA7" s="138"/>
      <c r="DB7" s="101"/>
      <c r="DC7" s="101"/>
      <c r="DD7" s="101"/>
      <c r="DE7" s="101"/>
      <c r="DF7" s="134"/>
      <c r="DG7" s="134"/>
      <c r="DH7" s="93"/>
      <c r="DI7" s="93"/>
      <c r="DJ7" s="93"/>
      <c r="DK7" s="93"/>
      <c r="DL7" s="93"/>
      <c r="DM7" s="93"/>
      <c r="DN7" s="139"/>
      <c r="DO7" s="139"/>
      <c r="DP7" s="139"/>
      <c r="DQ7" s="139"/>
      <c r="DR7"/>
      <c r="DS7"/>
      <c r="DT7"/>
      <c r="DU7"/>
      <c r="DV7"/>
      <c r="DW7" s="95"/>
      <c r="DX7" s="95"/>
      <c r="DY7" s="95"/>
      <c r="DZ7" s="95"/>
      <c r="EA7" s="95"/>
      <c r="EB7" s="95"/>
      <c r="EC7" s="95"/>
      <c r="ED7" s="95"/>
      <c r="EE7" s="95"/>
      <c r="EF7" s="95"/>
    </row>
    <row r="8" spans="1:136" s="92" customFormat="1" x14ac:dyDescent="0.2"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38"/>
      <c r="AZ8" s="138"/>
      <c r="BA8" s="138"/>
      <c r="BB8" s="138"/>
      <c r="BC8" s="138"/>
      <c r="BD8" s="138"/>
      <c r="BE8" s="138"/>
      <c r="BF8" s="138"/>
      <c r="BG8" s="138"/>
      <c r="BH8" s="138"/>
      <c r="BI8" s="138"/>
      <c r="BJ8" s="138"/>
      <c r="BK8" s="138"/>
      <c r="BL8" s="138"/>
      <c r="BM8" s="138"/>
      <c r="BN8" s="138"/>
      <c r="BO8" s="101"/>
      <c r="BP8" s="101"/>
      <c r="BQ8" s="101"/>
      <c r="BR8" s="101"/>
      <c r="BS8" s="101"/>
      <c r="BT8" s="101"/>
      <c r="BU8" s="101"/>
      <c r="BV8" s="101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  <c r="CT8" s="138"/>
      <c r="CU8" s="95"/>
      <c r="CV8" s="138"/>
      <c r="CW8" s="138"/>
      <c r="CX8" s="138"/>
      <c r="CY8" s="138"/>
      <c r="CZ8" s="138"/>
      <c r="DA8" s="138"/>
      <c r="DB8" s="101"/>
      <c r="DC8" s="101"/>
      <c r="DD8" s="101"/>
      <c r="DE8" s="101"/>
      <c r="DF8" s="134"/>
      <c r="DG8" s="134"/>
      <c r="DH8" s="93"/>
      <c r="DI8" s="93"/>
      <c r="DJ8" s="93"/>
      <c r="DK8" s="93"/>
      <c r="DL8" s="93"/>
      <c r="DM8" s="93"/>
      <c r="DN8" s="139"/>
      <c r="DO8" s="139"/>
      <c r="DP8" s="139"/>
      <c r="DQ8" s="139"/>
      <c r="DR8"/>
      <c r="DS8"/>
      <c r="DT8"/>
      <c r="DU8"/>
      <c r="DV8"/>
      <c r="DW8" s="95"/>
      <c r="DX8" s="95"/>
      <c r="DY8" s="95"/>
      <c r="DZ8" s="95"/>
      <c r="EA8" s="95"/>
      <c r="EB8" s="95"/>
      <c r="EC8" s="95"/>
      <c r="ED8" s="95"/>
      <c r="EE8" s="95"/>
      <c r="EF8" s="95"/>
    </row>
    <row r="9" spans="1:136" s="100" customFormat="1" x14ac:dyDescent="0.2">
      <c r="B9" s="100" t="s">
        <v>720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39">
        <v>0</v>
      </c>
      <c r="BO9" s="93">
        <v>35</v>
      </c>
      <c r="BP9" s="93">
        <v>185</v>
      </c>
      <c r="BQ9" s="93">
        <v>386</v>
      </c>
      <c r="BR9" s="93">
        <v>578</v>
      </c>
      <c r="BS9" s="139">
        <v>793</v>
      </c>
      <c r="BT9" s="139">
        <v>1116</v>
      </c>
      <c r="BU9" s="139">
        <v>1259</v>
      </c>
      <c r="BV9" s="139">
        <v>1570</v>
      </c>
      <c r="BW9" s="139">
        <v>1693</v>
      </c>
      <c r="BX9" s="139">
        <v>1604</v>
      </c>
      <c r="BY9" s="139">
        <v>1891</v>
      </c>
      <c r="BZ9" s="139">
        <v>2071</v>
      </c>
      <c r="CA9" s="139">
        <v>1824</v>
      </c>
      <c r="CB9" s="139">
        <v>1994</v>
      </c>
      <c r="CC9" s="139">
        <v>2276</v>
      </c>
      <c r="CD9" s="139">
        <v>2530</v>
      </c>
      <c r="CE9" s="139">
        <v>2151</v>
      </c>
      <c r="CF9" s="139">
        <v>2556</v>
      </c>
      <c r="CG9" s="139">
        <v>2766</v>
      </c>
      <c r="CH9" s="139">
        <v>2918</v>
      </c>
      <c r="CI9" s="139">
        <v>2677</v>
      </c>
      <c r="CJ9" s="139">
        <v>2979</v>
      </c>
      <c r="CK9" s="139">
        <v>3085</v>
      </c>
      <c r="CL9" s="139">
        <v>3109</v>
      </c>
      <c r="CM9" s="139">
        <v>2946</v>
      </c>
      <c r="CN9" s="139">
        <v>3232</v>
      </c>
      <c r="CO9" s="139"/>
      <c r="CP9" s="139"/>
      <c r="CQ9" s="139"/>
      <c r="CR9" s="139"/>
      <c r="CS9" s="139"/>
      <c r="CT9" s="139"/>
      <c r="CU9" s="153"/>
      <c r="CV9" s="139"/>
      <c r="CW9" s="139"/>
      <c r="CX9" s="139"/>
      <c r="CY9" s="139"/>
      <c r="CZ9" s="139"/>
      <c r="DA9" s="139"/>
      <c r="DB9" s="93"/>
      <c r="DC9" s="93"/>
      <c r="DD9" s="93"/>
      <c r="DE9" s="93"/>
      <c r="DF9" s="103"/>
      <c r="DG9" s="103"/>
      <c r="DH9" s="93"/>
      <c r="DI9" s="93"/>
      <c r="DJ9" s="93"/>
      <c r="DK9" s="93"/>
      <c r="DL9" s="93"/>
      <c r="DM9" s="93"/>
      <c r="DN9" s="139"/>
      <c r="DO9" s="139"/>
      <c r="DP9" s="139"/>
      <c r="DQ9" s="139">
        <f>SUM(BW9:BZ9)</f>
        <v>7259</v>
      </c>
      <c r="DR9" s="79">
        <f>SUM(CA9:CD9)</f>
        <v>8624</v>
      </c>
      <c r="DS9" s="79">
        <f>SUM(CE9:CH9)</f>
        <v>10391</v>
      </c>
      <c r="DT9" s="79">
        <f>SUM(CI9:CL9)</f>
        <v>11850</v>
      </c>
      <c r="DU9" s="79">
        <f>+DT9*0.95</f>
        <v>11257.5</v>
      </c>
      <c r="DV9" s="79">
        <f t="shared" ref="DV9:EC9" si="10">+DU9*0.95</f>
        <v>10694.625</v>
      </c>
      <c r="DW9" s="79">
        <f t="shared" si="10"/>
        <v>10159.893749999999</v>
      </c>
      <c r="DX9" s="79">
        <f t="shared" si="10"/>
        <v>9651.8990624999988</v>
      </c>
      <c r="DY9" s="79">
        <f t="shared" si="10"/>
        <v>9169.304109374998</v>
      </c>
      <c r="DZ9" s="79">
        <f t="shared" si="10"/>
        <v>8710.8389039062477</v>
      </c>
      <c r="EA9" s="79">
        <f t="shared" si="10"/>
        <v>8275.2969587109346</v>
      </c>
      <c r="EB9" s="79">
        <f t="shared" si="10"/>
        <v>7861.5321107753871</v>
      </c>
      <c r="EC9" s="79">
        <f t="shared" si="10"/>
        <v>7468.4555052366177</v>
      </c>
      <c r="ED9" s="79">
        <f>+EC9*0.5</f>
        <v>3734.2277526183088</v>
      </c>
      <c r="EE9" s="79">
        <f>+ED9*0.1</f>
        <v>373.42277526183091</v>
      </c>
      <c r="EF9" s="79">
        <f>+EE9*0.1</f>
        <v>37.342277526183089</v>
      </c>
    </row>
    <row r="10" spans="1:136" s="100" customFormat="1" x14ac:dyDescent="0.2">
      <c r="B10" s="100" t="s">
        <v>725</v>
      </c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93">
        <v>0</v>
      </c>
      <c r="BH10" s="93">
        <v>61</v>
      </c>
      <c r="BI10" s="93">
        <v>88</v>
      </c>
      <c r="BJ10" s="93">
        <v>149</v>
      </c>
      <c r="BK10" s="182">
        <v>251</v>
      </c>
      <c r="BL10" s="182">
        <v>286</v>
      </c>
      <c r="BM10" s="93">
        <v>316</v>
      </c>
      <c r="BN10" s="139">
        <v>365</v>
      </c>
      <c r="BO10" s="93">
        <v>361</v>
      </c>
      <c r="BP10" s="93">
        <v>403</v>
      </c>
      <c r="BQ10" s="93">
        <v>406</v>
      </c>
      <c r="BR10" s="93">
        <v>411</v>
      </c>
      <c r="BS10" s="139">
        <v>342</v>
      </c>
      <c r="BT10" s="139">
        <v>358</v>
      </c>
      <c r="BU10" s="139">
        <v>363</v>
      </c>
      <c r="BV10" s="139">
        <v>437</v>
      </c>
      <c r="BW10" s="139">
        <v>458</v>
      </c>
      <c r="BX10" s="139">
        <v>417</v>
      </c>
      <c r="BY10" s="139">
        <v>508</v>
      </c>
      <c r="BZ10" s="139">
        <v>478</v>
      </c>
      <c r="CA10" s="139">
        <v>359</v>
      </c>
      <c r="CB10" s="139">
        <v>435</v>
      </c>
      <c r="CC10" s="139">
        <v>433</v>
      </c>
      <c r="CD10" s="139">
        <v>473</v>
      </c>
      <c r="CE10" s="139">
        <v>374</v>
      </c>
      <c r="CF10" s="139">
        <v>460</v>
      </c>
      <c r="CG10" s="139">
        <v>500</v>
      </c>
      <c r="CH10" s="139">
        <v>537</v>
      </c>
      <c r="CI10" s="139">
        <v>449</v>
      </c>
      <c r="CJ10" s="139">
        <v>516</v>
      </c>
      <c r="CK10" s="139">
        <v>511</v>
      </c>
      <c r="CL10" s="139">
        <v>509</v>
      </c>
      <c r="CM10" s="139">
        <v>426</v>
      </c>
      <c r="CN10" s="139">
        <v>485</v>
      </c>
      <c r="CO10" s="139"/>
      <c r="CP10" s="139"/>
      <c r="CQ10" s="139"/>
      <c r="CR10" s="139"/>
      <c r="CS10" s="139"/>
      <c r="CT10" s="139"/>
      <c r="CU10" s="153"/>
      <c r="CV10" s="139"/>
      <c r="CW10" s="139"/>
      <c r="CX10" s="139"/>
      <c r="CY10" s="139"/>
      <c r="CZ10" s="139"/>
      <c r="DA10" s="139"/>
      <c r="DB10" s="93"/>
      <c r="DC10" s="93"/>
      <c r="DD10" s="93"/>
      <c r="DE10" s="93"/>
      <c r="DF10" s="103"/>
      <c r="DG10" s="103"/>
      <c r="DH10" s="93"/>
      <c r="DI10" s="93"/>
      <c r="DJ10" s="93"/>
      <c r="DK10" s="93"/>
      <c r="DL10" s="93"/>
      <c r="DM10" s="93"/>
      <c r="DN10" s="139"/>
      <c r="DO10" s="139"/>
      <c r="DP10" s="139"/>
      <c r="DQ10" s="139">
        <f t="shared" ref="DQ10:DQ38" si="11">SUM(BW10:BZ10)</f>
        <v>1861</v>
      </c>
      <c r="DR10" s="79">
        <f t="shared" ref="DR10:DR38" si="12">SUM(CA10:CD10)</f>
        <v>1700</v>
      </c>
      <c r="DS10" s="79">
        <f t="shared" ref="DS10:DS38" si="13">SUM(CE10:CH10)</f>
        <v>1871</v>
      </c>
      <c r="DT10" s="79">
        <f t="shared" ref="DT10:DT38" si="14">SUM(CI10:CL10)</f>
        <v>1985</v>
      </c>
      <c r="DU10" s="79">
        <f t="shared" ref="DU10:DV10" si="15">+DT10*0.95</f>
        <v>1885.75</v>
      </c>
      <c r="DV10" s="79">
        <f t="shared" si="15"/>
        <v>1791.4624999999999</v>
      </c>
      <c r="DW10" s="79">
        <f>+DV10*0.1</f>
        <v>179.14625000000001</v>
      </c>
      <c r="DX10" s="79">
        <f t="shared" ref="DX10:EF10" si="16">+DW10*0.1</f>
        <v>17.914625000000001</v>
      </c>
      <c r="DY10" s="79">
        <f t="shared" si="16"/>
        <v>1.7914625000000002</v>
      </c>
      <c r="DZ10" s="79">
        <f t="shared" si="16"/>
        <v>0.17914625000000003</v>
      </c>
      <c r="EA10" s="79">
        <f t="shared" si="16"/>
        <v>1.7914625000000003E-2</v>
      </c>
      <c r="EB10" s="79">
        <f t="shared" si="16"/>
        <v>1.7914625000000003E-3</v>
      </c>
      <c r="EC10" s="79">
        <f t="shared" si="16"/>
        <v>1.7914625000000004E-4</v>
      </c>
      <c r="ED10" s="79">
        <f t="shared" si="16"/>
        <v>1.7914625000000005E-5</v>
      </c>
      <c r="EE10" s="79">
        <f t="shared" si="16"/>
        <v>1.7914625000000005E-6</v>
      </c>
      <c r="EF10" s="79">
        <f t="shared" si="16"/>
        <v>1.7914625000000007E-7</v>
      </c>
    </row>
    <row r="11" spans="1:136" s="100" customFormat="1" x14ac:dyDescent="0.2">
      <c r="B11" s="100" t="s">
        <v>735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93">
        <v>45</v>
      </c>
      <c r="BG11" s="93">
        <v>158</v>
      </c>
      <c r="BH11" s="93">
        <v>302</v>
      </c>
      <c r="BI11" s="93">
        <v>461</v>
      </c>
      <c r="BJ11" s="93">
        <v>563</v>
      </c>
      <c r="BK11" s="182">
        <v>769</v>
      </c>
      <c r="BL11" s="182">
        <v>857</v>
      </c>
      <c r="BM11" s="93">
        <v>988</v>
      </c>
      <c r="BN11" s="139">
        <v>1060</v>
      </c>
      <c r="BO11" s="93">
        <v>1082</v>
      </c>
      <c r="BP11" s="93">
        <v>1160</v>
      </c>
      <c r="BQ11" s="93">
        <v>1176</v>
      </c>
      <c r="BR11" s="93">
        <v>1206</v>
      </c>
      <c r="BS11" s="93">
        <v>1015</v>
      </c>
      <c r="BT11" s="93">
        <v>980</v>
      </c>
      <c r="BU11" s="93">
        <v>978</v>
      </c>
      <c r="BV11" s="93">
        <v>958</v>
      </c>
      <c r="BW11" s="139">
        <v>824</v>
      </c>
      <c r="BX11" s="139">
        <v>816</v>
      </c>
      <c r="BY11" s="139">
        <v>846</v>
      </c>
      <c r="BZ11" s="139">
        <v>852</v>
      </c>
      <c r="CA11" s="139">
        <v>673</v>
      </c>
      <c r="CB11" s="139">
        <v>706</v>
      </c>
      <c r="CC11" s="139">
        <v>744</v>
      </c>
      <c r="CD11" s="139">
        <v>756</v>
      </c>
      <c r="CE11" s="139">
        <v>582</v>
      </c>
      <c r="CF11" s="139">
        <v>582</v>
      </c>
      <c r="CG11" s="139">
        <v>600</v>
      </c>
      <c r="CH11" s="139">
        <v>640</v>
      </c>
      <c r="CI11" s="139">
        <v>501</v>
      </c>
      <c r="CJ11" s="139">
        <v>540</v>
      </c>
      <c r="CK11" s="139">
        <v>503</v>
      </c>
      <c r="CL11" s="139">
        <v>517</v>
      </c>
      <c r="CM11" s="139">
        <v>403</v>
      </c>
      <c r="CN11" s="139">
        <v>440</v>
      </c>
      <c r="CO11" s="139"/>
      <c r="CP11" s="139"/>
      <c r="CQ11" s="139"/>
      <c r="CR11" s="139"/>
      <c r="CS11" s="139"/>
      <c r="CT11" s="139"/>
      <c r="CU11" s="153"/>
      <c r="CV11" s="139"/>
      <c r="CW11" s="139"/>
      <c r="CX11" s="139"/>
      <c r="CY11" s="139"/>
      <c r="CZ11" s="139"/>
      <c r="DA11" s="139"/>
      <c r="DB11" s="93"/>
      <c r="DC11" s="93"/>
      <c r="DD11" s="93"/>
      <c r="DE11" s="93"/>
      <c r="DF11" s="103"/>
      <c r="DG11" s="103"/>
      <c r="DH11" s="93"/>
      <c r="DI11" s="93"/>
      <c r="DJ11" s="93"/>
      <c r="DK11" s="93"/>
      <c r="DL11" s="93"/>
      <c r="DM11" s="93"/>
      <c r="DN11" s="139"/>
      <c r="DO11" s="139"/>
      <c r="DP11" s="139"/>
      <c r="DQ11" s="139">
        <f t="shared" si="11"/>
        <v>3338</v>
      </c>
      <c r="DR11" s="79">
        <f t="shared" si="12"/>
        <v>2879</v>
      </c>
      <c r="DS11" s="79">
        <f t="shared" si="13"/>
        <v>2404</v>
      </c>
      <c r="DT11" s="79">
        <f t="shared" si="14"/>
        <v>2061</v>
      </c>
      <c r="DU11" s="79">
        <f>+DT11*0.9</f>
        <v>1854.9</v>
      </c>
      <c r="DV11" s="79">
        <f t="shared" ref="DV11:DW11" si="17">+DU11*0.9</f>
        <v>1669.41</v>
      </c>
      <c r="DW11" s="79">
        <f t="shared" si="17"/>
        <v>1502.4690000000001</v>
      </c>
      <c r="DX11" s="79">
        <f>+DW11*0.1</f>
        <v>150.24690000000001</v>
      </c>
      <c r="DY11" s="79">
        <f t="shared" ref="DY11:EF11" si="18">+DX11*0.1</f>
        <v>15.024690000000001</v>
      </c>
      <c r="DZ11" s="79">
        <f t="shared" si="18"/>
        <v>1.5024690000000003</v>
      </c>
      <c r="EA11" s="79">
        <f t="shared" si="18"/>
        <v>0.15024690000000004</v>
      </c>
      <c r="EB11" s="79">
        <f t="shared" si="18"/>
        <v>1.5024690000000005E-2</v>
      </c>
      <c r="EC11" s="79">
        <f t="shared" si="18"/>
        <v>1.5024690000000006E-3</v>
      </c>
      <c r="ED11" s="79">
        <f t="shared" si="18"/>
        <v>1.5024690000000007E-4</v>
      </c>
      <c r="EE11" s="79">
        <f t="shared" si="18"/>
        <v>1.5024690000000008E-5</v>
      </c>
      <c r="EF11" s="79">
        <f t="shared" si="18"/>
        <v>1.5024690000000009E-6</v>
      </c>
    </row>
    <row r="12" spans="1:136" s="100" customFormat="1" x14ac:dyDescent="0.2">
      <c r="B12" s="100" t="s">
        <v>736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>
        <v>58</v>
      </c>
      <c r="BI12" s="93">
        <v>105</v>
      </c>
      <c r="BJ12" s="93">
        <v>155</v>
      </c>
      <c r="BK12" s="182">
        <v>227</v>
      </c>
      <c r="BL12" s="182">
        <v>258</v>
      </c>
      <c r="BM12" s="93">
        <v>296</v>
      </c>
      <c r="BN12" s="139">
        <v>325</v>
      </c>
      <c r="BO12" s="93">
        <v>342</v>
      </c>
      <c r="BP12" s="93">
        <v>385</v>
      </c>
      <c r="BQ12" s="93">
        <v>423</v>
      </c>
      <c r="BR12" s="93">
        <v>448</v>
      </c>
      <c r="BS12" s="93">
        <v>397</v>
      </c>
      <c r="BT12" s="93">
        <v>387</v>
      </c>
      <c r="BU12" s="93">
        <v>436</v>
      </c>
      <c r="BV12" s="93">
        <v>435</v>
      </c>
      <c r="BW12" s="139">
        <v>409</v>
      </c>
      <c r="BX12" s="139">
        <v>382</v>
      </c>
      <c r="BY12" s="139">
        <v>437</v>
      </c>
      <c r="BZ12" s="139">
        <v>444</v>
      </c>
      <c r="CA12" s="139">
        <v>367</v>
      </c>
      <c r="CB12" s="139">
        <v>382</v>
      </c>
      <c r="CC12" s="139">
        <v>399</v>
      </c>
      <c r="CD12" s="139">
        <v>420</v>
      </c>
      <c r="CE12" s="139">
        <v>339</v>
      </c>
      <c r="CF12" s="139">
        <v>364</v>
      </c>
      <c r="CG12" s="139">
        <v>374</v>
      </c>
      <c r="CH12" s="139">
        <v>392</v>
      </c>
      <c r="CI12" s="139">
        <v>317</v>
      </c>
      <c r="CJ12" s="139">
        <v>351</v>
      </c>
      <c r="CK12" s="139">
        <v>343</v>
      </c>
      <c r="CL12" s="139">
        <v>340</v>
      </c>
      <c r="CM12" s="139">
        <v>310</v>
      </c>
      <c r="CN12" s="139">
        <v>315</v>
      </c>
      <c r="CO12" s="139"/>
      <c r="CP12" s="139"/>
      <c r="CQ12" s="139"/>
      <c r="CR12" s="139"/>
      <c r="CS12" s="139"/>
      <c r="CT12" s="139"/>
      <c r="CU12" s="153"/>
      <c r="CV12" s="139"/>
      <c r="CW12" s="139"/>
      <c r="CX12" s="139"/>
      <c r="CY12" s="139"/>
      <c r="CZ12" s="139"/>
      <c r="DA12" s="139"/>
      <c r="DB12" s="93"/>
      <c r="DC12" s="93"/>
      <c r="DD12" s="93"/>
      <c r="DE12" s="93"/>
      <c r="DF12" s="103"/>
      <c r="DG12" s="103"/>
      <c r="DH12" s="93"/>
      <c r="DI12" s="93"/>
      <c r="DJ12" s="93"/>
      <c r="DK12" s="93"/>
      <c r="DL12" s="93"/>
      <c r="DM12" s="93"/>
      <c r="DN12" s="139"/>
      <c r="DO12" s="139"/>
      <c r="DP12" s="139"/>
      <c r="DQ12" s="139">
        <f t="shared" si="11"/>
        <v>1672</v>
      </c>
      <c r="DR12" s="79">
        <f t="shared" si="12"/>
        <v>1568</v>
      </c>
      <c r="DS12" s="79">
        <f t="shared" si="13"/>
        <v>1469</v>
      </c>
      <c r="DT12" s="79">
        <f t="shared" si="14"/>
        <v>1351</v>
      </c>
      <c r="DU12" s="79">
        <f>+DT12*0.9</f>
        <v>1215.9000000000001</v>
      </c>
      <c r="DV12" s="79">
        <f>+DU12*0.5</f>
        <v>607.95000000000005</v>
      </c>
      <c r="DW12" s="153">
        <f>+DV12*0.1</f>
        <v>60.795000000000009</v>
      </c>
      <c r="DX12" s="153">
        <f t="shared" ref="DX12:EF12" si="19">+DW12*0.1</f>
        <v>6.0795000000000012</v>
      </c>
      <c r="DY12" s="153">
        <f t="shared" si="19"/>
        <v>0.60795000000000021</v>
      </c>
      <c r="DZ12" s="153">
        <f t="shared" si="19"/>
        <v>6.0795000000000023E-2</v>
      </c>
      <c r="EA12" s="153">
        <f t="shared" si="19"/>
        <v>6.0795000000000024E-3</v>
      </c>
      <c r="EB12" s="153">
        <f t="shared" si="19"/>
        <v>6.0795000000000033E-4</v>
      </c>
      <c r="EC12" s="153">
        <f t="shared" si="19"/>
        <v>6.0795000000000037E-5</v>
      </c>
      <c r="ED12" s="153">
        <f t="shared" si="19"/>
        <v>6.0795000000000042E-6</v>
      </c>
      <c r="EE12" s="153">
        <f t="shared" si="19"/>
        <v>6.0795000000000046E-7</v>
      </c>
      <c r="EF12" s="153">
        <f t="shared" si="19"/>
        <v>6.0795000000000049E-8</v>
      </c>
    </row>
    <row r="13" spans="1:136" s="100" customFormat="1" x14ac:dyDescent="0.2">
      <c r="B13" s="100" t="s">
        <v>737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39">
        <v>0</v>
      </c>
      <c r="BO13" s="93">
        <v>0</v>
      </c>
      <c r="BP13" s="93">
        <v>13</v>
      </c>
      <c r="BQ13" s="93">
        <v>22</v>
      </c>
      <c r="BR13" s="93">
        <v>37</v>
      </c>
      <c r="BS13" s="93">
        <v>66</v>
      </c>
      <c r="BT13" s="93">
        <v>84</v>
      </c>
      <c r="BU13" s="93">
        <v>104</v>
      </c>
      <c r="BV13" s="93">
        <v>125</v>
      </c>
      <c r="BW13" s="139">
        <v>112</v>
      </c>
      <c r="BX13" s="139">
        <v>132</v>
      </c>
      <c r="BY13" s="139">
        <v>118</v>
      </c>
      <c r="BZ13" s="139">
        <v>126</v>
      </c>
      <c r="CA13" s="139">
        <v>135</v>
      </c>
      <c r="CB13" s="139">
        <v>129</v>
      </c>
      <c r="CC13" s="139">
        <v>130</v>
      </c>
      <c r="CD13" s="139">
        <v>137</v>
      </c>
      <c r="CE13" s="139">
        <v>132</v>
      </c>
      <c r="CF13" s="139">
        <v>126</v>
      </c>
      <c r="CG13" s="139">
        <v>130</v>
      </c>
      <c r="CH13" s="139">
        <v>142</v>
      </c>
      <c r="CI13" s="139">
        <v>138</v>
      </c>
      <c r="CJ13" s="139">
        <v>120</v>
      </c>
      <c r="CK13" s="139">
        <v>131</v>
      </c>
      <c r="CL13" s="139">
        <v>139</v>
      </c>
      <c r="CM13" s="139">
        <v>141</v>
      </c>
      <c r="CN13" s="139">
        <v>168</v>
      </c>
      <c r="CO13" s="139"/>
      <c r="CP13" s="139"/>
      <c r="CQ13" s="139"/>
      <c r="CR13" s="139"/>
      <c r="CS13" s="139"/>
      <c r="CT13" s="139"/>
      <c r="CU13" s="153"/>
      <c r="CV13" s="139"/>
      <c r="CW13" s="139"/>
      <c r="CX13" s="139"/>
      <c r="CY13" s="139"/>
      <c r="CZ13" s="139"/>
      <c r="DA13" s="139"/>
      <c r="DB13" s="93"/>
      <c r="DC13" s="93"/>
      <c r="DD13" s="93"/>
      <c r="DE13" s="93"/>
      <c r="DF13" s="103"/>
      <c r="DG13" s="103"/>
      <c r="DH13" s="93"/>
      <c r="DI13" s="93"/>
      <c r="DJ13" s="93"/>
      <c r="DK13" s="93"/>
      <c r="DL13" s="93"/>
      <c r="DM13" s="93"/>
      <c r="DN13" s="139"/>
      <c r="DO13" s="139"/>
      <c r="DP13" s="139"/>
      <c r="DQ13" s="139">
        <f t="shared" si="11"/>
        <v>488</v>
      </c>
      <c r="DR13" s="79">
        <f t="shared" si="12"/>
        <v>531</v>
      </c>
      <c r="DS13" s="79">
        <f t="shared" si="13"/>
        <v>530</v>
      </c>
      <c r="DT13" s="79">
        <f t="shared" si="14"/>
        <v>528</v>
      </c>
      <c r="DU13" s="79">
        <f>+DT13*0.9</f>
        <v>475.2</v>
      </c>
      <c r="DV13" s="79">
        <f t="shared" ref="DV13:EF13" si="20">+DU13*0.9</f>
        <v>427.68</v>
      </c>
      <c r="DW13" s="79">
        <f t="shared" si="20"/>
        <v>384.91200000000003</v>
      </c>
      <c r="DX13" s="79">
        <f t="shared" si="20"/>
        <v>346.42080000000004</v>
      </c>
      <c r="DY13" s="79">
        <f t="shared" si="20"/>
        <v>311.77872000000002</v>
      </c>
      <c r="DZ13" s="79">
        <f t="shared" si="20"/>
        <v>280.60084800000004</v>
      </c>
      <c r="EA13" s="79">
        <f t="shared" si="20"/>
        <v>252.54076320000004</v>
      </c>
      <c r="EB13" s="79">
        <f t="shared" si="20"/>
        <v>227.28668688000005</v>
      </c>
      <c r="EC13" s="79">
        <f t="shared" si="20"/>
        <v>204.55801819200005</v>
      </c>
      <c r="ED13" s="79">
        <f t="shared" si="20"/>
        <v>184.10221637280006</v>
      </c>
      <c r="EE13" s="79">
        <f t="shared" si="20"/>
        <v>165.69199473552007</v>
      </c>
      <c r="EF13" s="79">
        <f t="shared" si="20"/>
        <v>149.12279526196807</v>
      </c>
    </row>
    <row r="14" spans="1:136" s="15" customFormat="1" x14ac:dyDescent="0.2">
      <c r="B14" s="92" t="s">
        <v>723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102"/>
      <c r="AF14" s="102"/>
      <c r="AG14" s="102"/>
      <c r="AH14" s="102"/>
      <c r="AI14" s="102"/>
      <c r="AJ14" s="102"/>
      <c r="AK14" s="102"/>
      <c r="AL14" s="102"/>
      <c r="AM14" s="126">
        <v>0</v>
      </c>
      <c r="AN14" s="126">
        <v>0</v>
      </c>
      <c r="AO14" s="93">
        <v>0</v>
      </c>
      <c r="AP14" s="93">
        <v>0</v>
      </c>
      <c r="AQ14" s="93">
        <v>0</v>
      </c>
      <c r="AR14" s="93">
        <v>0</v>
      </c>
      <c r="AS14" s="93">
        <v>17.510999999999999</v>
      </c>
      <c r="AT14" s="93">
        <v>40.024999999999999</v>
      </c>
      <c r="AU14" s="93">
        <v>92.147999999999996</v>
      </c>
      <c r="AV14" s="93">
        <v>99.394000000000005</v>
      </c>
      <c r="AW14" s="93">
        <v>143.953</v>
      </c>
      <c r="AX14" s="93">
        <v>203.761</v>
      </c>
      <c r="AY14" s="93">
        <v>215.27099999999999</v>
      </c>
      <c r="AZ14" s="126">
        <v>269.52</v>
      </c>
      <c r="BA14" s="93">
        <v>327</v>
      </c>
      <c r="BB14" s="93">
        <v>385</v>
      </c>
      <c r="BC14" s="93">
        <v>356</v>
      </c>
      <c r="BD14" s="93">
        <v>447</v>
      </c>
      <c r="BE14" s="93">
        <v>511</v>
      </c>
      <c r="BF14" s="93">
        <v>511</v>
      </c>
      <c r="BG14" s="93">
        <v>477</v>
      </c>
      <c r="BH14" s="93">
        <v>429</v>
      </c>
      <c r="BI14" s="93">
        <v>621</v>
      </c>
      <c r="BJ14" s="93">
        <v>387</v>
      </c>
      <c r="BK14" s="182">
        <v>309</v>
      </c>
      <c r="BL14" s="182">
        <v>293</v>
      </c>
      <c r="BM14" s="93">
        <v>229</v>
      </c>
      <c r="BN14" s="139">
        <v>222</v>
      </c>
      <c r="BO14" s="93">
        <v>174</v>
      </c>
      <c r="BP14" s="93">
        <v>187</v>
      </c>
      <c r="BQ14" s="93">
        <v>146</v>
      </c>
      <c r="BR14" s="93">
        <v>137</v>
      </c>
      <c r="BS14" s="93">
        <v>96</v>
      </c>
      <c r="BT14" s="93">
        <v>108</v>
      </c>
      <c r="BU14" s="93">
        <v>94</v>
      </c>
      <c r="BV14" s="93">
        <v>71</v>
      </c>
      <c r="BW14" s="139">
        <v>53</v>
      </c>
      <c r="BX14" s="139">
        <v>59</v>
      </c>
      <c r="BY14" s="139">
        <v>42</v>
      </c>
      <c r="BZ14" s="139">
        <v>42</v>
      </c>
      <c r="CA14" s="139">
        <v>46</v>
      </c>
      <c r="CB14" s="139">
        <v>51</v>
      </c>
      <c r="CC14" s="139">
        <v>42</v>
      </c>
      <c r="CD14" s="139">
        <v>50</v>
      </c>
      <c r="CE14" s="139">
        <v>32</v>
      </c>
      <c r="CF14" s="139">
        <v>33</v>
      </c>
      <c r="CG14" s="139">
        <v>32</v>
      </c>
      <c r="CH14" s="139">
        <v>29</v>
      </c>
      <c r="CI14" s="139">
        <v>28</v>
      </c>
      <c r="CJ14" s="139">
        <v>26</v>
      </c>
      <c r="CK14" s="139">
        <v>25</v>
      </c>
      <c r="CL14" s="139">
        <v>22</v>
      </c>
      <c r="CM14" s="139"/>
      <c r="CN14" s="139"/>
      <c r="CO14" s="139"/>
      <c r="CP14" s="139"/>
      <c r="CQ14" s="139"/>
      <c r="CR14" s="139"/>
      <c r="CS14" s="139"/>
      <c r="CT14" s="139"/>
      <c r="CU14" s="13"/>
      <c r="CV14" s="154"/>
      <c r="CW14" s="154"/>
      <c r="CX14" s="154"/>
      <c r="CY14" s="154"/>
      <c r="CZ14" s="154"/>
      <c r="DA14" s="154"/>
      <c r="DB14" s="85"/>
      <c r="DC14" s="93"/>
      <c r="DD14" s="93"/>
      <c r="DE14" s="93"/>
      <c r="DF14" s="103"/>
      <c r="DG14" s="103"/>
      <c r="DH14" s="93">
        <f>SUM(AM14:AP14)</f>
        <v>0</v>
      </c>
      <c r="DI14" s="93">
        <f>SUM(AQ14:AT14)</f>
        <v>57.536000000000001</v>
      </c>
      <c r="DJ14" s="83">
        <f>SUM(AU14:AX14)</f>
        <v>539.25599999999997</v>
      </c>
      <c r="DK14" s="93">
        <f>SUM(AY14:BB14)</f>
        <v>1196.7909999999999</v>
      </c>
      <c r="DL14" s="93">
        <f>+DK14*1.5</f>
        <v>1795.1864999999998</v>
      </c>
      <c r="DM14" s="93">
        <f>+DL14*1.5</f>
        <v>2692.7797499999997</v>
      </c>
      <c r="DN14" s="139"/>
      <c r="DO14" s="139"/>
      <c r="DP14" s="139"/>
      <c r="DQ14" s="139">
        <f t="shared" si="11"/>
        <v>196</v>
      </c>
      <c r="DR14" s="79">
        <f t="shared" si="12"/>
        <v>189</v>
      </c>
      <c r="DS14" s="79">
        <f t="shared" si="13"/>
        <v>126</v>
      </c>
      <c r="DT14" s="79">
        <f t="shared" si="14"/>
        <v>101</v>
      </c>
      <c r="DU14" s="79">
        <f t="shared" ref="DU14:EF14" si="21">+DT14*0.9</f>
        <v>90.9</v>
      </c>
      <c r="DV14" s="79">
        <f t="shared" si="21"/>
        <v>81.81</v>
      </c>
      <c r="DW14" s="79">
        <f t="shared" si="21"/>
        <v>73.629000000000005</v>
      </c>
      <c r="DX14" s="79">
        <f t="shared" si="21"/>
        <v>66.266100000000009</v>
      </c>
      <c r="DY14" s="79">
        <f t="shared" si="21"/>
        <v>59.639490000000009</v>
      </c>
      <c r="DZ14" s="79">
        <f t="shared" si="21"/>
        <v>53.67554100000001</v>
      </c>
      <c r="EA14" s="79">
        <f t="shared" si="21"/>
        <v>48.30798690000001</v>
      </c>
      <c r="EB14" s="79">
        <f t="shared" si="21"/>
        <v>43.477188210000008</v>
      </c>
      <c r="EC14" s="79">
        <f t="shared" si="21"/>
        <v>39.129469389000008</v>
      </c>
      <c r="ED14" s="79">
        <f t="shared" si="21"/>
        <v>35.216522450100008</v>
      </c>
      <c r="EE14" s="79">
        <f t="shared" si="21"/>
        <v>31.694870205090009</v>
      </c>
      <c r="EF14" s="79">
        <f t="shared" si="21"/>
        <v>28.52538318458101</v>
      </c>
    </row>
    <row r="15" spans="1:136" s="16" customFormat="1" x14ac:dyDescent="0.2">
      <c r="B15" s="92" t="s">
        <v>724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2">
        <v>68.373000000000005</v>
      </c>
      <c r="V15" s="83">
        <v>137.39599999999999</v>
      </c>
      <c r="W15" s="82">
        <v>190.13300000000001</v>
      </c>
      <c r="X15" s="82" t="e">
        <f>#REF!+#REF!</f>
        <v>#REF!</v>
      </c>
      <c r="Y15" s="82">
        <v>241.101</v>
      </c>
      <c r="Z15" s="82">
        <v>259.71300000000002</v>
      </c>
      <c r="AA15" s="82">
        <v>324.21699999999998</v>
      </c>
      <c r="AB15" s="82" t="e">
        <f>#REF!+#REF!</f>
        <v>#REF!</v>
      </c>
      <c r="AC15" s="82" t="e">
        <f>+#REF!+#REF!</f>
        <v>#REF!</v>
      </c>
      <c r="AD15" s="82" t="e">
        <f>+#REF!+#REF!</f>
        <v>#REF!</v>
      </c>
      <c r="AE15" s="104">
        <v>509.88300000000004</v>
      </c>
      <c r="AF15" s="104">
        <v>569.14200000000005</v>
      </c>
      <c r="AG15" s="104">
        <v>605.29899999999998</v>
      </c>
      <c r="AH15" s="104">
        <v>697.78899999999999</v>
      </c>
      <c r="AI15" s="104"/>
      <c r="AJ15" s="127">
        <v>715.80399999999997</v>
      </c>
      <c r="AK15" s="104">
        <v>742.7</v>
      </c>
      <c r="AL15" s="104"/>
      <c r="AM15" s="127">
        <v>744.51199999999994</v>
      </c>
      <c r="AN15" s="127">
        <v>821.99199999999996</v>
      </c>
      <c r="AO15" s="82">
        <v>794.7</v>
      </c>
      <c r="AP15" s="82">
        <v>863.31500000000005</v>
      </c>
      <c r="AQ15" s="82">
        <v>887.596</v>
      </c>
      <c r="AR15" s="82">
        <v>904.02300000000002</v>
      </c>
      <c r="AS15" s="82">
        <v>865.37800000000004</v>
      </c>
      <c r="AT15" s="82">
        <v>917.48599999999999</v>
      </c>
      <c r="AU15" s="82">
        <v>877.07299999999998</v>
      </c>
      <c r="AV15" s="82">
        <v>938.10799999999995</v>
      </c>
      <c r="AW15" s="82">
        <v>899.66899999999998</v>
      </c>
      <c r="AX15" s="82">
        <v>933.64599999999996</v>
      </c>
      <c r="AY15" s="82">
        <v>779.59400000000005</v>
      </c>
      <c r="AZ15" s="127">
        <v>870.70799999999997</v>
      </c>
      <c r="BA15" s="82">
        <v>895</v>
      </c>
      <c r="BB15" s="82">
        <v>925</v>
      </c>
      <c r="BC15" s="82">
        <v>734</v>
      </c>
      <c r="BD15" s="82">
        <v>782</v>
      </c>
      <c r="BE15" s="82">
        <v>818</v>
      </c>
      <c r="BF15" s="82">
        <v>800</v>
      </c>
      <c r="BG15" s="82">
        <v>675</v>
      </c>
      <c r="BH15" s="82">
        <v>673</v>
      </c>
      <c r="BI15" s="82">
        <v>650</v>
      </c>
      <c r="BJ15" s="82">
        <v>607</v>
      </c>
      <c r="BK15" s="183">
        <v>452</v>
      </c>
      <c r="BL15" s="183">
        <v>475</v>
      </c>
      <c r="BM15" s="82">
        <v>439</v>
      </c>
      <c r="BN15" s="140">
        <v>440</v>
      </c>
      <c r="BO15" s="82">
        <v>314</v>
      </c>
      <c r="BP15" s="82">
        <v>349</v>
      </c>
      <c r="BQ15" s="82">
        <v>258</v>
      </c>
      <c r="BR15" s="82">
        <v>285</v>
      </c>
      <c r="BS15" s="82">
        <v>171</v>
      </c>
      <c r="BT15" s="82">
        <v>152</v>
      </c>
      <c r="BU15" s="82">
        <v>149</v>
      </c>
      <c r="BV15" s="82">
        <v>128</v>
      </c>
      <c r="BW15" s="140">
        <v>95</v>
      </c>
      <c r="BX15" s="140">
        <v>103</v>
      </c>
      <c r="BY15" s="140">
        <v>113</v>
      </c>
      <c r="BZ15" s="140">
        <v>38</v>
      </c>
      <c r="CA15" s="104"/>
      <c r="CB15" s="140">
        <v>60</v>
      </c>
      <c r="CC15" s="140">
        <v>27</v>
      </c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"/>
      <c r="CV15" s="14"/>
      <c r="CW15" s="14"/>
      <c r="CX15" s="14"/>
      <c r="CY15" s="14"/>
      <c r="CZ15" s="14"/>
      <c r="DA15" s="14"/>
      <c r="DC15" s="83">
        <f>V15+U15</f>
        <v>205.76900000000001</v>
      </c>
      <c r="DD15" s="83">
        <v>903.38099999999997</v>
      </c>
      <c r="DE15" s="83">
        <v>1572.4549999999999</v>
      </c>
      <c r="DF15" s="108">
        <f>SUM(AE15:AH15)</f>
        <v>2382.1130000000003</v>
      </c>
      <c r="DG15" s="108">
        <v>2926.1129999999998</v>
      </c>
      <c r="DH15" s="93">
        <f t="shared" ref="DH15" si="22">SUM(AM15:AP15)</f>
        <v>3224.5189999999998</v>
      </c>
      <c r="DI15" s="93">
        <f t="shared" ref="DI15" si="23">SUM(AQ15:AT15)</f>
        <v>3574.4830000000002</v>
      </c>
      <c r="DJ15" s="93">
        <f t="shared" ref="DJ15" si="24">SUM(AU15:AX15)</f>
        <v>3648.4960000000001</v>
      </c>
      <c r="DK15" s="93">
        <f>SUM(AY15:BB15)</f>
        <v>3470.3020000000001</v>
      </c>
      <c r="DL15" s="83">
        <f t="shared" ref="DL15:DM15" si="25">DK15*1.05</f>
        <v>3643.8171000000002</v>
      </c>
      <c r="DM15" s="83">
        <f t="shared" si="25"/>
        <v>3826.0079550000005</v>
      </c>
      <c r="DN15" s="142"/>
      <c r="DO15" s="142"/>
      <c r="DP15" s="142"/>
      <c r="DQ15" s="139">
        <f t="shared" si="11"/>
        <v>349</v>
      </c>
      <c r="DR15" s="79">
        <f t="shared" si="12"/>
        <v>87</v>
      </c>
      <c r="DS15" s="79">
        <f>SUM(CE15:CH15)</f>
        <v>0</v>
      </c>
      <c r="DT15" s="79">
        <f t="shared" si="14"/>
        <v>0</v>
      </c>
      <c r="DU15" s="79">
        <f t="shared" ref="DU15:EF15" si="26">+DT15*0.9</f>
        <v>0</v>
      </c>
      <c r="DV15" s="79">
        <f t="shared" si="26"/>
        <v>0</v>
      </c>
      <c r="DW15" s="79">
        <f t="shared" si="26"/>
        <v>0</v>
      </c>
      <c r="DX15" s="79">
        <f t="shared" si="26"/>
        <v>0</v>
      </c>
      <c r="DY15" s="79">
        <f t="shared" si="26"/>
        <v>0</v>
      </c>
      <c r="DZ15" s="79">
        <f t="shared" si="26"/>
        <v>0</v>
      </c>
      <c r="EA15" s="79">
        <f t="shared" si="26"/>
        <v>0</v>
      </c>
      <c r="EB15" s="79">
        <f t="shared" si="26"/>
        <v>0</v>
      </c>
      <c r="EC15" s="79">
        <f t="shared" si="26"/>
        <v>0</v>
      </c>
      <c r="ED15" s="79">
        <f t="shared" si="26"/>
        <v>0</v>
      </c>
      <c r="EE15" s="79">
        <f t="shared" si="26"/>
        <v>0</v>
      </c>
      <c r="EF15" s="79">
        <f t="shared" si="26"/>
        <v>0</v>
      </c>
    </row>
    <row r="16" spans="1:136" s="17" customFormat="1" x14ac:dyDescent="0.2">
      <c r="B16" s="100" t="s">
        <v>722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>
        <v>18.2</v>
      </c>
      <c r="N16" s="82">
        <v>49.7</v>
      </c>
      <c r="O16" s="82">
        <v>91.2</v>
      </c>
      <c r="P16" s="82">
        <v>123.1</v>
      </c>
      <c r="Q16" s="82">
        <v>162.4</v>
      </c>
      <c r="R16" s="82">
        <v>191.1</v>
      </c>
      <c r="S16" s="82">
        <v>248.9</v>
      </c>
      <c r="T16" s="82">
        <v>299.3</v>
      </c>
      <c r="U16" s="82">
        <v>309.03300000000002</v>
      </c>
      <c r="V16" s="82">
        <v>337.05700000000002</v>
      </c>
      <c r="W16" s="82">
        <v>345.93799999999999</v>
      </c>
      <c r="X16" s="82" t="e">
        <f>#REF!+#REF!</f>
        <v>#REF!</v>
      </c>
      <c r="Y16" s="82">
        <v>409.084</v>
      </c>
      <c r="Z16" s="82">
        <v>448.84699999999998</v>
      </c>
      <c r="AA16" s="82">
        <v>479.38499999999999</v>
      </c>
      <c r="AB16" s="82" t="e">
        <f>#REF!+#REF!</f>
        <v>#REF!</v>
      </c>
      <c r="AC16" s="82" t="e">
        <f>#REF!+#REF!</f>
        <v>#REF!</v>
      </c>
      <c r="AD16" s="82" t="e">
        <f>#REF!+#REF!</f>
        <v>#REF!</v>
      </c>
      <c r="AE16" s="104">
        <v>590.35300000000007</v>
      </c>
      <c r="AF16" s="104">
        <v>608.07899999999995</v>
      </c>
      <c r="AG16" s="104">
        <v>620.56400000000008</v>
      </c>
      <c r="AH16" s="104">
        <v>670.68600000000004</v>
      </c>
      <c r="AI16" s="104"/>
      <c r="AJ16" s="127">
        <v>641.68200000000002</v>
      </c>
      <c r="AK16" s="104">
        <v>668.7</v>
      </c>
      <c r="AL16" s="104"/>
      <c r="AM16" s="127">
        <v>673.11099999999999</v>
      </c>
      <c r="AN16" s="127">
        <v>711.30100000000004</v>
      </c>
      <c r="AO16" s="82">
        <v>744.3</v>
      </c>
      <c r="AP16" s="82">
        <v>746.00199999999995</v>
      </c>
      <c r="AQ16" s="82">
        <v>758.26300000000003</v>
      </c>
      <c r="AR16" s="82">
        <v>785.93299999999999</v>
      </c>
      <c r="AS16" s="82">
        <v>804.19</v>
      </c>
      <c r="AT16" s="82">
        <v>832.72400000000005</v>
      </c>
      <c r="AU16" s="82">
        <v>700.24199999999996</v>
      </c>
      <c r="AV16" s="82">
        <v>807.779</v>
      </c>
      <c r="AW16" s="82">
        <v>813.65200000000004</v>
      </c>
      <c r="AX16" s="82">
        <v>814.09799999999996</v>
      </c>
      <c r="AY16" s="82">
        <v>759.7</v>
      </c>
      <c r="AZ16" s="127">
        <v>806.61</v>
      </c>
      <c r="BA16" s="82">
        <v>877</v>
      </c>
      <c r="BB16" s="82">
        <v>897</v>
      </c>
      <c r="BC16" s="82">
        <v>771</v>
      </c>
      <c r="BD16" s="93">
        <v>849</v>
      </c>
      <c r="BE16" s="82">
        <v>903</v>
      </c>
      <c r="BF16" s="82">
        <v>936</v>
      </c>
      <c r="BG16" s="82">
        <v>898</v>
      </c>
      <c r="BH16" s="82">
        <v>942</v>
      </c>
      <c r="BI16" s="82">
        <v>858</v>
      </c>
      <c r="BJ16" s="82">
        <v>868</v>
      </c>
      <c r="BK16" s="183">
        <v>714</v>
      </c>
      <c r="BL16" s="183">
        <v>812</v>
      </c>
      <c r="BM16" s="82">
        <v>811</v>
      </c>
      <c r="BN16" s="140">
        <v>797</v>
      </c>
      <c r="BO16" s="82">
        <v>652</v>
      </c>
      <c r="BP16" s="82">
        <v>765</v>
      </c>
      <c r="BQ16" s="82">
        <v>757</v>
      </c>
      <c r="BR16" s="82">
        <v>823</v>
      </c>
      <c r="BS16" s="82">
        <v>606</v>
      </c>
      <c r="BT16" s="82">
        <v>718</v>
      </c>
      <c r="BU16" s="82">
        <v>721</v>
      </c>
      <c r="BV16" s="82">
        <v>768</v>
      </c>
      <c r="BW16" s="140">
        <v>406</v>
      </c>
      <c r="BX16" s="140">
        <v>387</v>
      </c>
      <c r="BY16" s="140">
        <v>509</v>
      </c>
      <c r="BZ16" s="140">
        <v>146</v>
      </c>
      <c r="CA16" s="140">
        <v>135</v>
      </c>
      <c r="CB16" s="140">
        <v>108</v>
      </c>
      <c r="CC16" s="140">
        <v>67</v>
      </c>
      <c r="CD16" s="140">
        <v>61</v>
      </c>
      <c r="CE16" s="140">
        <v>38</v>
      </c>
      <c r="CF16" s="140">
        <v>34</v>
      </c>
      <c r="CG16" s="140">
        <v>30</v>
      </c>
      <c r="CH16" s="140">
        <v>45</v>
      </c>
      <c r="CI16" s="140">
        <v>32</v>
      </c>
      <c r="CJ16" s="140">
        <v>42</v>
      </c>
      <c r="CK16" s="140">
        <v>22</v>
      </c>
      <c r="CL16" s="140">
        <v>18</v>
      </c>
      <c r="CM16" s="140"/>
      <c r="CN16" s="140"/>
      <c r="CO16" s="140"/>
      <c r="CP16" s="140"/>
      <c r="CQ16" s="140"/>
      <c r="CR16" s="140"/>
      <c r="CS16" s="140"/>
      <c r="CT16" s="140"/>
      <c r="CU16" s="79"/>
      <c r="CV16" s="79"/>
      <c r="CW16" s="79"/>
      <c r="CX16" s="79"/>
      <c r="CY16" s="79"/>
      <c r="CZ16" s="79"/>
      <c r="DA16" s="79">
        <v>67.962426450334931</v>
      </c>
      <c r="DB16" s="17">
        <v>567.79999999999995</v>
      </c>
      <c r="DC16" s="82">
        <f>SUM(S16:V16)</f>
        <v>1194.29</v>
      </c>
      <c r="DD16" s="82"/>
      <c r="DE16" s="82"/>
      <c r="DF16" s="105">
        <f>SUM(AE16:AH16)</f>
        <v>2489.6820000000002</v>
      </c>
      <c r="DG16" s="105">
        <f>SUM(AI16:AL16)</f>
        <v>1310.3820000000001</v>
      </c>
      <c r="DH16" s="93">
        <f>SUM(AM16:AP16)</f>
        <v>2874.7139999999999</v>
      </c>
      <c r="DI16" s="93">
        <f>SUM(AQ16:AT16)</f>
        <v>3181.11</v>
      </c>
      <c r="DJ16" s="83">
        <f>SUM(AU16:AX16)</f>
        <v>3135.7709999999997</v>
      </c>
      <c r="DK16" s="93">
        <f>SUM(AY16:BB16)</f>
        <v>3340.31</v>
      </c>
      <c r="DL16" s="82">
        <f>+DK16*0.9</f>
        <v>3006.279</v>
      </c>
      <c r="DM16" s="82">
        <f t="shared" ref="DM16" si="27">+DL16*0.9</f>
        <v>2705.6511</v>
      </c>
      <c r="DN16" s="140"/>
      <c r="DO16" s="140"/>
      <c r="DP16" s="140"/>
      <c r="DQ16" s="139">
        <f t="shared" si="11"/>
        <v>1448</v>
      </c>
      <c r="DR16" s="79">
        <f t="shared" si="12"/>
        <v>371</v>
      </c>
      <c r="DS16" s="79">
        <f t="shared" si="13"/>
        <v>147</v>
      </c>
      <c r="DT16" s="79">
        <f t="shared" si="14"/>
        <v>114</v>
      </c>
      <c r="DU16" s="79">
        <f t="shared" ref="DU16:EF16" si="28">+DT16*0.9</f>
        <v>102.60000000000001</v>
      </c>
      <c r="DV16" s="79">
        <f t="shared" si="28"/>
        <v>92.34</v>
      </c>
      <c r="DW16" s="79">
        <f t="shared" si="28"/>
        <v>83.106000000000009</v>
      </c>
      <c r="DX16" s="79">
        <f t="shared" si="28"/>
        <v>74.795400000000015</v>
      </c>
      <c r="DY16" s="79">
        <f t="shared" si="28"/>
        <v>67.315860000000015</v>
      </c>
      <c r="DZ16" s="79">
        <f t="shared" si="28"/>
        <v>60.584274000000015</v>
      </c>
      <c r="EA16" s="79">
        <f t="shared" si="28"/>
        <v>54.525846600000015</v>
      </c>
      <c r="EB16" s="79">
        <f t="shared" si="28"/>
        <v>49.073261940000016</v>
      </c>
      <c r="EC16" s="79">
        <f t="shared" si="28"/>
        <v>44.165935746000017</v>
      </c>
      <c r="ED16" s="79">
        <f t="shared" si="28"/>
        <v>39.749342171400016</v>
      </c>
      <c r="EE16" s="79">
        <f t="shared" si="28"/>
        <v>35.774407954260013</v>
      </c>
      <c r="EF16" s="79">
        <f t="shared" si="28"/>
        <v>32.196967158834013</v>
      </c>
    </row>
    <row r="17" spans="2:136" s="17" customFormat="1" x14ac:dyDescent="0.2">
      <c r="B17" s="100" t="s">
        <v>721</v>
      </c>
      <c r="C17" s="82">
        <v>27.164999999999999</v>
      </c>
      <c r="D17" s="82">
        <v>44.734000000000002</v>
      </c>
      <c r="E17" s="82">
        <v>68.933000000000007</v>
      </c>
      <c r="F17" s="82">
        <v>84.95</v>
      </c>
      <c r="G17" s="82">
        <v>107.3</v>
      </c>
      <c r="H17" s="82">
        <v>167</v>
      </c>
      <c r="I17" s="82">
        <v>115.4</v>
      </c>
      <c r="J17" s="82">
        <v>176.8</v>
      </c>
      <c r="K17" s="82">
        <v>193.096</v>
      </c>
      <c r="L17" s="82">
        <v>197.16200000000001</v>
      </c>
      <c r="M17" s="82">
        <v>193.9</v>
      </c>
      <c r="N17" s="82">
        <v>198.8</v>
      </c>
      <c r="O17" s="82">
        <v>197.8</v>
      </c>
      <c r="P17" s="82">
        <v>209.1</v>
      </c>
      <c r="Q17" s="82">
        <v>189.4</v>
      </c>
      <c r="R17" s="82">
        <v>182.4</v>
      </c>
      <c r="S17" s="82">
        <v>191.8</v>
      </c>
      <c r="T17" s="82">
        <v>167.4</v>
      </c>
      <c r="U17" s="82">
        <v>170.624</v>
      </c>
      <c r="V17" s="82">
        <v>159.51499999999999</v>
      </c>
      <c r="W17" s="82">
        <v>160.673</v>
      </c>
      <c r="X17" s="82">
        <v>154.89699999999999</v>
      </c>
      <c r="Y17" s="82">
        <v>149.108</v>
      </c>
      <c r="Z17" s="82">
        <v>148.48599999999999</v>
      </c>
      <c r="AA17" s="82">
        <v>152.667</v>
      </c>
      <c r="AB17" s="82">
        <v>150.68100000000001</v>
      </c>
      <c r="AC17" s="82">
        <v>155.958</v>
      </c>
      <c r="AD17" s="82">
        <v>161.881</v>
      </c>
      <c r="AE17" s="104">
        <v>160.60499999999999</v>
      </c>
      <c r="AF17" s="104">
        <v>158.92500000000001</v>
      </c>
      <c r="AG17" s="104">
        <v>169.71100000000001</v>
      </c>
      <c r="AH17" s="104">
        <v>178.3</v>
      </c>
      <c r="AI17" s="104"/>
      <c r="AJ17" s="127">
        <v>176.172</v>
      </c>
      <c r="AK17" s="104">
        <v>184.2</v>
      </c>
      <c r="AL17" s="104"/>
      <c r="AM17" s="127">
        <v>168.39500000000001</v>
      </c>
      <c r="AN17" s="127">
        <v>185.71700000000001</v>
      </c>
      <c r="AO17" s="82">
        <v>192.9</v>
      </c>
      <c r="AP17" s="82">
        <v>190.86799999999999</v>
      </c>
      <c r="AQ17" s="82">
        <v>191.69300000000001</v>
      </c>
      <c r="AR17" s="82">
        <v>215.41399999999999</v>
      </c>
      <c r="AS17" s="82">
        <v>214.90899999999999</v>
      </c>
      <c r="AT17" s="82">
        <v>226.68100000000001</v>
      </c>
      <c r="AU17" s="82">
        <v>210.33199999999999</v>
      </c>
      <c r="AV17" s="82">
        <v>250.18799999999999</v>
      </c>
      <c r="AW17" s="82">
        <v>231.55500000000001</v>
      </c>
      <c r="AX17" s="82">
        <v>266.89400000000001</v>
      </c>
      <c r="AY17" s="82">
        <v>210.625</v>
      </c>
      <c r="AZ17" s="127">
        <v>260.73399999999998</v>
      </c>
      <c r="BA17" s="82">
        <v>275</v>
      </c>
      <c r="BB17" s="82">
        <v>311</v>
      </c>
      <c r="BC17" s="82">
        <v>234</v>
      </c>
      <c r="BD17" s="82">
        <v>271</v>
      </c>
      <c r="BE17" s="82">
        <v>297</v>
      </c>
      <c r="BF17" s="82">
        <v>306</v>
      </c>
      <c r="BG17" s="82">
        <v>272</v>
      </c>
      <c r="BH17" s="82">
        <v>287</v>
      </c>
      <c r="BI17" s="82">
        <v>303</v>
      </c>
      <c r="BJ17" s="82">
        <v>324</v>
      </c>
      <c r="BK17" s="183">
        <v>260</v>
      </c>
      <c r="BL17" s="183">
        <v>300</v>
      </c>
      <c r="BM17" s="82">
        <v>274</v>
      </c>
      <c r="BN17" s="140">
        <v>212</v>
      </c>
      <c r="BO17" s="82">
        <v>97</v>
      </c>
      <c r="BP17" s="82">
        <v>82</v>
      </c>
      <c r="BQ17" s="82">
        <v>70</v>
      </c>
      <c r="BR17" s="82">
        <v>58</v>
      </c>
      <c r="BS17" s="82">
        <v>72</v>
      </c>
      <c r="BT17" s="82">
        <v>75</v>
      </c>
      <c r="BU17" s="82">
        <v>57</v>
      </c>
      <c r="BV17" s="82">
        <v>39</v>
      </c>
      <c r="BW17" s="140">
        <v>40</v>
      </c>
      <c r="BX17" s="140">
        <v>65</v>
      </c>
      <c r="BY17" s="140">
        <v>32</v>
      </c>
      <c r="BZ17" s="140">
        <v>48</v>
      </c>
      <c r="CA17" s="140">
        <v>31</v>
      </c>
      <c r="CB17" s="140">
        <v>28</v>
      </c>
      <c r="CC17" s="140">
        <v>26</v>
      </c>
      <c r="CD17" s="140">
        <v>26</v>
      </c>
      <c r="CE17" s="140">
        <v>23</v>
      </c>
      <c r="CF17" s="140">
        <v>24</v>
      </c>
      <c r="CG17" s="140">
        <v>22</v>
      </c>
      <c r="CH17" s="140">
        <v>22</v>
      </c>
      <c r="CI17" s="140">
        <v>19</v>
      </c>
      <c r="CJ17" s="140">
        <v>20</v>
      </c>
      <c r="CK17" s="140">
        <v>13</v>
      </c>
      <c r="CL17" s="140">
        <v>15</v>
      </c>
      <c r="CM17" s="140"/>
      <c r="CN17" s="140"/>
      <c r="CO17" s="140"/>
      <c r="CP17" s="140"/>
      <c r="CQ17" s="140"/>
      <c r="CR17" s="140"/>
      <c r="CS17" s="140"/>
      <c r="CT17" s="140"/>
      <c r="CU17" s="79"/>
      <c r="CV17" s="79"/>
      <c r="CW17" s="79"/>
      <c r="CX17" s="79">
        <v>15.586</v>
      </c>
      <c r="CY17" s="79">
        <v>225.78199999999998</v>
      </c>
      <c r="CZ17" s="79">
        <v>566.5</v>
      </c>
      <c r="DA17" s="79">
        <v>782.97351970781381</v>
      </c>
      <c r="DB17" s="17">
        <v>778.7</v>
      </c>
      <c r="DC17" s="82">
        <f>SUM(S17:V17)</f>
        <v>689.33900000000006</v>
      </c>
      <c r="DD17" s="82">
        <f>SUM(W17:Z17)</f>
        <v>613.16399999999999</v>
      </c>
      <c r="DE17" s="82">
        <f>SUM(AA17:AD17)</f>
        <v>621.18700000000001</v>
      </c>
      <c r="DF17" s="105">
        <f>SUM(AE17:AH17)</f>
        <v>667.54099999999994</v>
      </c>
      <c r="DG17" s="105"/>
      <c r="DH17" s="93">
        <f>SUM(AM17:AP17)</f>
        <v>737.88000000000011</v>
      </c>
      <c r="DI17" s="93">
        <f>SUM(AQ17:AT17)</f>
        <v>848.697</v>
      </c>
      <c r="DJ17" s="83">
        <f>SUM(AU17:AX17)</f>
        <v>958.96900000000005</v>
      </c>
      <c r="DK17" s="93">
        <f>SUM(AY17:BB17)</f>
        <v>1057.3589999999999</v>
      </c>
      <c r="DL17" s="82">
        <f t="shared" ref="DL17:DM17" si="29">DK17*0.95</f>
        <v>1004.4910499999999</v>
      </c>
      <c r="DM17" s="82">
        <f t="shared" si="29"/>
        <v>954.26649749999979</v>
      </c>
      <c r="DN17" s="140"/>
      <c r="DO17" s="139"/>
      <c r="DP17" s="139"/>
      <c r="DQ17" s="139">
        <f t="shared" si="11"/>
        <v>185</v>
      </c>
      <c r="DR17" s="79">
        <f t="shared" si="12"/>
        <v>111</v>
      </c>
      <c r="DS17" s="79">
        <f t="shared" si="13"/>
        <v>91</v>
      </c>
      <c r="DT17" s="79">
        <f t="shared" si="14"/>
        <v>67</v>
      </c>
      <c r="DU17" s="79">
        <f t="shared" ref="DU17:EF17" si="30">+DT17*0.9</f>
        <v>60.300000000000004</v>
      </c>
      <c r="DV17" s="79">
        <f t="shared" si="30"/>
        <v>54.27</v>
      </c>
      <c r="DW17" s="79">
        <f t="shared" si="30"/>
        <v>48.843000000000004</v>
      </c>
      <c r="DX17" s="79">
        <f t="shared" si="30"/>
        <v>43.958700000000007</v>
      </c>
      <c r="DY17" s="79">
        <f t="shared" si="30"/>
        <v>39.562830000000005</v>
      </c>
      <c r="DZ17" s="79">
        <f t="shared" si="30"/>
        <v>35.606547000000006</v>
      </c>
      <c r="EA17" s="79">
        <f t="shared" si="30"/>
        <v>32.045892300000006</v>
      </c>
      <c r="EB17" s="79">
        <f t="shared" si="30"/>
        <v>28.841303070000006</v>
      </c>
      <c r="EC17" s="79">
        <f t="shared" si="30"/>
        <v>25.957172763000006</v>
      </c>
      <c r="ED17" s="79">
        <f t="shared" si="30"/>
        <v>23.361455486700006</v>
      </c>
      <c r="EE17" s="79">
        <f t="shared" si="30"/>
        <v>21.025309938030006</v>
      </c>
      <c r="EF17" s="79">
        <f t="shared" si="30"/>
        <v>18.922778944227005</v>
      </c>
    </row>
    <row r="18" spans="2:136" s="15" customFormat="1" x14ac:dyDescent="0.2">
      <c r="B18" s="92" t="s">
        <v>587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102"/>
      <c r="AF18" s="102"/>
      <c r="AG18" s="102"/>
      <c r="AH18" s="102"/>
      <c r="AI18" s="102"/>
      <c r="AJ18" s="102"/>
      <c r="AK18" s="102"/>
      <c r="AL18" s="102"/>
      <c r="AM18" s="126">
        <v>0</v>
      </c>
      <c r="AN18" s="126">
        <v>0</v>
      </c>
      <c r="AO18" s="93">
        <v>0</v>
      </c>
      <c r="AP18" s="93">
        <v>0</v>
      </c>
      <c r="AQ18" s="93">
        <v>0</v>
      </c>
      <c r="AR18" s="93">
        <v>0</v>
      </c>
      <c r="AS18" s="93">
        <v>0</v>
      </c>
      <c r="AT18" s="93">
        <v>0</v>
      </c>
      <c r="AU18" s="93">
        <v>0</v>
      </c>
      <c r="AV18" s="93">
        <v>0</v>
      </c>
      <c r="AW18" s="93">
        <v>0</v>
      </c>
      <c r="AX18" s="93">
        <v>139.435</v>
      </c>
      <c r="AY18" s="93">
        <v>2274.3490000000002</v>
      </c>
      <c r="AZ18" s="126">
        <v>3480.326</v>
      </c>
      <c r="BA18" s="93">
        <v>2796</v>
      </c>
      <c r="BB18" s="93">
        <v>1732</v>
      </c>
      <c r="BC18" s="93">
        <v>972</v>
      </c>
      <c r="BD18" s="93">
        <v>1291</v>
      </c>
      <c r="BE18" s="93">
        <v>1466</v>
      </c>
      <c r="BF18" s="93">
        <v>1547</v>
      </c>
      <c r="BG18" s="93">
        <v>1277</v>
      </c>
      <c r="BH18" s="93">
        <v>1358</v>
      </c>
      <c r="BI18" s="93">
        <v>825</v>
      </c>
      <c r="BJ18" s="93">
        <v>541</v>
      </c>
      <c r="BK18" s="182">
        <v>313</v>
      </c>
      <c r="BL18" s="182">
        <v>315</v>
      </c>
      <c r="BM18" s="93">
        <v>219</v>
      </c>
      <c r="BN18" s="139">
        <v>117</v>
      </c>
      <c r="BO18" s="93"/>
      <c r="BP18" s="93"/>
      <c r="BQ18" s="93"/>
      <c r="BR18" s="93"/>
      <c r="BS18" s="93"/>
      <c r="BT18" s="93"/>
      <c r="BU18" s="93"/>
      <c r="BV18" s="93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"/>
      <c r="CV18" s="154"/>
      <c r="CW18" s="154"/>
      <c r="CX18" s="154"/>
      <c r="CY18" s="154"/>
      <c r="CZ18" s="154"/>
      <c r="DA18" s="154"/>
      <c r="DB18" s="85"/>
      <c r="DC18" s="93"/>
      <c r="DD18" s="93"/>
      <c r="DE18" s="93"/>
      <c r="DF18" s="103"/>
      <c r="DG18" s="103"/>
      <c r="DH18" s="93">
        <f>SUM(AM18:AP18)</f>
        <v>0</v>
      </c>
      <c r="DI18" s="93">
        <f>SUM(AQ18:AT18)</f>
        <v>0</v>
      </c>
      <c r="DJ18" s="83">
        <f>SUM(AU18:AX18)</f>
        <v>139.435</v>
      </c>
      <c r="DK18" s="93">
        <f t="shared" ref="DK18:DK38" si="31">SUM(AY18:BB18)</f>
        <v>10282.674999999999</v>
      </c>
      <c r="DL18" s="93">
        <f>+DK18*1.2</f>
        <v>12339.21</v>
      </c>
      <c r="DM18" s="93">
        <f>+DL18*1.01</f>
        <v>12462.6021</v>
      </c>
      <c r="DN18" s="139"/>
      <c r="DO18" s="139"/>
      <c r="DP18" s="139"/>
      <c r="DQ18" s="139">
        <f t="shared" si="11"/>
        <v>0</v>
      </c>
      <c r="DR18" s="79">
        <f t="shared" si="12"/>
        <v>0</v>
      </c>
      <c r="DS18" s="79">
        <f t="shared" si="13"/>
        <v>0</v>
      </c>
      <c r="DT18" s="79">
        <f t="shared" si="14"/>
        <v>0</v>
      </c>
      <c r="DU18" s="79">
        <f t="shared" ref="DU18:EF18" si="32">+DT18*0.9</f>
        <v>0</v>
      </c>
      <c r="DV18" s="79">
        <f t="shared" si="32"/>
        <v>0</v>
      </c>
      <c r="DW18" s="79">
        <f t="shared" si="32"/>
        <v>0</v>
      </c>
      <c r="DX18" s="79">
        <f t="shared" si="32"/>
        <v>0</v>
      </c>
      <c r="DY18" s="79">
        <f t="shared" si="32"/>
        <v>0</v>
      </c>
      <c r="DZ18" s="79">
        <f t="shared" si="32"/>
        <v>0</v>
      </c>
      <c r="EA18" s="79">
        <f t="shared" si="32"/>
        <v>0</v>
      </c>
      <c r="EB18" s="79">
        <f t="shared" si="32"/>
        <v>0</v>
      </c>
      <c r="EC18" s="79">
        <f t="shared" si="32"/>
        <v>0</v>
      </c>
      <c r="ED18" s="79">
        <f t="shared" si="32"/>
        <v>0</v>
      </c>
      <c r="EE18" s="79">
        <f t="shared" si="32"/>
        <v>0</v>
      </c>
      <c r="EF18" s="79">
        <f t="shared" si="32"/>
        <v>0</v>
      </c>
    </row>
    <row r="19" spans="2:136" s="15" customFormat="1" x14ac:dyDescent="0.2">
      <c r="B19" s="92" t="s">
        <v>626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102"/>
      <c r="AF19" s="102"/>
      <c r="AG19" s="102"/>
      <c r="AH19" s="102"/>
      <c r="AI19" s="102"/>
      <c r="AJ19" s="102"/>
      <c r="AK19" s="102"/>
      <c r="AL19" s="102"/>
      <c r="AM19" s="126">
        <v>0</v>
      </c>
      <c r="AN19" s="126">
        <v>0</v>
      </c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126"/>
      <c r="BA19" s="93">
        <v>0</v>
      </c>
      <c r="BB19" s="93"/>
      <c r="BC19" s="93"/>
      <c r="BD19" s="93"/>
      <c r="BE19" s="93"/>
      <c r="BF19" s="93"/>
      <c r="BG19" s="93"/>
      <c r="BH19" s="93"/>
      <c r="BI19" s="93"/>
      <c r="BJ19" s="93"/>
      <c r="BK19" s="182"/>
      <c r="BL19" s="182"/>
      <c r="BM19" s="93"/>
      <c r="BN19" s="139"/>
      <c r="BO19" s="93"/>
      <c r="BP19" s="93"/>
      <c r="BQ19" s="93"/>
      <c r="BR19" s="93"/>
      <c r="BS19" s="93"/>
      <c r="BT19" s="93"/>
      <c r="BU19" s="93"/>
      <c r="BV19" s="93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"/>
      <c r="CV19" s="154"/>
      <c r="CW19" s="154"/>
      <c r="CX19" s="154"/>
      <c r="CY19" s="154"/>
      <c r="CZ19" s="154"/>
      <c r="DA19" s="154"/>
      <c r="DB19" s="85"/>
      <c r="DC19" s="93"/>
      <c r="DD19" s="93"/>
      <c r="DE19" s="93"/>
      <c r="DF19" s="103"/>
      <c r="DG19" s="103"/>
      <c r="DH19" s="93">
        <f t="shared" ref="DH19" si="33">SUM(AM19:AP19)</f>
        <v>0</v>
      </c>
      <c r="DI19" s="93">
        <f t="shared" ref="DI19" si="34">SUM(AQ19:AT19)</f>
        <v>0</v>
      </c>
      <c r="DJ19" s="83">
        <f t="shared" ref="DJ19" si="35">SUM(AU19:AX19)</f>
        <v>0</v>
      </c>
      <c r="DK19" s="93">
        <f t="shared" si="31"/>
        <v>0</v>
      </c>
      <c r="DL19" s="93">
        <v>2000</v>
      </c>
      <c r="DM19" s="93">
        <v>2500</v>
      </c>
      <c r="DN19" s="139"/>
      <c r="DO19" s="139"/>
      <c r="DP19" s="139"/>
      <c r="DQ19" s="139">
        <f t="shared" si="11"/>
        <v>0</v>
      </c>
      <c r="DR19" s="79">
        <f t="shared" si="12"/>
        <v>0</v>
      </c>
      <c r="DS19" s="79">
        <f t="shared" si="13"/>
        <v>0</v>
      </c>
      <c r="DT19" s="79">
        <f t="shared" si="14"/>
        <v>0</v>
      </c>
      <c r="DU19" s="79">
        <f t="shared" ref="DU19:EF19" si="36">+DT19*0.9</f>
        <v>0</v>
      </c>
      <c r="DV19" s="79">
        <f t="shared" si="36"/>
        <v>0</v>
      </c>
      <c r="DW19" s="79">
        <f t="shared" si="36"/>
        <v>0</v>
      </c>
      <c r="DX19" s="79">
        <f t="shared" si="36"/>
        <v>0</v>
      </c>
      <c r="DY19" s="79">
        <f t="shared" si="36"/>
        <v>0</v>
      </c>
      <c r="DZ19" s="79">
        <f t="shared" si="36"/>
        <v>0</v>
      </c>
      <c r="EA19" s="79">
        <f t="shared" si="36"/>
        <v>0</v>
      </c>
      <c r="EB19" s="79">
        <f t="shared" si="36"/>
        <v>0</v>
      </c>
      <c r="EC19" s="79">
        <f t="shared" si="36"/>
        <v>0</v>
      </c>
      <c r="ED19" s="79">
        <f t="shared" si="36"/>
        <v>0</v>
      </c>
      <c r="EE19" s="79">
        <f t="shared" si="36"/>
        <v>0</v>
      </c>
      <c r="EF19" s="79">
        <f t="shared" si="36"/>
        <v>0</v>
      </c>
    </row>
    <row r="20" spans="2:136" s="15" customFormat="1" x14ac:dyDescent="0.2">
      <c r="B20" s="92" t="s">
        <v>693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102"/>
      <c r="AF20" s="102"/>
      <c r="AG20" s="102"/>
      <c r="AH20" s="102"/>
      <c r="AI20" s="102"/>
      <c r="AJ20" s="102"/>
      <c r="AK20" s="102"/>
      <c r="AL20" s="102"/>
      <c r="AM20" s="126"/>
      <c r="AN20" s="126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126">
        <v>0</v>
      </c>
      <c r="BA20" s="93">
        <v>20</v>
      </c>
      <c r="BB20" s="93">
        <v>2107</v>
      </c>
      <c r="BC20" s="93">
        <v>3579</v>
      </c>
      <c r="BD20" s="93">
        <v>3608</v>
      </c>
      <c r="BE20" s="93">
        <v>3332</v>
      </c>
      <c r="BF20" s="93">
        <v>3345</v>
      </c>
      <c r="BG20" s="93">
        <v>3017</v>
      </c>
      <c r="BH20" s="93">
        <v>2564</v>
      </c>
      <c r="BI20" s="93">
        <v>1860</v>
      </c>
      <c r="BJ20" s="93">
        <v>1640</v>
      </c>
      <c r="BK20" s="182">
        <v>1371</v>
      </c>
      <c r="BL20" s="182">
        <v>1382</v>
      </c>
      <c r="BM20" s="93">
        <v>973</v>
      </c>
      <c r="BN20" s="139">
        <v>644</v>
      </c>
      <c r="BO20" s="93">
        <v>348</v>
      </c>
      <c r="BP20" s="93">
        <v>331</v>
      </c>
      <c r="BQ20" s="93">
        <v>311</v>
      </c>
      <c r="BR20" s="93">
        <v>232</v>
      </c>
      <c r="BS20" s="93">
        <v>225</v>
      </c>
      <c r="BT20" s="93">
        <v>193</v>
      </c>
      <c r="BU20" s="93">
        <v>124</v>
      </c>
      <c r="BV20" s="93">
        <v>101</v>
      </c>
      <c r="BW20" s="139">
        <v>112</v>
      </c>
      <c r="BX20" s="139">
        <v>67</v>
      </c>
      <c r="BY20" s="139">
        <v>84</v>
      </c>
      <c r="BZ20" s="139">
        <v>9</v>
      </c>
      <c r="CA20" s="139">
        <v>56</v>
      </c>
      <c r="CB20" s="139">
        <v>62</v>
      </c>
      <c r="CC20" s="139">
        <v>45</v>
      </c>
      <c r="CD20" s="139">
        <v>49</v>
      </c>
      <c r="CE20" s="139">
        <v>35</v>
      </c>
      <c r="CF20" s="139">
        <v>23</v>
      </c>
      <c r="CG20" s="139">
        <v>25</v>
      </c>
      <c r="CH20" s="139">
        <v>31</v>
      </c>
      <c r="CI20" s="139">
        <v>15</v>
      </c>
      <c r="CJ20" s="139">
        <v>15</v>
      </c>
      <c r="CK20" s="139">
        <v>23</v>
      </c>
      <c r="CL20" s="139">
        <v>17</v>
      </c>
      <c r="CM20" s="139"/>
      <c r="CN20" s="139"/>
      <c r="CO20" s="139"/>
      <c r="CP20" s="139"/>
      <c r="CQ20" s="139"/>
      <c r="CR20" s="139"/>
      <c r="CS20" s="139"/>
      <c r="CT20" s="139"/>
      <c r="CU20" s="13"/>
      <c r="CV20" s="154"/>
      <c r="CW20" s="154"/>
      <c r="CX20" s="154"/>
      <c r="CY20" s="154"/>
      <c r="CZ20" s="154"/>
      <c r="DA20" s="154"/>
      <c r="DB20" s="85"/>
      <c r="DC20" s="93"/>
      <c r="DD20" s="93"/>
      <c r="DE20" s="93"/>
      <c r="DF20" s="103"/>
      <c r="DG20" s="103"/>
      <c r="DH20" s="93"/>
      <c r="DI20" s="93"/>
      <c r="DJ20" s="83"/>
      <c r="DK20" s="93"/>
      <c r="DL20" s="93"/>
      <c r="DM20" s="93"/>
      <c r="DN20" s="139"/>
      <c r="DO20" s="139"/>
      <c r="DP20" s="139"/>
      <c r="DQ20" s="139">
        <f t="shared" si="11"/>
        <v>272</v>
      </c>
      <c r="DR20" s="79">
        <f t="shared" si="12"/>
        <v>212</v>
      </c>
      <c r="DS20" s="79">
        <f t="shared" si="13"/>
        <v>114</v>
      </c>
      <c r="DT20" s="79">
        <f t="shared" si="14"/>
        <v>70</v>
      </c>
      <c r="DU20" s="79">
        <f t="shared" ref="DU20:EF20" si="37">+DT20*0.9</f>
        <v>63</v>
      </c>
      <c r="DV20" s="79">
        <f t="shared" si="37"/>
        <v>56.7</v>
      </c>
      <c r="DW20" s="79">
        <f t="shared" si="37"/>
        <v>51.03</v>
      </c>
      <c r="DX20" s="79">
        <f t="shared" si="37"/>
        <v>45.927</v>
      </c>
      <c r="DY20" s="79">
        <f t="shared" si="37"/>
        <v>41.334299999999999</v>
      </c>
      <c r="DZ20" s="79">
        <f t="shared" si="37"/>
        <v>37.200870000000002</v>
      </c>
      <c r="EA20" s="79">
        <f t="shared" si="37"/>
        <v>33.480783000000002</v>
      </c>
      <c r="EB20" s="79">
        <f t="shared" si="37"/>
        <v>30.132704700000001</v>
      </c>
      <c r="EC20" s="79">
        <f t="shared" si="37"/>
        <v>27.119434230000003</v>
      </c>
      <c r="ED20" s="79">
        <f t="shared" si="37"/>
        <v>24.407490807000002</v>
      </c>
      <c r="EE20" s="79">
        <f t="shared" si="37"/>
        <v>21.966741726300004</v>
      </c>
      <c r="EF20" s="79">
        <f t="shared" si="37"/>
        <v>19.770067553670003</v>
      </c>
    </row>
    <row r="21" spans="2:136" s="15" customFormat="1" x14ac:dyDescent="0.2">
      <c r="B21" s="92" t="s">
        <v>742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102"/>
      <c r="AF21" s="102"/>
      <c r="AG21" s="102"/>
      <c r="AH21" s="102"/>
      <c r="AI21" s="102"/>
      <c r="AJ21" s="102"/>
      <c r="AK21" s="102"/>
      <c r="AL21" s="102"/>
      <c r="AM21" s="126"/>
      <c r="AN21" s="126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126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182">
        <v>11</v>
      </c>
      <c r="BL21" s="182">
        <v>22</v>
      </c>
      <c r="BM21" s="93"/>
      <c r="BN21" s="139"/>
      <c r="BO21" s="93">
        <v>58</v>
      </c>
      <c r="BP21" s="93">
        <v>76</v>
      </c>
      <c r="BQ21" s="93">
        <v>87</v>
      </c>
      <c r="BR21" s="93">
        <v>100</v>
      </c>
      <c r="BS21" s="93">
        <v>101</v>
      </c>
      <c r="BT21" s="93">
        <v>116</v>
      </c>
      <c r="BU21" s="93">
        <v>134</v>
      </c>
      <c r="BV21" s="93">
        <v>137</v>
      </c>
      <c r="BW21" s="139">
        <v>136</v>
      </c>
      <c r="BX21" s="139">
        <v>151</v>
      </c>
      <c r="BY21" s="139">
        <v>177</v>
      </c>
      <c r="BZ21" s="139">
        <v>193</v>
      </c>
      <c r="CA21" s="139">
        <v>181</v>
      </c>
      <c r="CB21" s="139">
        <v>200</v>
      </c>
      <c r="CC21" s="139">
        <v>208</v>
      </c>
      <c r="CD21" s="139">
        <v>225</v>
      </c>
      <c r="CE21" s="139">
        <v>200</v>
      </c>
      <c r="CF21" s="139">
        <v>195</v>
      </c>
      <c r="CG21" s="139">
        <v>228</v>
      </c>
      <c r="CH21" s="139">
        <v>220</v>
      </c>
      <c r="CI21" s="139">
        <v>199</v>
      </c>
      <c r="CJ21" s="139">
        <v>219</v>
      </c>
      <c r="CK21" s="139">
        <v>228</v>
      </c>
      <c r="CL21" s="139">
        <v>217</v>
      </c>
      <c r="CM21" s="139">
        <v>225</v>
      </c>
      <c r="CN21" s="139">
        <v>243</v>
      </c>
      <c r="CO21" s="139"/>
      <c r="CP21" s="139"/>
      <c r="CQ21" s="139"/>
      <c r="CR21" s="139"/>
      <c r="CS21" s="139"/>
      <c r="CT21" s="139"/>
      <c r="CU21" s="13"/>
      <c r="CV21" s="154"/>
      <c r="CW21" s="154"/>
      <c r="CX21" s="154"/>
      <c r="CY21" s="154"/>
      <c r="CZ21" s="154"/>
      <c r="DA21" s="154"/>
      <c r="DB21" s="85"/>
      <c r="DC21" s="93"/>
      <c r="DD21" s="93"/>
      <c r="DE21" s="93"/>
      <c r="DF21" s="103"/>
      <c r="DG21" s="103"/>
      <c r="DH21" s="93"/>
      <c r="DI21" s="93"/>
      <c r="DJ21" s="83"/>
      <c r="DK21" s="93"/>
      <c r="DL21" s="93"/>
      <c r="DM21" s="93"/>
      <c r="DN21" s="139"/>
      <c r="DO21" s="139"/>
      <c r="DP21" s="139"/>
      <c r="DQ21" s="139">
        <f t="shared" si="11"/>
        <v>657</v>
      </c>
      <c r="DR21" s="79">
        <f t="shared" si="12"/>
        <v>814</v>
      </c>
      <c r="DS21" s="79">
        <f t="shared" si="13"/>
        <v>843</v>
      </c>
      <c r="DT21" s="79">
        <f t="shared" si="14"/>
        <v>863</v>
      </c>
      <c r="DU21" s="79">
        <f>+DT21*0.9</f>
        <v>776.7</v>
      </c>
      <c r="DV21" s="79">
        <f t="shared" ref="DV21:EF21" si="38">+DU21*0.9</f>
        <v>699.03000000000009</v>
      </c>
      <c r="DW21" s="79">
        <f t="shared" si="38"/>
        <v>629.12700000000007</v>
      </c>
      <c r="DX21" s="79">
        <f t="shared" si="38"/>
        <v>566.21430000000009</v>
      </c>
      <c r="DY21" s="79">
        <f t="shared" si="38"/>
        <v>509.59287000000012</v>
      </c>
      <c r="DZ21" s="79">
        <f t="shared" si="38"/>
        <v>458.6335830000001</v>
      </c>
      <c r="EA21" s="79">
        <f t="shared" si="38"/>
        <v>412.77022470000009</v>
      </c>
      <c r="EB21" s="79">
        <f t="shared" si="38"/>
        <v>371.49320223000007</v>
      </c>
      <c r="EC21" s="79">
        <f t="shared" si="38"/>
        <v>334.34388200700005</v>
      </c>
      <c r="ED21" s="79">
        <f t="shared" si="38"/>
        <v>300.90949380630008</v>
      </c>
      <c r="EE21" s="79">
        <f t="shared" si="38"/>
        <v>270.8185444256701</v>
      </c>
      <c r="EF21" s="79">
        <f t="shared" si="38"/>
        <v>243.7366899831031</v>
      </c>
    </row>
    <row r="22" spans="2:136" s="15" customFormat="1" x14ac:dyDescent="0.2">
      <c r="B22" s="92" t="s">
        <v>692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102"/>
      <c r="AF22" s="102"/>
      <c r="AG22" s="102"/>
      <c r="AH22" s="102"/>
      <c r="AI22" s="102"/>
      <c r="AJ22" s="102"/>
      <c r="AK22" s="102"/>
      <c r="AL22" s="102"/>
      <c r="AM22" s="126"/>
      <c r="AN22" s="126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126"/>
      <c r="BA22" s="93"/>
      <c r="BB22" s="93"/>
      <c r="BC22" s="93"/>
      <c r="BD22" s="93"/>
      <c r="BE22" s="93">
        <v>0</v>
      </c>
      <c r="BF22" s="93"/>
      <c r="BG22" s="93"/>
      <c r="BH22" s="93">
        <v>64</v>
      </c>
      <c r="BI22" s="93">
        <v>640</v>
      </c>
      <c r="BJ22" s="93">
        <v>1048</v>
      </c>
      <c r="BK22" s="182">
        <v>892</v>
      </c>
      <c r="BL22" s="182">
        <v>1171</v>
      </c>
      <c r="BM22" s="93">
        <v>882</v>
      </c>
      <c r="BN22" s="139">
        <v>565</v>
      </c>
      <c r="BO22" s="93">
        <v>536</v>
      </c>
      <c r="BP22" s="93">
        <v>500</v>
      </c>
      <c r="BQ22" s="93">
        <v>477</v>
      </c>
      <c r="BR22" s="93">
        <v>453</v>
      </c>
      <c r="BS22" s="93">
        <v>491</v>
      </c>
      <c r="BT22" s="93">
        <v>493</v>
      </c>
      <c r="BU22" s="93">
        <v>516</v>
      </c>
      <c r="BV22" s="93">
        <v>465</v>
      </c>
      <c r="BW22" s="139">
        <v>564</v>
      </c>
      <c r="BX22" s="139">
        <v>335</v>
      </c>
      <c r="BY22" s="139">
        <v>330</v>
      </c>
      <c r="BZ22" s="139">
        <v>370</v>
      </c>
      <c r="CA22" s="139">
        <v>381</v>
      </c>
      <c r="CB22" s="139">
        <v>442</v>
      </c>
      <c r="CC22" s="139">
        <v>332</v>
      </c>
      <c r="CD22" s="139">
        <v>307</v>
      </c>
      <c r="CE22" s="139">
        <v>330</v>
      </c>
      <c r="CF22" s="139">
        <v>376</v>
      </c>
      <c r="CG22" s="139">
        <v>455</v>
      </c>
      <c r="CH22" s="139">
        <v>369</v>
      </c>
      <c r="CI22" s="139">
        <v>385</v>
      </c>
      <c r="CJ22" s="139">
        <v>397</v>
      </c>
      <c r="CK22" s="139">
        <v>377</v>
      </c>
      <c r="CL22" s="139">
        <v>378</v>
      </c>
      <c r="CM22" s="139">
        <v>405</v>
      </c>
      <c r="CN22" s="139">
        <v>476</v>
      </c>
      <c r="CO22" s="139"/>
      <c r="CP22" s="139"/>
      <c r="CQ22" s="139"/>
      <c r="CR22" s="139"/>
      <c r="CS22" s="139"/>
      <c r="CT22" s="139"/>
      <c r="CU22" s="13"/>
      <c r="CV22" s="154"/>
      <c r="CW22" s="154"/>
      <c r="CX22" s="154"/>
      <c r="CY22" s="154"/>
      <c r="CZ22" s="154"/>
      <c r="DA22" s="154"/>
      <c r="DB22" s="85"/>
      <c r="DC22" s="93"/>
      <c r="DD22" s="93"/>
      <c r="DE22" s="93"/>
      <c r="DF22" s="103"/>
      <c r="DG22" s="103"/>
      <c r="DH22" s="93"/>
      <c r="DI22" s="93"/>
      <c r="DJ22" s="83"/>
      <c r="DK22" s="93"/>
      <c r="DL22" s="93"/>
      <c r="DM22" s="93"/>
      <c r="DN22" s="139"/>
      <c r="DO22" s="139"/>
      <c r="DP22" s="139"/>
      <c r="DQ22" s="139">
        <f t="shared" si="11"/>
        <v>1599</v>
      </c>
      <c r="DR22" s="79">
        <f t="shared" si="12"/>
        <v>1462</v>
      </c>
      <c r="DS22" s="79">
        <f t="shared" si="13"/>
        <v>1530</v>
      </c>
      <c r="DT22" s="79">
        <f t="shared" si="14"/>
        <v>1537</v>
      </c>
      <c r="DU22"/>
      <c r="DV22"/>
      <c r="DW22" s="13"/>
      <c r="DX22" s="13"/>
      <c r="DY22" s="13"/>
      <c r="DZ22" s="13"/>
      <c r="EA22" s="13"/>
      <c r="EB22" s="13"/>
      <c r="EC22" s="13"/>
      <c r="ED22" s="13"/>
      <c r="EE22" s="13"/>
      <c r="EF22" s="13"/>
    </row>
    <row r="23" spans="2:136" s="15" customFormat="1" x14ac:dyDescent="0.2">
      <c r="B23" s="92" t="s">
        <v>715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102"/>
      <c r="AF23" s="102"/>
      <c r="AG23" s="102"/>
      <c r="AH23" s="102"/>
      <c r="AI23" s="102"/>
      <c r="AJ23" s="102"/>
      <c r="AK23" s="102"/>
      <c r="AL23" s="102"/>
      <c r="AM23" s="126"/>
      <c r="AN23" s="126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126"/>
      <c r="BA23" s="93"/>
      <c r="BB23" s="93"/>
      <c r="BC23" s="93"/>
      <c r="BD23" s="93"/>
      <c r="BE23" s="93"/>
      <c r="BF23" s="93"/>
      <c r="BG23" s="93"/>
      <c r="BH23" s="93">
        <v>0</v>
      </c>
      <c r="BI23" s="93">
        <v>0</v>
      </c>
      <c r="BJ23" s="93">
        <v>0</v>
      </c>
      <c r="BK23" s="182">
        <v>0</v>
      </c>
      <c r="BL23" s="182">
        <v>0</v>
      </c>
      <c r="BM23" s="93">
        <v>123</v>
      </c>
      <c r="BN23" s="139">
        <v>170</v>
      </c>
      <c r="BO23" s="93">
        <v>107</v>
      </c>
      <c r="BP23" s="93">
        <v>109</v>
      </c>
      <c r="BQ23" s="93">
        <v>103</v>
      </c>
      <c r="BR23" s="93">
        <v>77</v>
      </c>
      <c r="BS23" s="93">
        <v>63</v>
      </c>
      <c r="BT23" s="93">
        <v>75</v>
      </c>
      <c r="BU23" s="93">
        <v>63</v>
      </c>
      <c r="BV23" s="93">
        <v>56</v>
      </c>
      <c r="BW23" s="139">
        <v>48</v>
      </c>
      <c r="BX23" s="139"/>
      <c r="BY23" s="139"/>
      <c r="BZ23" s="139"/>
      <c r="CA23" s="139"/>
      <c r="CB23" s="139"/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"/>
      <c r="CV23" s="154"/>
      <c r="CW23" s="154"/>
      <c r="CX23" s="154"/>
      <c r="CY23" s="154"/>
      <c r="CZ23" s="154"/>
      <c r="DA23" s="154"/>
      <c r="DB23" s="85"/>
      <c r="DC23" s="93"/>
      <c r="DD23" s="93"/>
      <c r="DE23" s="93"/>
      <c r="DF23" s="103"/>
      <c r="DG23" s="103"/>
      <c r="DH23" s="93"/>
      <c r="DI23" s="93"/>
      <c r="DJ23" s="83"/>
      <c r="DK23" s="93"/>
      <c r="DL23" s="93"/>
      <c r="DM23" s="93"/>
      <c r="DN23" s="139"/>
      <c r="DO23" s="139"/>
      <c r="DP23" s="139"/>
      <c r="DQ23" s="139">
        <f t="shared" si="11"/>
        <v>48</v>
      </c>
      <c r="DR23" s="79">
        <f t="shared" si="12"/>
        <v>0</v>
      </c>
      <c r="DS23" s="79">
        <f t="shared" si="13"/>
        <v>0</v>
      </c>
      <c r="DT23" s="79">
        <f t="shared" si="14"/>
        <v>0</v>
      </c>
      <c r="DU23"/>
      <c r="DV23"/>
      <c r="DW23" s="13"/>
      <c r="DX23" s="13"/>
      <c r="DY23" s="13"/>
      <c r="DZ23" s="13"/>
      <c r="EA23" s="13"/>
      <c r="EB23" s="13"/>
      <c r="EC23" s="13"/>
      <c r="ED23" s="13"/>
      <c r="EE23" s="13"/>
      <c r="EF23" s="13"/>
    </row>
    <row r="24" spans="2:136" s="17" customFormat="1" x14ac:dyDescent="0.2">
      <c r="B24" s="100" t="s">
        <v>680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104"/>
      <c r="AF24" s="104"/>
      <c r="AG24" s="104"/>
      <c r="AH24" s="104"/>
      <c r="AI24" s="104"/>
      <c r="AJ24" s="127"/>
      <c r="AK24" s="104"/>
      <c r="AL24" s="104"/>
      <c r="AM24" s="127"/>
      <c r="AN24" s="127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127"/>
      <c r="BA24" s="82"/>
      <c r="BB24" s="82"/>
      <c r="BC24" s="82"/>
      <c r="BD24" s="82"/>
      <c r="BE24" s="82"/>
      <c r="BF24" s="82"/>
      <c r="BG24" s="82"/>
      <c r="BH24" s="93">
        <v>0</v>
      </c>
      <c r="BI24" s="93">
        <v>0</v>
      </c>
      <c r="BJ24" s="93">
        <v>0</v>
      </c>
      <c r="BK24" s="182">
        <v>0</v>
      </c>
      <c r="BL24" s="182">
        <v>0</v>
      </c>
      <c r="BM24" s="82">
        <v>0</v>
      </c>
      <c r="BN24" s="140">
        <v>0</v>
      </c>
      <c r="BO24" s="82">
        <v>0</v>
      </c>
      <c r="BP24" s="82">
        <v>0</v>
      </c>
      <c r="BQ24" s="82">
        <v>0</v>
      </c>
      <c r="BR24" s="82">
        <v>0</v>
      </c>
      <c r="BS24" s="82">
        <v>0</v>
      </c>
      <c r="BT24" s="82">
        <v>0</v>
      </c>
      <c r="BU24" s="82">
        <v>0</v>
      </c>
      <c r="BV24" s="82">
        <v>0</v>
      </c>
      <c r="BW24" s="140">
        <v>0</v>
      </c>
      <c r="BX24" s="140">
        <v>3</v>
      </c>
      <c r="BY24" s="140">
        <v>2</v>
      </c>
      <c r="BZ24" s="140">
        <v>3</v>
      </c>
      <c r="CA24" s="140">
        <v>8</v>
      </c>
      <c r="CB24" s="140">
        <v>9</v>
      </c>
      <c r="CC24" s="140">
        <v>13</v>
      </c>
      <c r="CD24" s="140">
        <v>14</v>
      </c>
      <c r="CE24" s="140">
        <v>13</v>
      </c>
      <c r="CF24" s="140">
        <v>16</v>
      </c>
      <c r="CG24" s="140">
        <v>14</v>
      </c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79"/>
      <c r="CV24" s="79"/>
      <c r="CW24" s="79"/>
      <c r="CX24" s="79"/>
      <c r="CY24" s="79"/>
      <c r="CZ24" s="79"/>
      <c r="DA24" s="79"/>
      <c r="DC24" s="82"/>
      <c r="DD24" s="82"/>
      <c r="DE24" s="82"/>
      <c r="DF24" s="105"/>
      <c r="DG24" s="105"/>
      <c r="DH24" s="93"/>
      <c r="DI24" s="93"/>
      <c r="DJ24" s="83"/>
      <c r="DK24" s="93"/>
      <c r="DL24" s="82"/>
      <c r="DM24" s="82"/>
      <c r="DN24" s="140"/>
      <c r="DO24" s="139"/>
      <c r="DP24" s="139"/>
      <c r="DQ24" s="139">
        <f t="shared" si="11"/>
        <v>8</v>
      </c>
      <c r="DR24" s="79">
        <f t="shared" si="12"/>
        <v>44</v>
      </c>
      <c r="DS24" s="79">
        <f t="shared" si="13"/>
        <v>43</v>
      </c>
      <c r="DT24" s="79">
        <f t="shared" si="14"/>
        <v>0</v>
      </c>
      <c r="DU24"/>
      <c r="DV24"/>
      <c r="DW24" s="79"/>
      <c r="DX24" s="79"/>
      <c r="DY24" s="79"/>
      <c r="DZ24" s="79"/>
      <c r="EA24" s="79"/>
      <c r="EB24" s="79"/>
      <c r="EC24" s="79"/>
      <c r="ED24" s="79"/>
      <c r="EE24" s="79"/>
      <c r="EF24" s="79"/>
    </row>
    <row r="25" spans="2:136" s="17" customFormat="1" x14ac:dyDescent="0.2">
      <c r="B25" s="100" t="s">
        <v>681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104"/>
      <c r="AF25" s="104"/>
      <c r="AG25" s="104"/>
      <c r="AH25" s="104"/>
      <c r="AI25" s="104"/>
      <c r="AJ25" s="127"/>
      <c r="AK25" s="104"/>
      <c r="AL25" s="104"/>
      <c r="AM25" s="127"/>
      <c r="AN25" s="127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127"/>
      <c r="BA25" s="82"/>
      <c r="BB25" s="82"/>
      <c r="BC25" s="82"/>
      <c r="BD25" s="82"/>
      <c r="BE25" s="82"/>
      <c r="BF25" s="82"/>
      <c r="BG25" s="82"/>
      <c r="BH25" s="93">
        <v>0</v>
      </c>
      <c r="BI25" s="93">
        <v>0</v>
      </c>
      <c r="BJ25" s="93">
        <v>0</v>
      </c>
      <c r="BK25" s="182">
        <v>0</v>
      </c>
      <c r="BL25" s="182">
        <v>0</v>
      </c>
      <c r="BM25" s="82">
        <v>0</v>
      </c>
      <c r="BN25" s="140">
        <v>0</v>
      </c>
      <c r="BO25" s="82">
        <v>0</v>
      </c>
      <c r="BP25" s="82">
        <v>0</v>
      </c>
      <c r="BQ25" s="82">
        <v>0</v>
      </c>
      <c r="BR25" s="82">
        <v>0</v>
      </c>
      <c r="BS25" s="140">
        <v>0</v>
      </c>
      <c r="BT25" s="140">
        <v>0</v>
      </c>
      <c r="BU25" s="140">
        <v>0</v>
      </c>
      <c r="BV25" s="140">
        <v>0</v>
      </c>
      <c r="BW25" s="140">
        <v>0</v>
      </c>
      <c r="BX25" s="140">
        <v>0</v>
      </c>
      <c r="BY25" s="140">
        <v>873</v>
      </c>
      <c r="BZ25" s="140">
        <v>1938</v>
      </c>
      <c r="CA25" s="140">
        <v>1456</v>
      </c>
      <c r="CB25" s="140">
        <v>829</v>
      </c>
      <c r="CC25" s="140">
        <v>1923</v>
      </c>
      <c r="CD25" s="140">
        <v>1357</v>
      </c>
      <c r="CE25" s="140">
        <v>1535</v>
      </c>
      <c r="CF25" s="140">
        <v>445</v>
      </c>
      <c r="CG25" s="140">
        <v>925</v>
      </c>
      <c r="CH25" s="140">
        <v>1000</v>
      </c>
      <c r="CI25" s="140">
        <v>573</v>
      </c>
      <c r="CJ25" s="140">
        <v>256</v>
      </c>
      <c r="CK25" s="140">
        <v>636</v>
      </c>
      <c r="CL25" s="140">
        <v>720</v>
      </c>
      <c r="CM25" s="140">
        <v>555</v>
      </c>
      <c r="CN25" s="140">
        <v>214</v>
      </c>
      <c r="CO25" s="140"/>
      <c r="CP25" s="140"/>
      <c r="CQ25" s="140"/>
      <c r="CR25" s="140"/>
      <c r="CS25" s="140"/>
      <c r="CT25" s="140"/>
      <c r="CU25" s="79"/>
      <c r="CV25" s="79"/>
      <c r="CW25" s="79"/>
      <c r="CX25" s="79"/>
      <c r="CY25" s="79"/>
      <c r="CZ25" s="79"/>
      <c r="DA25" s="79"/>
      <c r="DC25" s="82"/>
      <c r="DD25" s="82"/>
      <c r="DE25" s="82"/>
      <c r="DF25" s="105"/>
      <c r="DG25" s="105"/>
      <c r="DH25" s="93"/>
      <c r="DI25" s="93"/>
      <c r="DJ25" s="83"/>
      <c r="DK25" s="93"/>
      <c r="DL25" s="82"/>
      <c r="DM25" s="82"/>
      <c r="DN25" s="140"/>
      <c r="DO25" s="139"/>
      <c r="DP25" s="139"/>
      <c r="DQ25" s="139">
        <f t="shared" si="11"/>
        <v>2811</v>
      </c>
      <c r="DR25" s="79">
        <f t="shared" si="12"/>
        <v>5565</v>
      </c>
      <c r="DS25" s="79">
        <f t="shared" si="13"/>
        <v>3905</v>
      </c>
      <c r="DT25" s="79">
        <f t="shared" si="14"/>
        <v>2185</v>
      </c>
      <c r="DU25"/>
      <c r="DV25"/>
      <c r="DW25" s="79"/>
      <c r="DX25" s="79"/>
      <c r="DY25" s="79"/>
      <c r="DZ25" s="79"/>
      <c r="EA25" s="79"/>
      <c r="EB25" s="79"/>
      <c r="EC25" s="79"/>
      <c r="ED25" s="79"/>
      <c r="EE25" s="79"/>
      <c r="EF25" s="79"/>
    </row>
    <row r="26" spans="2:136" s="17" customFormat="1" x14ac:dyDescent="0.2">
      <c r="B26" s="17" t="s">
        <v>23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 s="82">
        <v>0</v>
      </c>
      <c r="I26" s="82">
        <v>6</v>
      </c>
      <c r="J26" s="82">
        <v>4</v>
      </c>
      <c r="K26" s="82">
        <v>12</v>
      </c>
      <c r="L26" s="82">
        <v>16.5</v>
      </c>
      <c r="M26" s="82">
        <v>16</v>
      </c>
      <c r="N26" s="82">
        <v>13.2</v>
      </c>
      <c r="O26" s="82">
        <v>12.4</v>
      </c>
      <c r="P26" s="82">
        <v>12.1</v>
      </c>
      <c r="Q26" s="82">
        <v>11.7</v>
      </c>
      <c r="R26" s="82">
        <v>11.2</v>
      </c>
      <c r="S26" s="82">
        <v>10</v>
      </c>
      <c r="T26" s="82">
        <v>8.6999999999999993</v>
      </c>
      <c r="U26" s="82">
        <v>9.2720000000000002</v>
      </c>
      <c r="V26" s="82">
        <v>8.5</v>
      </c>
      <c r="W26" s="82">
        <v>8.3230000000000004</v>
      </c>
      <c r="X26" s="82">
        <v>9.6039999999999992</v>
      </c>
      <c r="Y26" s="82">
        <v>6.4610000000000003</v>
      </c>
      <c r="Z26" s="82">
        <v>7.1050000000000004</v>
      </c>
      <c r="AA26" s="82">
        <v>8.3889999999999993</v>
      </c>
      <c r="AB26" s="82">
        <v>8.0879999999999992</v>
      </c>
      <c r="AC26" s="82">
        <v>7.6340000000000003</v>
      </c>
      <c r="AD26" s="82">
        <v>6.9690000000000003</v>
      </c>
      <c r="AE26" s="104">
        <v>7.234</v>
      </c>
      <c r="AF26" s="104">
        <v>7.0960000000000001</v>
      </c>
      <c r="AG26" s="104">
        <v>6.7290000000000001</v>
      </c>
      <c r="AH26" s="104">
        <v>7</v>
      </c>
      <c r="AI26" s="104"/>
      <c r="AJ26" s="127">
        <v>6.7450000000000001</v>
      </c>
      <c r="AK26" s="104">
        <v>6.7</v>
      </c>
      <c r="AL26" s="104"/>
      <c r="AM26" s="127">
        <v>6.5759999999999996</v>
      </c>
      <c r="AN26" s="127">
        <v>6.7320000000000002</v>
      </c>
      <c r="AO26" s="82">
        <v>7.7</v>
      </c>
      <c r="AP26" s="82">
        <v>7.7889999999999997</v>
      </c>
      <c r="AQ26" s="82">
        <v>6.7770000000000001</v>
      </c>
      <c r="AR26" s="82">
        <v>7.8129999999999997</v>
      </c>
      <c r="AS26" s="82">
        <v>7.2290000000000001</v>
      </c>
      <c r="AT26" s="82">
        <v>7.63</v>
      </c>
      <c r="AU26" s="82">
        <v>6.6710000000000003</v>
      </c>
      <c r="AV26" s="82">
        <v>6.6390000000000002</v>
      </c>
      <c r="AW26" s="82">
        <v>6.8460000000000001</v>
      </c>
      <c r="AX26" s="82">
        <v>7.2489999999999997</v>
      </c>
      <c r="AY26" s="82">
        <v>6.5019999999999998</v>
      </c>
      <c r="AZ26" s="127">
        <v>7.343</v>
      </c>
      <c r="BA26" s="82"/>
      <c r="BB26" s="82"/>
      <c r="BC26" s="82"/>
      <c r="BD26" s="82"/>
      <c r="BE26" s="82"/>
      <c r="BF26" s="82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85"/>
      <c r="BW26" s="185"/>
      <c r="BX26" s="185"/>
      <c r="BY26" s="185"/>
      <c r="BZ26" s="185"/>
      <c r="CA26" s="185"/>
      <c r="CB26" s="185"/>
      <c r="CC26" s="185"/>
      <c r="CD26" s="185"/>
      <c r="CE26" s="185"/>
      <c r="CF26" s="185"/>
      <c r="CG26" s="185"/>
      <c r="CH26" s="185"/>
      <c r="CI26" s="185"/>
      <c r="CJ26" s="185"/>
      <c r="CK26" s="185"/>
      <c r="CL26" s="185"/>
      <c r="CM26" s="185"/>
      <c r="CN26" s="185"/>
      <c r="CO26" s="185"/>
      <c r="CP26" s="185"/>
      <c r="CQ26" s="185"/>
      <c r="CR26" s="185"/>
      <c r="CS26" s="185"/>
      <c r="CT26" s="185"/>
      <c r="CU26" s="79"/>
      <c r="CV26" s="79"/>
      <c r="CW26" s="79"/>
      <c r="CX26" s="79"/>
      <c r="CY26" s="79"/>
      <c r="CZ26" s="79">
        <v>10</v>
      </c>
      <c r="DA26" s="79">
        <v>57.779492890373753</v>
      </c>
      <c r="DB26" s="17">
        <v>47.4</v>
      </c>
      <c r="DC26" s="82">
        <f>SUM(S26:V26)</f>
        <v>36.472000000000001</v>
      </c>
      <c r="DD26" s="82">
        <f>SUM(W26:Z26)</f>
        <v>31.492999999999999</v>
      </c>
      <c r="DE26" s="82">
        <f>SUM(AA26:AD26)</f>
        <v>31.08</v>
      </c>
      <c r="DF26" s="105">
        <f>SUM(AE26:AH26)</f>
        <v>28.059000000000001</v>
      </c>
      <c r="DG26" s="105">
        <f t="shared" ref="DG26:DG37" si="39">SUM(AI26:AL26)</f>
        <v>13.445</v>
      </c>
      <c r="DH26" s="93">
        <f t="shared" ref="DH26:DH38" si="40">SUM(AM26:AP26)</f>
        <v>28.796999999999997</v>
      </c>
      <c r="DI26" s="93">
        <f t="shared" ref="DI26:DI38" si="41">SUM(AQ26:AT26)</f>
        <v>29.448999999999998</v>
      </c>
      <c r="DJ26" s="83">
        <f t="shared" ref="DJ26:DJ38" si="42">SUM(AU26:AX26)</f>
        <v>27.404999999999998</v>
      </c>
      <c r="DK26" s="93">
        <f t="shared" si="31"/>
        <v>13.844999999999999</v>
      </c>
      <c r="DL26" s="82">
        <f t="shared" ref="DL26:DM31" si="43">DK26</f>
        <v>13.844999999999999</v>
      </c>
      <c r="DM26" s="82">
        <f t="shared" si="43"/>
        <v>13.844999999999999</v>
      </c>
      <c r="DN26" s="140"/>
      <c r="DO26" s="139"/>
      <c r="DP26" s="139"/>
      <c r="DQ26" s="139">
        <f t="shared" si="11"/>
        <v>0</v>
      </c>
      <c r="DR26" s="79">
        <f t="shared" si="12"/>
        <v>0</v>
      </c>
      <c r="DS26" s="79">
        <f t="shared" si="13"/>
        <v>0</v>
      </c>
      <c r="DT26" s="79">
        <f t="shared" si="14"/>
        <v>0</v>
      </c>
      <c r="DU26"/>
      <c r="DV26"/>
      <c r="DW26" s="79"/>
      <c r="DX26" s="79"/>
      <c r="DY26" s="79"/>
      <c r="DZ26" s="79"/>
      <c r="EA26" s="79"/>
      <c r="EB26" s="79"/>
      <c r="EC26" s="79"/>
      <c r="ED26" s="79"/>
      <c r="EE26" s="79"/>
      <c r="EF26" s="79"/>
    </row>
    <row r="27" spans="2:136" s="17" customFormat="1" x14ac:dyDescent="0.2">
      <c r="B27" s="100" t="s">
        <v>643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104"/>
      <c r="AF27" s="104"/>
      <c r="AG27" s="104"/>
      <c r="AH27" s="104"/>
      <c r="AI27" s="104"/>
      <c r="AJ27" s="127">
        <v>0</v>
      </c>
      <c r="AK27" s="104"/>
      <c r="AL27" s="104"/>
      <c r="AM27" s="127">
        <v>0</v>
      </c>
      <c r="AN27" s="127">
        <v>0</v>
      </c>
      <c r="AO27" s="82">
        <v>19</v>
      </c>
      <c r="AP27" s="82">
        <v>19.702999999999999</v>
      </c>
      <c r="AQ27" s="82">
        <v>52.18</v>
      </c>
      <c r="AR27" s="82">
        <v>72.909000000000006</v>
      </c>
      <c r="AS27" s="82">
        <v>99.296999999999997</v>
      </c>
      <c r="AT27" s="82">
        <v>117.81399999999999</v>
      </c>
      <c r="AU27" s="82">
        <v>148.18899999999999</v>
      </c>
      <c r="AV27" s="82">
        <v>188.68299999999999</v>
      </c>
      <c r="AW27" s="82">
        <v>210.73599999999999</v>
      </c>
      <c r="AX27" s="82">
        <v>261.84399999999999</v>
      </c>
      <c r="AY27" s="82">
        <v>250.733</v>
      </c>
      <c r="AZ27" s="127">
        <v>299.464</v>
      </c>
      <c r="BA27" s="82">
        <v>330</v>
      </c>
      <c r="BB27" s="82">
        <v>348</v>
      </c>
      <c r="BC27" s="82">
        <v>320</v>
      </c>
      <c r="BD27" s="82">
        <v>367</v>
      </c>
      <c r="BE27" s="82">
        <v>360</v>
      </c>
      <c r="BF27" s="82">
        <v>380</v>
      </c>
      <c r="BG27" s="82">
        <v>381</v>
      </c>
      <c r="BH27" s="82">
        <v>368</v>
      </c>
      <c r="BI27" s="82">
        <v>411</v>
      </c>
      <c r="BJ27" s="82">
        <v>297</v>
      </c>
      <c r="BK27" s="183">
        <v>253</v>
      </c>
      <c r="BL27" s="183">
        <v>254</v>
      </c>
      <c r="BM27" s="82">
        <v>237</v>
      </c>
      <c r="BN27" s="140">
        <v>222</v>
      </c>
      <c r="BO27" s="82">
        <v>190</v>
      </c>
      <c r="BP27" s="82">
        <v>199</v>
      </c>
      <c r="BQ27" s="82">
        <v>139</v>
      </c>
      <c r="BR27" s="82">
        <v>125</v>
      </c>
      <c r="BS27" s="82">
        <v>115</v>
      </c>
      <c r="BT27" s="82">
        <v>123</v>
      </c>
      <c r="BU27" s="82">
        <v>93</v>
      </c>
      <c r="BV27" s="82">
        <v>75</v>
      </c>
      <c r="BW27" s="140">
        <v>76</v>
      </c>
      <c r="BX27" s="140">
        <v>72</v>
      </c>
      <c r="BY27" s="140">
        <v>70</v>
      </c>
      <c r="BZ27" s="140">
        <v>51</v>
      </c>
      <c r="CA27" s="140">
        <v>63</v>
      </c>
      <c r="CB27" s="140">
        <v>62</v>
      </c>
      <c r="CC27" s="140">
        <v>64</v>
      </c>
      <c r="CD27" s="140">
        <v>69</v>
      </c>
      <c r="CE27" s="140">
        <v>44</v>
      </c>
      <c r="CF27" s="140">
        <v>54</v>
      </c>
      <c r="CG27" s="140">
        <v>43</v>
      </c>
      <c r="CH27" s="140">
        <v>58</v>
      </c>
      <c r="CI27" s="140">
        <v>39</v>
      </c>
      <c r="CJ27" s="140">
        <v>32</v>
      </c>
      <c r="CK27" s="140">
        <v>34</v>
      </c>
      <c r="CL27" s="140">
        <v>24</v>
      </c>
      <c r="CM27" s="140"/>
      <c r="CN27" s="140"/>
      <c r="CO27" s="140"/>
      <c r="CP27" s="140"/>
      <c r="CQ27" s="140"/>
      <c r="CR27" s="140"/>
      <c r="CS27" s="140"/>
      <c r="CT27" s="140"/>
      <c r="CU27" s="79"/>
      <c r="CV27" s="79"/>
      <c r="CW27" s="79"/>
      <c r="CX27" s="79"/>
      <c r="CY27" s="79"/>
      <c r="CZ27" s="79"/>
      <c r="DA27" s="79"/>
      <c r="DC27" s="82"/>
      <c r="DD27" s="82"/>
      <c r="DE27" s="82"/>
      <c r="DF27" s="105"/>
      <c r="DG27" s="105"/>
      <c r="DH27" s="93">
        <f t="shared" si="40"/>
        <v>38.703000000000003</v>
      </c>
      <c r="DI27" s="93">
        <f t="shared" si="41"/>
        <v>342.2</v>
      </c>
      <c r="DJ27" s="83">
        <f t="shared" si="42"/>
        <v>809.452</v>
      </c>
      <c r="DK27" s="93">
        <f t="shared" si="31"/>
        <v>1228.1970000000001</v>
      </c>
      <c r="DL27" s="82">
        <f>+DK27*1.1</f>
        <v>1351.0167000000001</v>
      </c>
      <c r="DM27" s="82">
        <f t="shared" ref="DM27" si="44">+DL27*1.1</f>
        <v>1486.1183700000004</v>
      </c>
      <c r="DN27" s="140"/>
      <c r="DO27" s="140"/>
      <c r="DP27" s="140"/>
      <c r="DQ27" s="139">
        <f t="shared" si="11"/>
        <v>269</v>
      </c>
      <c r="DR27" s="79">
        <f t="shared" si="12"/>
        <v>258</v>
      </c>
      <c r="DS27" s="79">
        <f t="shared" si="13"/>
        <v>199</v>
      </c>
      <c r="DT27" s="79">
        <f t="shared" si="14"/>
        <v>129</v>
      </c>
      <c r="DU27"/>
      <c r="DV27"/>
      <c r="DW27" s="79"/>
      <c r="DX27" s="79"/>
      <c r="DY27" s="79"/>
      <c r="DZ27" s="79"/>
      <c r="EA27" s="79"/>
      <c r="EB27" s="79"/>
      <c r="EC27" s="79"/>
      <c r="ED27" s="79"/>
      <c r="EE27" s="79"/>
      <c r="EF27" s="79"/>
    </row>
    <row r="28" spans="2:136" s="17" customFormat="1" x14ac:dyDescent="0.2">
      <c r="B28" s="100" t="s">
        <v>682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104"/>
      <c r="AF28" s="104"/>
      <c r="AG28" s="104"/>
      <c r="AH28" s="104"/>
      <c r="AI28" s="104"/>
      <c r="AJ28" s="127"/>
      <c r="AK28" s="104"/>
      <c r="AL28" s="104"/>
      <c r="AM28" s="127"/>
      <c r="AN28" s="127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127"/>
      <c r="BA28" s="82"/>
      <c r="BB28" s="82"/>
      <c r="BC28" s="82"/>
      <c r="BD28" s="82"/>
      <c r="BE28" s="82"/>
      <c r="BF28" s="82"/>
      <c r="BG28" s="82"/>
      <c r="BH28" s="82">
        <v>0</v>
      </c>
      <c r="BI28" s="82">
        <v>0</v>
      </c>
      <c r="BJ28" s="82">
        <v>0</v>
      </c>
      <c r="BK28" s="183">
        <v>0</v>
      </c>
      <c r="BL28" s="183">
        <v>0</v>
      </c>
      <c r="BM28" s="82">
        <v>0</v>
      </c>
      <c r="BN28" s="140">
        <v>0</v>
      </c>
      <c r="BO28" s="82">
        <v>0</v>
      </c>
      <c r="BP28" s="82">
        <v>0</v>
      </c>
      <c r="BQ28" s="82">
        <v>0</v>
      </c>
      <c r="BR28" s="82">
        <v>0</v>
      </c>
      <c r="BS28" s="82">
        <v>0</v>
      </c>
      <c r="BT28" s="82">
        <v>0</v>
      </c>
      <c r="BU28" s="82">
        <v>0</v>
      </c>
      <c r="BV28" s="82">
        <v>0</v>
      </c>
      <c r="BW28" s="140">
        <v>0</v>
      </c>
      <c r="BX28" s="140">
        <v>1</v>
      </c>
      <c r="BY28" s="140">
        <v>9</v>
      </c>
      <c r="BZ28" s="140">
        <v>34</v>
      </c>
      <c r="CA28" s="140">
        <v>31</v>
      </c>
      <c r="CB28" s="140">
        <v>41</v>
      </c>
      <c r="CC28" s="140">
        <v>47</v>
      </c>
      <c r="CD28" s="140">
        <v>57</v>
      </c>
      <c r="CE28" s="140">
        <v>63</v>
      </c>
      <c r="CF28" s="140">
        <v>73</v>
      </c>
      <c r="CG28" s="140">
        <v>81</v>
      </c>
      <c r="CH28" s="140">
        <v>82</v>
      </c>
      <c r="CI28" s="140">
        <v>89</v>
      </c>
      <c r="CJ28" s="140">
        <v>88</v>
      </c>
      <c r="CK28" s="140">
        <v>96</v>
      </c>
      <c r="CL28" s="140">
        <v>98</v>
      </c>
      <c r="CM28" s="140">
        <v>100</v>
      </c>
      <c r="CN28" s="140">
        <v>107</v>
      </c>
      <c r="CO28" s="140"/>
      <c r="CP28" s="140"/>
      <c r="CQ28" s="140"/>
      <c r="CR28" s="140"/>
      <c r="CS28" s="140"/>
      <c r="CT28" s="140"/>
      <c r="CU28" s="79"/>
      <c r="CV28" s="79"/>
      <c r="CW28" s="79"/>
      <c r="CX28" s="79"/>
      <c r="CY28" s="79"/>
      <c r="CZ28" s="79"/>
      <c r="DA28" s="79"/>
      <c r="DC28" s="82"/>
      <c r="DD28" s="82"/>
      <c r="DE28" s="82"/>
      <c r="DF28" s="105"/>
      <c r="DG28" s="105"/>
      <c r="DH28" s="93"/>
      <c r="DI28" s="93"/>
      <c r="DJ28" s="83"/>
      <c r="DK28" s="93"/>
      <c r="DL28" s="82"/>
      <c r="DM28" s="82"/>
      <c r="DN28" s="140"/>
      <c r="DO28" s="140"/>
      <c r="DP28" s="140"/>
      <c r="DQ28" s="139">
        <f t="shared" si="11"/>
        <v>44</v>
      </c>
      <c r="DR28" s="79">
        <f t="shared" si="12"/>
        <v>176</v>
      </c>
      <c r="DS28" s="79">
        <f t="shared" si="13"/>
        <v>299</v>
      </c>
      <c r="DT28" s="79">
        <f t="shared" si="14"/>
        <v>371</v>
      </c>
      <c r="DU28"/>
      <c r="DV28"/>
      <c r="DW28" s="79"/>
      <c r="DX28" s="79"/>
      <c r="DY28" s="79"/>
      <c r="DZ28" s="79"/>
      <c r="EA28" s="79"/>
      <c r="EB28" s="79"/>
      <c r="EC28" s="79"/>
      <c r="ED28" s="79"/>
      <c r="EE28" s="79"/>
      <c r="EF28" s="79"/>
    </row>
    <row r="29" spans="2:136" s="17" customFormat="1" x14ac:dyDescent="0.2">
      <c r="B29" s="100" t="s">
        <v>683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104"/>
      <c r="AF29" s="104"/>
      <c r="AG29" s="104"/>
      <c r="AH29" s="104"/>
      <c r="AI29" s="104"/>
      <c r="AJ29" s="127"/>
      <c r="AK29" s="104"/>
      <c r="AL29" s="104"/>
      <c r="AM29" s="127"/>
      <c r="AN29" s="127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127"/>
      <c r="BA29" s="82"/>
      <c r="BB29" s="82"/>
      <c r="BC29" s="82"/>
      <c r="BD29" s="82"/>
      <c r="BE29" s="82"/>
      <c r="BF29" s="82"/>
      <c r="BG29" s="82"/>
      <c r="BH29" s="82">
        <v>0</v>
      </c>
      <c r="BI29" s="82">
        <v>0</v>
      </c>
      <c r="BJ29" s="82">
        <v>0</v>
      </c>
      <c r="BK29" s="183">
        <v>0</v>
      </c>
      <c r="BL29" s="183">
        <v>0</v>
      </c>
      <c r="BM29" s="82">
        <v>0</v>
      </c>
      <c r="BN29" s="140">
        <v>0</v>
      </c>
      <c r="BO29" s="82">
        <v>40</v>
      </c>
      <c r="BP29" s="82">
        <v>68</v>
      </c>
      <c r="BQ29" s="82">
        <v>75</v>
      </c>
      <c r="BR29" s="82">
        <v>81</v>
      </c>
      <c r="BS29" s="82">
        <v>96</v>
      </c>
      <c r="BT29" s="82">
        <v>120</v>
      </c>
      <c r="BU29" s="82">
        <v>118</v>
      </c>
      <c r="BV29" s="82">
        <v>122</v>
      </c>
      <c r="BW29" s="140">
        <v>140</v>
      </c>
      <c r="BX29" s="140">
        <v>156</v>
      </c>
      <c r="BY29" s="140">
        <v>138</v>
      </c>
      <c r="BZ29" s="140">
        <v>129</v>
      </c>
      <c r="CA29" s="140">
        <v>160</v>
      </c>
      <c r="CB29" s="140">
        <v>178</v>
      </c>
      <c r="CC29" s="140">
        <v>175</v>
      </c>
      <c r="CD29" s="140">
        <v>182</v>
      </c>
      <c r="CE29" s="140">
        <v>211</v>
      </c>
      <c r="CF29" s="140">
        <v>295</v>
      </c>
      <c r="CG29" s="140">
        <v>317</v>
      </c>
      <c r="CH29" s="140">
        <v>337</v>
      </c>
      <c r="CI29" s="140">
        <v>359</v>
      </c>
      <c r="CJ29" s="140">
        <v>380</v>
      </c>
      <c r="CK29" s="140">
        <v>391</v>
      </c>
      <c r="CL29" s="140">
        <v>368</v>
      </c>
      <c r="CM29" s="140">
        <v>380</v>
      </c>
      <c r="CN29" s="140">
        <v>414</v>
      </c>
      <c r="CO29" s="140"/>
      <c r="CP29" s="140"/>
      <c r="CQ29" s="140"/>
      <c r="CR29" s="140"/>
      <c r="CS29" s="140"/>
      <c r="CT29" s="140"/>
      <c r="CU29" s="79"/>
      <c r="CV29" s="79"/>
      <c r="CW29" s="79"/>
      <c r="CX29" s="79"/>
      <c r="CY29" s="79"/>
      <c r="CZ29" s="79"/>
      <c r="DA29" s="79"/>
      <c r="DC29" s="82"/>
      <c r="DD29" s="82"/>
      <c r="DE29" s="82"/>
      <c r="DF29" s="105"/>
      <c r="DG29" s="105"/>
      <c r="DH29" s="93"/>
      <c r="DI29" s="93"/>
      <c r="DJ29" s="83"/>
      <c r="DK29" s="93"/>
      <c r="DL29" s="82"/>
      <c r="DM29" s="82"/>
      <c r="DN29" s="140"/>
      <c r="DO29" s="140"/>
      <c r="DP29" s="140"/>
      <c r="DQ29" s="139">
        <f t="shared" si="11"/>
        <v>563</v>
      </c>
      <c r="DR29" s="79">
        <f t="shared" si="12"/>
        <v>695</v>
      </c>
      <c r="DS29" s="79">
        <f t="shared" si="13"/>
        <v>1160</v>
      </c>
      <c r="DT29" s="79">
        <f t="shared" si="14"/>
        <v>1498</v>
      </c>
      <c r="DU29"/>
      <c r="DV29"/>
      <c r="DW29" s="79"/>
      <c r="DX29" s="79"/>
      <c r="DY29" s="79"/>
      <c r="DZ29" s="79"/>
      <c r="EA29" s="79"/>
      <c r="EB29" s="79"/>
      <c r="EC29" s="79"/>
      <c r="ED29" s="79"/>
      <c r="EE29" s="79"/>
      <c r="EF29" s="79"/>
    </row>
    <row r="30" spans="2:136" s="17" customFormat="1" x14ac:dyDescent="0.2">
      <c r="B30" s="100" t="s">
        <v>684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104"/>
      <c r="AF30" s="104"/>
      <c r="AG30" s="104"/>
      <c r="AH30" s="104"/>
      <c r="AI30" s="104"/>
      <c r="AJ30" s="127"/>
      <c r="AK30" s="104"/>
      <c r="AL30" s="104"/>
      <c r="AM30" s="127"/>
      <c r="AN30" s="127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127"/>
      <c r="BA30" s="82"/>
      <c r="BB30" s="82"/>
      <c r="BC30" s="82"/>
      <c r="BD30" s="82"/>
      <c r="BE30" s="82"/>
      <c r="BF30" s="82"/>
      <c r="BG30" s="82"/>
      <c r="BH30" s="82">
        <v>0</v>
      </c>
      <c r="BI30" s="82">
        <v>0</v>
      </c>
      <c r="BJ30" s="82">
        <v>0</v>
      </c>
      <c r="BK30" s="183">
        <v>0</v>
      </c>
      <c r="BL30" s="183">
        <v>0</v>
      </c>
      <c r="BM30" s="82">
        <v>0</v>
      </c>
      <c r="BN30" s="140">
        <v>0</v>
      </c>
      <c r="BO30" s="82">
        <v>0</v>
      </c>
      <c r="BP30" s="82">
        <v>0</v>
      </c>
      <c r="BQ30" s="82">
        <v>0</v>
      </c>
      <c r="BR30" s="82">
        <v>0</v>
      </c>
      <c r="BS30" s="140">
        <v>0</v>
      </c>
      <c r="BT30" s="140">
        <v>0</v>
      </c>
      <c r="BU30" s="140">
        <v>0</v>
      </c>
      <c r="BV30" s="140">
        <v>0</v>
      </c>
      <c r="BW30" s="140">
        <v>0</v>
      </c>
      <c r="BX30" s="140">
        <v>0</v>
      </c>
      <c r="BY30" s="140">
        <v>0</v>
      </c>
      <c r="BZ30" s="140">
        <v>49</v>
      </c>
      <c r="CA30" s="140">
        <v>72</v>
      </c>
      <c r="CB30" s="140">
        <v>89</v>
      </c>
      <c r="CC30" s="140">
        <v>101</v>
      </c>
      <c r="CD30" s="140">
        <v>118</v>
      </c>
      <c r="CE30" s="140">
        <v>146</v>
      </c>
      <c r="CF30" s="140">
        <v>159</v>
      </c>
      <c r="CG30" s="140">
        <v>180</v>
      </c>
      <c r="CH30" s="140">
        <v>195</v>
      </c>
      <c r="CI30" s="140">
        <v>222</v>
      </c>
      <c r="CJ30" s="140">
        <v>260</v>
      </c>
      <c r="CK30" s="140">
        <v>283</v>
      </c>
      <c r="CL30" s="140">
        <v>299</v>
      </c>
      <c r="CM30" s="140">
        <v>309</v>
      </c>
      <c r="CN30" s="140">
        <v>320</v>
      </c>
      <c r="CO30" s="140"/>
      <c r="CP30" s="140"/>
      <c r="CQ30" s="140"/>
      <c r="CR30" s="140"/>
      <c r="CS30" s="140"/>
      <c r="CT30" s="140"/>
      <c r="CU30" s="79"/>
      <c r="CV30" s="79"/>
      <c r="CW30" s="79"/>
      <c r="CX30" s="79"/>
      <c r="CY30" s="79"/>
      <c r="CZ30" s="79"/>
      <c r="DA30" s="79"/>
      <c r="DC30" s="82"/>
      <c r="DD30" s="82"/>
      <c r="DE30" s="82"/>
      <c r="DF30" s="105"/>
      <c r="DG30" s="105"/>
      <c r="DH30" s="93"/>
      <c r="DI30" s="93"/>
      <c r="DJ30" s="83"/>
      <c r="DK30" s="93"/>
      <c r="DL30" s="82"/>
      <c r="DM30" s="82"/>
      <c r="DN30" s="140"/>
      <c r="DO30" s="140"/>
      <c r="DP30" s="140"/>
      <c r="DQ30" s="139">
        <f t="shared" si="11"/>
        <v>49</v>
      </c>
      <c r="DR30" s="79">
        <f t="shared" si="12"/>
        <v>380</v>
      </c>
      <c r="DS30" s="79">
        <f t="shared" si="13"/>
        <v>680</v>
      </c>
      <c r="DT30" s="79">
        <f t="shared" si="14"/>
        <v>1064</v>
      </c>
      <c r="DU30"/>
      <c r="DV30"/>
      <c r="DW30" s="79"/>
      <c r="DX30" s="79"/>
      <c r="DY30" s="79"/>
      <c r="DZ30" s="79"/>
      <c r="EA30" s="79"/>
      <c r="EB30" s="79"/>
      <c r="EC30" s="79"/>
      <c r="ED30" s="79"/>
      <c r="EE30" s="79"/>
      <c r="EF30" s="79"/>
    </row>
    <row r="31" spans="2:136" s="17" customFormat="1" x14ac:dyDescent="0.2">
      <c r="B31" s="17" t="s">
        <v>9</v>
      </c>
      <c r="C31" s="82">
        <v>0</v>
      </c>
      <c r="D31" s="82">
        <v>0</v>
      </c>
      <c r="E31" s="82">
        <v>0</v>
      </c>
      <c r="F31" s="82">
        <v>4.6790000000000003</v>
      </c>
      <c r="G31" s="82">
        <v>5.8</v>
      </c>
      <c r="H31" s="82">
        <v>12.4</v>
      </c>
      <c r="I31" s="82">
        <v>16.399999999999999</v>
      </c>
      <c r="J31" s="82">
        <v>15.8</v>
      </c>
      <c r="K31" s="82">
        <v>18.899999999999999</v>
      </c>
      <c r="L31" s="82">
        <v>28</v>
      </c>
      <c r="M31" s="82">
        <v>29.7</v>
      </c>
      <c r="N31" s="82">
        <v>35.9</v>
      </c>
      <c r="O31" s="82">
        <v>42.7</v>
      </c>
      <c r="P31" s="82">
        <v>45.8</v>
      </c>
      <c r="Q31" s="82">
        <v>46.9</v>
      </c>
      <c r="R31" s="82">
        <v>51.2</v>
      </c>
      <c r="S31" s="82">
        <v>52.7</v>
      </c>
      <c r="T31" s="82">
        <v>56.8</v>
      </c>
      <c r="U31" s="82">
        <v>55.113</v>
      </c>
      <c r="V31" s="82">
        <v>65.918999999999997</v>
      </c>
      <c r="W31" s="82">
        <v>71.343999999999994</v>
      </c>
      <c r="X31" s="82">
        <v>75.173000000000002</v>
      </c>
      <c r="Y31" s="82">
        <v>79.272999999999996</v>
      </c>
      <c r="Z31" s="82">
        <v>76.932000000000002</v>
      </c>
      <c r="AA31" s="82">
        <v>83.022000000000006</v>
      </c>
      <c r="AB31" s="82">
        <v>90.364999999999995</v>
      </c>
      <c r="AC31" s="82">
        <v>91.216999999999999</v>
      </c>
      <c r="AD31" s="82">
        <v>76.418999999999997</v>
      </c>
      <c r="AE31" s="104">
        <v>72.713999999999999</v>
      </c>
      <c r="AF31" s="104">
        <v>67.073999999999998</v>
      </c>
      <c r="AG31" s="104">
        <v>67.927999999999997</v>
      </c>
      <c r="AH31" s="104">
        <v>63</v>
      </c>
      <c r="AI31" s="104"/>
      <c r="AJ31" s="127">
        <v>51.334000000000003</v>
      </c>
      <c r="AK31" s="104">
        <v>47.5</v>
      </c>
      <c r="AL31" s="104"/>
      <c r="AM31" s="127">
        <v>38.095999999999997</v>
      </c>
      <c r="AN31" s="127">
        <v>38.655999999999999</v>
      </c>
      <c r="AO31" s="82">
        <v>36.6</v>
      </c>
      <c r="AP31" s="82">
        <v>32.295999999999999</v>
      </c>
      <c r="AQ31" s="82">
        <v>29.297000000000001</v>
      </c>
      <c r="AR31" s="82">
        <v>26.190999999999999</v>
      </c>
      <c r="AS31" s="82">
        <v>27.318999999999999</v>
      </c>
      <c r="AT31" s="82">
        <v>25.507999999999999</v>
      </c>
      <c r="AU31" s="82">
        <v>26.422999999999998</v>
      </c>
      <c r="AV31" s="82">
        <v>21.456</v>
      </c>
      <c r="AW31" s="82">
        <v>20.315999999999999</v>
      </c>
      <c r="AX31" s="82">
        <v>12.9</v>
      </c>
      <c r="AY31" s="82">
        <v>11.723000000000001</v>
      </c>
      <c r="AZ31" s="127">
        <v>17</v>
      </c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183"/>
      <c r="BL31" s="183"/>
      <c r="BM31" s="82"/>
      <c r="BN31" s="140"/>
      <c r="BO31" s="82"/>
      <c r="BP31" s="82"/>
      <c r="BQ31" s="82"/>
      <c r="BR31" s="82"/>
      <c r="BS31" s="82"/>
      <c r="BT31" s="82"/>
      <c r="BU31" s="82"/>
      <c r="BV31" s="82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  <c r="CT31" s="140"/>
      <c r="CU31" s="79"/>
      <c r="CV31" s="79">
        <v>0</v>
      </c>
      <c r="CW31" s="79">
        <v>0</v>
      </c>
      <c r="CX31" s="79">
        <v>0</v>
      </c>
      <c r="CY31" s="79">
        <v>4.6790000000000003</v>
      </c>
      <c r="CZ31" s="79">
        <v>50.4</v>
      </c>
      <c r="DA31" s="79">
        <v>112.5</v>
      </c>
      <c r="DB31" s="17">
        <v>186.6</v>
      </c>
      <c r="DC31" s="82">
        <f>SUM(S31:V31)</f>
        <v>230.53199999999998</v>
      </c>
      <c r="DD31" s="82">
        <f>SUM(W31:Z31)</f>
        <v>302.72199999999998</v>
      </c>
      <c r="DE31" s="82">
        <f>SUM(AA31:AD31)</f>
        <v>341.02299999999997</v>
      </c>
      <c r="DF31" s="105">
        <f>SUM(AE31:AH31)</f>
        <v>270.71600000000001</v>
      </c>
      <c r="DG31" s="105">
        <f t="shared" si="39"/>
        <v>98.834000000000003</v>
      </c>
      <c r="DH31" s="93">
        <f t="shared" si="40"/>
        <v>145.648</v>
      </c>
      <c r="DI31" s="93">
        <f t="shared" si="41"/>
        <v>108.315</v>
      </c>
      <c r="DJ31" s="83">
        <f t="shared" si="42"/>
        <v>81.094999999999999</v>
      </c>
      <c r="DK31" s="93">
        <f t="shared" si="31"/>
        <v>28.722999999999999</v>
      </c>
      <c r="DL31" s="82">
        <f t="shared" si="43"/>
        <v>28.722999999999999</v>
      </c>
      <c r="DM31" s="82">
        <f t="shared" si="43"/>
        <v>28.722999999999999</v>
      </c>
      <c r="DN31" s="140"/>
      <c r="DO31" s="139"/>
      <c r="DP31" s="139"/>
      <c r="DQ31" s="139">
        <f t="shared" si="11"/>
        <v>0</v>
      </c>
      <c r="DR31" s="79">
        <f t="shared" si="12"/>
        <v>0</v>
      </c>
      <c r="DS31" s="79">
        <f t="shared" si="13"/>
        <v>0</v>
      </c>
      <c r="DT31" s="79">
        <f t="shared" si="14"/>
        <v>0</v>
      </c>
      <c r="DU31"/>
      <c r="DV31"/>
      <c r="DW31" s="79"/>
      <c r="DX31" s="79"/>
      <c r="DY31" s="79"/>
      <c r="DZ31" s="79"/>
      <c r="EA31" s="79"/>
      <c r="EB31" s="79"/>
      <c r="EC31" s="79"/>
      <c r="ED31" s="79"/>
      <c r="EE31" s="79"/>
      <c r="EF31" s="79"/>
    </row>
    <row r="32" spans="2:136" s="92" customFormat="1" x14ac:dyDescent="0.2">
      <c r="B32" s="92" t="s">
        <v>605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126"/>
      <c r="AN32" s="126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126"/>
      <c r="BA32" s="93">
        <v>6</v>
      </c>
      <c r="BB32" s="93">
        <v>17</v>
      </c>
      <c r="BC32" s="93">
        <v>26</v>
      </c>
      <c r="BD32" s="93">
        <v>30</v>
      </c>
      <c r="BE32" s="93">
        <v>36</v>
      </c>
      <c r="BF32" s="93">
        <v>40</v>
      </c>
      <c r="BG32" s="93">
        <v>49</v>
      </c>
      <c r="BH32" s="93">
        <v>41</v>
      </c>
      <c r="BI32" s="93">
        <v>39</v>
      </c>
      <c r="BJ32" s="93">
        <v>39</v>
      </c>
      <c r="BK32" s="182">
        <v>35</v>
      </c>
      <c r="BL32" s="93">
        <v>35</v>
      </c>
      <c r="BM32" s="93">
        <v>40</v>
      </c>
      <c r="BN32" s="139">
        <v>39</v>
      </c>
      <c r="BO32" s="93">
        <v>33</v>
      </c>
      <c r="BP32" s="93">
        <v>39</v>
      </c>
      <c r="BQ32" s="93">
        <v>20</v>
      </c>
      <c r="BR32" s="93">
        <v>41</v>
      </c>
      <c r="BS32" s="93">
        <v>27</v>
      </c>
      <c r="BT32" s="93">
        <v>26</v>
      </c>
      <c r="BU32" s="93">
        <v>26</v>
      </c>
      <c r="BV32" s="93">
        <v>24</v>
      </c>
      <c r="BW32" s="139">
        <v>20</v>
      </c>
      <c r="BX32" s="139">
        <v>18</v>
      </c>
      <c r="BY32" s="139"/>
      <c r="BZ32" s="139">
        <v>17</v>
      </c>
      <c r="CA32" s="139"/>
      <c r="CB32" s="139">
        <v>22</v>
      </c>
      <c r="CC32" s="139"/>
      <c r="CD32" s="139"/>
      <c r="CE32" s="139"/>
      <c r="CF32" s="139"/>
      <c r="CG32" s="139"/>
      <c r="CH32" s="139"/>
      <c r="CI32" s="139"/>
      <c r="CJ32" s="139"/>
      <c r="CK32" s="139"/>
      <c r="CL32" s="139"/>
      <c r="CM32" s="139"/>
      <c r="CN32" s="139"/>
      <c r="CO32" s="139"/>
      <c r="CP32" s="139"/>
      <c r="CQ32" s="139"/>
      <c r="CR32" s="139"/>
      <c r="CS32" s="139"/>
      <c r="CT32" s="139"/>
      <c r="CU32" s="95"/>
      <c r="CV32" s="153"/>
      <c r="CW32" s="153"/>
      <c r="CX32" s="153"/>
      <c r="CY32" s="153"/>
      <c r="CZ32" s="153"/>
      <c r="DA32" s="153"/>
      <c r="DB32" s="100"/>
      <c r="DC32" s="93"/>
      <c r="DD32" s="93"/>
      <c r="DE32" s="93"/>
      <c r="DF32" s="103"/>
      <c r="DG32" s="103"/>
      <c r="DH32" s="93">
        <f t="shared" si="40"/>
        <v>0</v>
      </c>
      <c r="DI32" s="93">
        <f t="shared" si="41"/>
        <v>0</v>
      </c>
      <c r="DJ32" s="83">
        <f t="shared" si="42"/>
        <v>0</v>
      </c>
      <c r="DK32" s="93">
        <f t="shared" si="31"/>
        <v>23</v>
      </c>
      <c r="DL32" s="103">
        <v>100</v>
      </c>
      <c r="DM32" s="103">
        <v>150</v>
      </c>
      <c r="DN32" s="139"/>
      <c r="DO32" s="139"/>
      <c r="DP32" s="139"/>
      <c r="DQ32" s="139">
        <f t="shared" si="11"/>
        <v>55</v>
      </c>
      <c r="DR32" s="79">
        <f t="shared" si="12"/>
        <v>22</v>
      </c>
      <c r="DS32" s="79">
        <f t="shared" si="13"/>
        <v>0</v>
      </c>
      <c r="DT32" s="79">
        <f t="shared" si="14"/>
        <v>0</v>
      </c>
      <c r="DU32"/>
      <c r="DV32"/>
      <c r="DW32" s="95"/>
      <c r="DX32" s="95"/>
      <c r="DY32" s="95"/>
      <c r="DZ32" s="95"/>
      <c r="EA32" s="95"/>
      <c r="EB32" s="95"/>
      <c r="EC32" s="95"/>
      <c r="ED32" s="95"/>
      <c r="EE32" s="95"/>
      <c r="EF32" s="95"/>
    </row>
    <row r="33" spans="2:136" s="17" customFormat="1" x14ac:dyDescent="0.2">
      <c r="B33" s="17" t="s">
        <v>22</v>
      </c>
      <c r="C33" s="82">
        <v>39.756999999999998</v>
      </c>
      <c r="D33" s="82">
        <v>47.698999999999998</v>
      </c>
      <c r="E33" s="82">
        <v>48.585000000000001</v>
      </c>
      <c r="F33" s="82">
        <v>49.55</v>
      </c>
      <c r="G33" s="82">
        <v>41.1</v>
      </c>
      <c r="H33" s="82">
        <v>51.2</v>
      </c>
      <c r="I33" s="82">
        <v>51.6</v>
      </c>
      <c r="J33" s="82">
        <v>54.5</v>
      </c>
      <c r="K33" s="82">
        <v>51.872999999999998</v>
      </c>
      <c r="L33" s="82">
        <v>54.965000000000003</v>
      </c>
      <c r="M33" s="82">
        <v>49.8</v>
      </c>
      <c r="N33" s="82">
        <v>55</v>
      </c>
      <c r="O33" s="82">
        <v>54.2</v>
      </c>
      <c r="P33" s="82">
        <v>56.2</v>
      </c>
      <c r="Q33" s="82">
        <v>54.7</v>
      </c>
      <c r="R33" s="82">
        <v>55.6</v>
      </c>
      <c r="S33" s="82">
        <v>53.8</v>
      </c>
      <c r="T33" s="82">
        <v>55.6</v>
      </c>
      <c r="U33" s="82">
        <v>55.313000000000002</v>
      </c>
      <c r="V33" s="82">
        <v>58.290999999999997</v>
      </c>
      <c r="W33" s="82">
        <v>61.502000000000002</v>
      </c>
      <c r="X33" s="82">
        <v>64.754000000000005</v>
      </c>
      <c r="Y33" s="82">
        <v>68.507999999999996</v>
      </c>
      <c r="Z33" s="82">
        <v>67.807000000000002</v>
      </c>
      <c r="AA33" s="82">
        <v>71.028000000000006</v>
      </c>
      <c r="AB33" s="82">
        <v>69.768000000000001</v>
      </c>
      <c r="AC33" s="82">
        <v>72.884</v>
      </c>
      <c r="AD33" s="82">
        <v>75.971000000000004</v>
      </c>
      <c r="AE33" s="104">
        <v>64.271000000000001</v>
      </c>
      <c r="AF33" s="104">
        <v>73.31</v>
      </c>
      <c r="AG33" s="104">
        <v>77.063999999999993</v>
      </c>
      <c r="AH33" s="104">
        <v>83.951999999999998</v>
      </c>
      <c r="AI33" s="104"/>
      <c r="AJ33" s="127">
        <v>78.174000000000007</v>
      </c>
      <c r="AK33" s="104">
        <v>75.099999999999994</v>
      </c>
      <c r="AL33" s="104"/>
      <c r="AM33" s="127">
        <v>78.506</v>
      </c>
      <c r="AN33" s="127">
        <v>88.625</v>
      </c>
      <c r="AO33" s="82">
        <v>82.2</v>
      </c>
      <c r="AP33" s="82">
        <v>80.784000000000006</v>
      </c>
      <c r="AQ33" s="82">
        <v>84.763999999999996</v>
      </c>
      <c r="AR33" s="82">
        <v>83.653000000000006</v>
      </c>
      <c r="AS33" s="82">
        <v>87.447999999999993</v>
      </c>
      <c r="AT33" s="82">
        <v>90.781000000000006</v>
      </c>
      <c r="AU33" s="82">
        <v>85.275000000000006</v>
      </c>
      <c r="AV33" s="82">
        <v>75.137</v>
      </c>
      <c r="AW33" s="82">
        <v>97.811999999999998</v>
      </c>
      <c r="AX33" s="82">
        <v>93.602999999999994</v>
      </c>
      <c r="AY33" s="82">
        <v>92.093000000000004</v>
      </c>
      <c r="AZ33" s="127">
        <v>94.793999999999997</v>
      </c>
      <c r="BA33" s="82">
        <v>98</v>
      </c>
      <c r="BB33" s="82">
        <v>104</v>
      </c>
      <c r="BC33" s="82">
        <v>85</v>
      </c>
      <c r="BD33" s="82">
        <v>103</v>
      </c>
      <c r="BE33" s="82">
        <v>88</v>
      </c>
      <c r="BF33" s="82">
        <v>74</v>
      </c>
      <c r="BG33" s="82">
        <v>86</v>
      </c>
      <c r="BH33" s="82">
        <v>85</v>
      </c>
      <c r="BI33" s="82">
        <v>91</v>
      </c>
      <c r="BJ33" s="82">
        <v>94</v>
      </c>
      <c r="BK33" s="183">
        <v>92</v>
      </c>
      <c r="BL33" s="82">
        <v>92</v>
      </c>
      <c r="BM33" s="82">
        <v>92</v>
      </c>
      <c r="BN33" s="140">
        <v>90</v>
      </c>
      <c r="BO33" s="82">
        <v>107</v>
      </c>
      <c r="BP33" s="82">
        <v>103</v>
      </c>
      <c r="BQ33" s="82">
        <v>102</v>
      </c>
      <c r="BR33" s="82">
        <v>108</v>
      </c>
      <c r="BS33" s="82">
        <v>93</v>
      </c>
      <c r="BT33" s="82">
        <v>105</v>
      </c>
      <c r="BU33" s="82">
        <v>99</v>
      </c>
      <c r="BV33" s="82">
        <v>110</v>
      </c>
      <c r="BW33" s="140">
        <v>119</v>
      </c>
      <c r="BX33" s="140">
        <v>95</v>
      </c>
      <c r="BY33" s="140">
        <v>111</v>
      </c>
      <c r="BZ33" s="140">
        <v>111</v>
      </c>
      <c r="CA33" s="140">
        <v>121</v>
      </c>
      <c r="CB33" s="140">
        <v>156</v>
      </c>
      <c r="CC33" s="140">
        <v>143</v>
      </c>
      <c r="CD33" s="140">
        <v>120</v>
      </c>
      <c r="CE33" s="140">
        <v>144</v>
      </c>
      <c r="CF33" s="140">
        <v>132</v>
      </c>
      <c r="CG33" s="140">
        <v>105</v>
      </c>
      <c r="CH33" s="140">
        <v>117</v>
      </c>
      <c r="CI33" s="140">
        <v>116</v>
      </c>
      <c r="CJ33" s="140">
        <v>151</v>
      </c>
      <c r="CK33" s="140">
        <v>115</v>
      </c>
      <c r="CL33" s="140">
        <v>111</v>
      </c>
      <c r="CM33" s="140">
        <v>144</v>
      </c>
      <c r="CN33" s="140">
        <v>151</v>
      </c>
      <c r="CO33" s="140"/>
      <c r="CP33" s="140"/>
      <c r="CQ33" s="140"/>
      <c r="CR33" s="140"/>
      <c r="CS33" s="140"/>
      <c r="CT33" s="140"/>
      <c r="CU33" s="79"/>
      <c r="CV33" s="79">
        <v>129.17699999999999</v>
      </c>
      <c r="CW33" s="79">
        <v>141.11799999999999</v>
      </c>
      <c r="CX33" s="79">
        <v>164.53299999999999</v>
      </c>
      <c r="CY33" s="79">
        <v>185.59100000000001</v>
      </c>
      <c r="CZ33" s="79">
        <v>198.4</v>
      </c>
      <c r="DA33" s="79">
        <v>211.63799999999998</v>
      </c>
      <c r="DB33" s="17">
        <v>220.7</v>
      </c>
      <c r="DC33" s="82">
        <f>SUM(S33:V33)</f>
        <v>223.00400000000002</v>
      </c>
      <c r="DD33" s="82">
        <f>SUM(W33:Z33)</f>
        <v>262.57100000000003</v>
      </c>
      <c r="DE33" s="82">
        <f>SUM(AA33:AD33)</f>
        <v>289.65100000000001</v>
      </c>
      <c r="DF33" s="105">
        <f>SUM(AE33:AH33)</f>
        <v>298.59699999999998</v>
      </c>
      <c r="DG33" s="105">
        <f>SUM(AI33:AL33)</f>
        <v>153.274</v>
      </c>
      <c r="DH33" s="93">
        <f t="shared" si="40"/>
        <v>330.11500000000001</v>
      </c>
      <c r="DI33" s="93">
        <f t="shared" si="41"/>
        <v>346.64600000000002</v>
      </c>
      <c r="DJ33" s="83">
        <f t="shared" si="42"/>
        <v>351.827</v>
      </c>
      <c r="DK33" s="93">
        <f t="shared" si="31"/>
        <v>388.887</v>
      </c>
      <c r="DL33" s="82">
        <f t="shared" ref="DL33:DM33" si="45">DK33</f>
        <v>388.887</v>
      </c>
      <c r="DM33" s="82">
        <f t="shared" si="45"/>
        <v>388.887</v>
      </c>
      <c r="DN33" s="140"/>
      <c r="DO33" s="139"/>
      <c r="DP33" s="139"/>
      <c r="DQ33" s="139">
        <f t="shared" si="11"/>
        <v>436</v>
      </c>
      <c r="DR33" s="79">
        <f t="shared" si="12"/>
        <v>540</v>
      </c>
      <c r="DS33" s="79">
        <f t="shared" si="13"/>
        <v>498</v>
      </c>
      <c r="DT33" s="79">
        <f t="shared" si="14"/>
        <v>493</v>
      </c>
      <c r="DU33"/>
      <c r="DV33"/>
      <c r="DW33" s="79"/>
      <c r="DX33" s="79"/>
      <c r="DY33" s="79"/>
      <c r="DZ33" s="79"/>
      <c r="EA33" s="79"/>
      <c r="EB33" s="79"/>
      <c r="EC33" s="79"/>
      <c r="ED33" s="79"/>
      <c r="EE33" s="79"/>
      <c r="EF33" s="79"/>
    </row>
    <row r="34" spans="2:136" s="17" customFormat="1" x14ac:dyDescent="0.2">
      <c r="B34" s="100" t="s">
        <v>240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>
        <v>8.3960000000000008</v>
      </c>
      <c r="Z34" s="82">
        <v>17.004999999999999</v>
      </c>
      <c r="AA34" s="82">
        <v>20</v>
      </c>
      <c r="AB34" s="82">
        <v>24.686</v>
      </c>
      <c r="AC34" s="82">
        <v>31.655999999999999</v>
      </c>
      <c r="AD34" s="82">
        <v>36.176000000000002</v>
      </c>
      <c r="AE34" s="104">
        <v>39.58</v>
      </c>
      <c r="AF34" s="104">
        <v>44.128</v>
      </c>
      <c r="AG34" s="104">
        <v>48.073</v>
      </c>
      <c r="AH34" s="104">
        <v>52.167999999999999</v>
      </c>
      <c r="AI34" s="104"/>
      <c r="AJ34" s="127">
        <v>60.347999999999999</v>
      </c>
      <c r="AK34" s="104">
        <v>60.4</v>
      </c>
      <c r="AL34" s="104"/>
      <c r="AM34" s="127">
        <v>62.173999999999999</v>
      </c>
      <c r="AN34" s="127">
        <v>73.637</v>
      </c>
      <c r="AO34" s="82">
        <v>79</v>
      </c>
      <c r="AP34" s="82">
        <v>78.661000000000001</v>
      </c>
      <c r="AQ34" s="82">
        <v>87.287999999999997</v>
      </c>
      <c r="AR34" s="82">
        <v>101.634</v>
      </c>
      <c r="AS34" s="82">
        <v>105.054</v>
      </c>
      <c r="AT34" s="82">
        <v>116.078</v>
      </c>
      <c r="AU34" s="82">
        <v>118.107</v>
      </c>
      <c r="AV34" s="82">
        <v>128.25700000000001</v>
      </c>
      <c r="AW34" s="82">
        <v>135.072</v>
      </c>
      <c r="AX34" s="82">
        <v>138.53</v>
      </c>
      <c r="AY34" s="82">
        <v>122.88500000000001</v>
      </c>
      <c r="AZ34" s="127">
        <v>144.71600000000001</v>
      </c>
      <c r="BA34" s="82">
        <v>146</v>
      </c>
      <c r="BB34" s="82">
        <v>181</v>
      </c>
      <c r="BC34" s="82">
        <v>151</v>
      </c>
      <c r="BD34" s="82">
        <v>176</v>
      </c>
      <c r="BE34" s="82">
        <v>181</v>
      </c>
      <c r="BF34" s="82">
        <v>192</v>
      </c>
      <c r="BG34" s="82">
        <v>175</v>
      </c>
      <c r="BH34" s="82">
        <v>203</v>
      </c>
      <c r="BI34" s="82">
        <v>215</v>
      </c>
      <c r="BJ34" s="82">
        <v>226</v>
      </c>
      <c r="BK34" s="183">
        <v>211</v>
      </c>
      <c r="BL34" s="82">
        <v>230</v>
      </c>
      <c r="BM34" s="82">
        <v>213</v>
      </c>
      <c r="BN34" s="140">
        <v>233</v>
      </c>
      <c r="BO34" s="82">
        <v>204</v>
      </c>
      <c r="BP34" s="82">
        <v>244</v>
      </c>
      <c r="BQ34" s="82">
        <v>241</v>
      </c>
      <c r="BR34" s="82">
        <v>254</v>
      </c>
      <c r="BS34" s="82">
        <v>197</v>
      </c>
      <c r="BT34" s="82">
        <v>204</v>
      </c>
      <c r="BU34" s="82">
        <v>121</v>
      </c>
      <c r="BV34" s="82">
        <v>96</v>
      </c>
      <c r="BW34" s="140">
        <v>83</v>
      </c>
      <c r="BX34" s="140">
        <v>80</v>
      </c>
      <c r="BY34" s="140">
        <v>78</v>
      </c>
      <c r="BZ34" s="140">
        <v>73</v>
      </c>
      <c r="CA34" s="140">
        <v>54</v>
      </c>
      <c r="CB34" s="140">
        <v>57</v>
      </c>
      <c r="CC34" s="140">
        <v>46</v>
      </c>
      <c r="CD34" s="140">
        <v>49</v>
      </c>
      <c r="CE34" s="140">
        <v>43</v>
      </c>
      <c r="CF34" s="140">
        <v>49</v>
      </c>
      <c r="CG34" s="140">
        <v>43</v>
      </c>
      <c r="CH34" s="140">
        <v>60</v>
      </c>
      <c r="CI34" s="140">
        <v>32</v>
      </c>
      <c r="CJ34" s="140">
        <v>39</v>
      </c>
      <c r="CK34" s="140">
        <v>36</v>
      </c>
      <c r="CL34" s="140">
        <v>36</v>
      </c>
      <c r="CM34" s="140"/>
      <c r="CN34" s="140"/>
      <c r="CO34" s="140"/>
      <c r="CP34" s="140"/>
      <c r="CQ34" s="140"/>
      <c r="CR34" s="140"/>
      <c r="CS34" s="140"/>
      <c r="CT34" s="140"/>
      <c r="CU34" s="79"/>
      <c r="CV34" s="79"/>
      <c r="CW34" s="79"/>
      <c r="CX34" s="79"/>
      <c r="CY34" s="79"/>
      <c r="CZ34" s="79"/>
      <c r="DA34" s="79"/>
      <c r="DC34" s="82"/>
      <c r="DD34" s="82">
        <f>SUM(W34:Z34)</f>
        <v>25.401</v>
      </c>
      <c r="DE34" s="82">
        <f>SUM(AA34:AD34)</f>
        <v>112.518</v>
      </c>
      <c r="DF34" s="105">
        <f>SUM(AE34:AH34)</f>
        <v>183.94900000000001</v>
      </c>
      <c r="DG34" s="104">
        <f t="shared" si="39"/>
        <v>120.74799999999999</v>
      </c>
      <c r="DH34" s="93">
        <f t="shared" si="40"/>
        <v>293.47199999999998</v>
      </c>
      <c r="DI34" s="93">
        <f t="shared" si="41"/>
        <v>410.05399999999997</v>
      </c>
      <c r="DJ34" s="83">
        <f t="shared" si="42"/>
        <v>519.96600000000001</v>
      </c>
      <c r="DK34" s="93">
        <f t="shared" si="31"/>
        <v>594.601</v>
      </c>
      <c r="DL34" s="82">
        <f t="shared" ref="DL34:DM34" si="46">DK34*1.05</f>
        <v>624.33105</v>
      </c>
      <c r="DM34" s="82">
        <f t="shared" si="46"/>
        <v>655.54760250000004</v>
      </c>
      <c r="DN34" s="140"/>
      <c r="DO34" s="139"/>
      <c r="DP34" s="139"/>
      <c r="DQ34" s="139">
        <f t="shared" si="11"/>
        <v>314</v>
      </c>
      <c r="DR34" s="79">
        <f t="shared" si="12"/>
        <v>206</v>
      </c>
      <c r="DS34" s="79">
        <f t="shared" si="13"/>
        <v>195</v>
      </c>
      <c r="DT34" s="79">
        <f t="shared" si="14"/>
        <v>143</v>
      </c>
      <c r="DU34"/>
      <c r="DV34"/>
      <c r="DW34" s="79"/>
      <c r="DX34" s="79"/>
      <c r="DY34" s="79"/>
      <c r="DZ34" s="79"/>
      <c r="EA34" s="79"/>
      <c r="EB34" s="79"/>
      <c r="EC34" s="79"/>
      <c r="ED34" s="79"/>
      <c r="EE34" s="79"/>
      <c r="EF34" s="79"/>
    </row>
    <row r="35" spans="2:136" s="17" customFormat="1" x14ac:dyDescent="0.2">
      <c r="B35" s="75" t="s">
        <v>368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>
        <v>0</v>
      </c>
      <c r="AE35" s="104">
        <v>0</v>
      </c>
      <c r="AF35" s="104">
        <v>36.064999999999998</v>
      </c>
      <c r="AG35" s="104">
        <v>49.005000000000003</v>
      </c>
      <c r="AH35" s="104">
        <v>45.991999999999997</v>
      </c>
      <c r="AI35" s="104"/>
      <c r="AJ35" s="127">
        <v>60.46</v>
      </c>
      <c r="AK35" s="104">
        <v>60.3</v>
      </c>
      <c r="AL35" s="104"/>
      <c r="AM35" s="127">
        <v>68.293000000000006</v>
      </c>
      <c r="AN35" s="127">
        <v>86.076999999999998</v>
      </c>
      <c r="AO35" s="82">
        <v>82</v>
      </c>
      <c r="AP35" s="82">
        <v>83.650999999999996</v>
      </c>
      <c r="AQ35" s="82">
        <v>83.200999999999993</v>
      </c>
      <c r="AR35" s="82">
        <v>95.555000000000007</v>
      </c>
      <c r="AS35" s="82">
        <v>95.066000000000003</v>
      </c>
      <c r="AT35" s="82">
        <v>99.126999999999995</v>
      </c>
      <c r="AU35" s="82">
        <v>96.286000000000001</v>
      </c>
      <c r="AV35" s="82">
        <v>106.59699999999999</v>
      </c>
      <c r="AW35" s="82">
        <v>115.815</v>
      </c>
      <c r="AX35" s="82">
        <v>129.92599999999999</v>
      </c>
      <c r="AY35" s="82">
        <v>111.61799999999999</v>
      </c>
      <c r="AZ35" s="127">
        <v>121.956</v>
      </c>
      <c r="BA35" s="82">
        <v>132</v>
      </c>
      <c r="BB35" s="82">
        <v>144</v>
      </c>
      <c r="BC35" s="82">
        <v>117</v>
      </c>
      <c r="BD35" s="82">
        <v>141</v>
      </c>
      <c r="BE35" s="82">
        <v>161</v>
      </c>
      <c r="BF35" s="82">
        <v>169</v>
      </c>
      <c r="BG35" s="82">
        <v>144</v>
      </c>
      <c r="BH35" s="82">
        <v>153</v>
      </c>
      <c r="BI35" s="82">
        <v>170</v>
      </c>
      <c r="BJ35" s="82">
        <v>210</v>
      </c>
      <c r="BK35" s="183">
        <v>153</v>
      </c>
      <c r="BL35" s="82">
        <v>200</v>
      </c>
      <c r="BM35" s="82">
        <v>164</v>
      </c>
      <c r="BN35" s="140">
        <v>200</v>
      </c>
      <c r="BO35" s="82">
        <v>195</v>
      </c>
      <c r="BP35" s="82">
        <v>208</v>
      </c>
      <c r="BQ35" s="82">
        <v>178</v>
      </c>
      <c r="BR35" s="82">
        <v>177</v>
      </c>
      <c r="BS35" s="82">
        <v>155</v>
      </c>
      <c r="BT35" s="82">
        <v>19</v>
      </c>
      <c r="BU35" s="82">
        <v>31</v>
      </c>
      <c r="BV35" s="82">
        <v>11</v>
      </c>
      <c r="BW35" s="140">
        <v>8</v>
      </c>
      <c r="BX35" s="140">
        <v>1</v>
      </c>
      <c r="BY35" s="140">
        <v>0</v>
      </c>
      <c r="BZ35" s="140">
        <v>0</v>
      </c>
      <c r="CA35" s="140">
        <v>0</v>
      </c>
      <c r="CB35" s="140">
        <v>2</v>
      </c>
      <c r="CC35" s="140">
        <v>0</v>
      </c>
      <c r="CD35" s="140">
        <v>5</v>
      </c>
      <c r="CE35" s="140"/>
      <c r="CF35" s="140"/>
      <c r="CG35" s="140"/>
      <c r="CH35" s="140"/>
      <c r="CI35" s="140"/>
      <c r="CJ35" s="140"/>
      <c r="CK35" s="140"/>
      <c r="CL35" s="140"/>
      <c r="CM35" s="140"/>
      <c r="CN35" s="140"/>
      <c r="CO35" s="140"/>
      <c r="CP35" s="140"/>
      <c r="CQ35" s="140"/>
      <c r="CR35" s="140"/>
      <c r="CS35" s="140"/>
      <c r="CT35" s="140"/>
      <c r="CU35" s="79"/>
      <c r="CV35" s="79"/>
      <c r="CW35" s="79"/>
      <c r="CX35" s="79"/>
      <c r="CY35" s="79"/>
      <c r="CZ35" s="79"/>
      <c r="DA35" s="79"/>
      <c r="DC35" s="82"/>
      <c r="DD35" s="82"/>
      <c r="DE35" s="82"/>
      <c r="DF35" s="105">
        <f>SUM(AE35:AH35)</f>
        <v>131.06199999999998</v>
      </c>
      <c r="DG35" s="104">
        <f t="shared" si="39"/>
        <v>120.75999999999999</v>
      </c>
      <c r="DH35" s="93">
        <f t="shared" si="40"/>
        <v>320.02100000000002</v>
      </c>
      <c r="DI35" s="93">
        <f t="shared" si="41"/>
        <v>372.94900000000001</v>
      </c>
      <c r="DJ35" s="83">
        <f t="shared" si="42"/>
        <v>448.62399999999997</v>
      </c>
      <c r="DK35" s="93">
        <f t="shared" si="31"/>
        <v>509.57400000000001</v>
      </c>
      <c r="DL35" s="82">
        <f t="shared" ref="DL35:DM35" si="47">DK35*1.1</f>
        <v>560.53140000000008</v>
      </c>
      <c r="DM35" s="82">
        <f t="shared" si="47"/>
        <v>616.58454000000017</v>
      </c>
      <c r="DN35" s="140"/>
      <c r="DO35" s="139"/>
      <c r="DP35" s="139"/>
      <c r="DQ35" s="139">
        <f t="shared" si="11"/>
        <v>9</v>
      </c>
      <c r="DR35" s="79">
        <f t="shared" si="12"/>
        <v>7</v>
      </c>
      <c r="DS35" s="79">
        <f t="shared" si="13"/>
        <v>0</v>
      </c>
      <c r="DT35" s="79">
        <f t="shared" si="14"/>
        <v>0</v>
      </c>
      <c r="DU35"/>
      <c r="DV35"/>
      <c r="DW35" s="79"/>
      <c r="DX35" s="79"/>
      <c r="DY35" s="79"/>
      <c r="DZ35" s="79"/>
      <c r="EA35" s="79"/>
      <c r="EB35" s="79"/>
      <c r="EC35" s="79"/>
      <c r="ED35" s="79"/>
      <c r="EE35" s="79"/>
      <c r="EF35" s="79"/>
    </row>
    <row r="36" spans="2:136" s="17" customFormat="1" x14ac:dyDescent="0.2">
      <c r="B36" s="100" t="s">
        <v>622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104"/>
      <c r="AF36" s="104"/>
      <c r="AG36" s="104"/>
      <c r="AH36" s="104"/>
      <c r="AI36" s="104"/>
      <c r="AJ36" s="104"/>
      <c r="AK36" s="104"/>
      <c r="AL36" s="104"/>
      <c r="AM36" s="127"/>
      <c r="AN36" s="127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127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183"/>
      <c r="BL36" s="82"/>
      <c r="BM36" s="82"/>
      <c r="BN36" s="140"/>
      <c r="BO36" s="82"/>
      <c r="BP36" s="82"/>
      <c r="BQ36" s="82"/>
      <c r="BR36" s="82"/>
      <c r="BS36" s="82"/>
      <c r="BT36" s="82"/>
      <c r="BU36" s="82"/>
      <c r="BV36" s="82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79"/>
      <c r="CV36" s="79"/>
      <c r="CW36" s="79"/>
      <c r="CX36" s="79"/>
      <c r="CY36" s="79"/>
      <c r="CZ36" s="79"/>
      <c r="DA36" s="79"/>
      <c r="DC36" s="82"/>
      <c r="DD36" s="82"/>
      <c r="DE36" s="82"/>
      <c r="DF36" s="105"/>
      <c r="DG36" s="104"/>
      <c r="DH36" s="93">
        <f t="shared" si="40"/>
        <v>0</v>
      </c>
      <c r="DI36" s="93">
        <f t="shared" si="41"/>
        <v>0</v>
      </c>
      <c r="DJ36" s="83">
        <f t="shared" si="42"/>
        <v>0</v>
      </c>
      <c r="DK36" s="93">
        <f t="shared" si="31"/>
        <v>0</v>
      </c>
      <c r="DL36" s="93" t="s">
        <v>624</v>
      </c>
      <c r="DM36" s="93" t="s">
        <v>625</v>
      </c>
      <c r="DN36" s="140"/>
      <c r="DO36" s="139"/>
      <c r="DP36" s="139"/>
      <c r="DQ36" s="139">
        <f t="shared" si="11"/>
        <v>0</v>
      </c>
      <c r="DR36" s="79">
        <f t="shared" si="12"/>
        <v>0</v>
      </c>
      <c r="DS36" s="79">
        <f t="shared" si="13"/>
        <v>0</v>
      </c>
      <c r="DT36" s="79">
        <f t="shared" si="14"/>
        <v>0</v>
      </c>
      <c r="DU36"/>
      <c r="DV36"/>
      <c r="DW36" s="79"/>
      <c r="DX36" s="79"/>
      <c r="DY36" s="79"/>
      <c r="DZ36" s="79"/>
      <c r="EA36" s="79"/>
      <c r="EB36" s="79"/>
      <c r="EC36" s="79"/>
      <c r="ED36" s="79"/>
      <c r="EE36" s="79"/>
      <c r="EF36" s="79"/>
    </row>
    <row r="37" spans="2:136" s="17" customFormat="1" x14ac:dyDescent="0.2">
      <c r="B37" s="17" t="s">
        <v>16</v>
      </c>
      <c r="C37" s="82">
        <v>3.7890000000000001</v>
      </c>
      <c r="D37" s="82">
        <v>1.355</v>
      </c>
      <c r="E37" s="82">
        <v>2.6829999999999998</v>
      </c>
      <c r="F37" s="82">
        <v>0</v>
      </c>
      <c r="G37" s="82">
        <v>1.764</v>
      </c>
      <c r="H37" s="82">
        <v>6.8000000000000005E-2</v>
      </c>
      <c r="I37" s="82">
        <v>4.6749999999999998</v>
      </c>
      <c r="J37" s="82">
        <v>4.5339999999999998</v>
      </c>
      <c r="K37" s="82">
        <v>0.71599999999999997</v>
      </c>
      <c r="L37" s="82">
        <v>2.6320000000000001</v>
      </c>
      <c r="M37" s="82">
        <v>3.12700000000001</v>
      </c>
      <c r="N37" s="82">
        <v>3</v>
      </c>
      <c r="O37" s="82">
        <v>1.9109999999999772</v>
      </c>
      <c r="P37" s="82">
        <v>2.1580000000001593</v>
      </c>
      <c r="Q37" s="82">
        <v>2.1</v>
      </c>
      <c r="R37" s="82">
        <v>2</v>
      </c>
      <c r="S37" s="82">
        <v>2.2149999999999999</v>
      </c>
      <c r="T37" s="82">
        <v>2.9</v>
      </c>
      <c r="U37" s="82">
        <v>2.3319999999999999</v>
      </c>
      <c r="V37" s="82">
        <v>1.4610000000000001</v>
      </c>
      <c r="W37" s="82">
        <v>2.2570000000000001</v>
      </c>
      <c r="X37" s="82">
        <v>2.8860000000000001</v>
      </c>
      <c r="Y37" s="82"/>
      <c r="Z37" s="82"/>
      <c r="AA37" s="82">
        <f>22.598-AA34</f>
        <v>2.597999999999999</v>
      </c>
      <c r="AB37" s="82">
        <v>2.3780000000000001</v>
      </c>
      <c r="AC37" s="82">
        <v>2.4289999999999998</v>
      </c>
      <c r="AD37" s="82">
        <v>2.79</v>
      </c>
      <c r="AE37" s="104">
        <v>2.94</v>
      </c>
      <c r="AF37" s="104">
        <v>4.5590000000000002</v>
      </c>
      <c r="AG37" s="104">
        <v>4.5819999999999999</v>
      </c>
      <c r="AH37" s="104">
        <v>5</v>
      </c>
      <c r="AI37" s="104"/>
      <c r="AJ37" s="127">
        <v>15.342000000000001</v>
      </c>
      <c r="AK37" s="104">
        <v>19.8</v>
      </c>
      <c r="AL37" s="104"/>
      <c r="AM37" s="127"/>
      <c r="AN37" s="127">
        <v>26.850999999999999</v>
      </c>
      <c r="AO37" s="82">
        <v>28</v>
      </c>
      <c r="AP37" s="82">
        <v>30.265000000000001</v>
      </c>
      <c r="AQ37" s="82">
        <v>27.283000000000001</v>
      </c>
      <c r="AR37" s="82">
        <v>28.114999999999998</v>
      </c>
      <c r="AS37" s="82">
        <v>34.576999999999998</v>
      </c>
      <c r="AT37" s="82">
        <v>36.957000000000001</v>
      </c>
      <c r="AU37" s="82">
        <v>32.822000000000003</v>
      </c>
      <c r="AV37" s="82">
        <v>35.046999999999997</v>
      </c>
      <c r="AW37" s="82">
        <v>34.225999999999999</v>
      </c>
      <c r="AX37" s="82">
        <v>41.304000000000002</v>
      </c>
      <c r="AY37" s="82">
        <v>35.881</v>
      </c>
      <c r="AZ37" s="127">
        <v>39.326999999999998</v>
      </c>
      <c r="BA37" s="82">
        <f>24+42</f>
        <v>66</v>
      </c>
      <c r="BB37" s="93">
        <f>21+50</f>
        <v>71</v>
      </c>
      <c r="BC37" s="82">
        <f>38+22</f>
        <v>60</v>
      </c>
      <c r="BD37" s="82">
        <f>16+45</f>
        <v>61</v>
      </c>
      <c r="BE37" s="82">
        <f>43+15</f>
        <v>58</v>
      </c>
      <c r="BF37" s="82">
        <f>48+16</f>
        <v>64</v>
      </c>
      <c r="BG37" s="82">
        <f>44+28</f>
        <v>72</v>
      </c>
      <c r="BH37" s="82">
        <f>20+43</f>
        <v>63</v>
      </c>
      <c r="BI37" s="82">
        <f>49+19</f>
        <v>68</v>
      </c>
      <c r="BJ37" s="82">
        <f>52+16</f>
        <v>68</v>
      </c>
      <c r="BK37" s="82">
        <f>45+30-BK21</f>
        <v>64</v>
      </c>
      <c r="BL37" s="82">
        <f>36+50-BL21</f>
        <v>64</v>
      </c>
      <c r="BM37" s="82">
        <f>50+56</f>
        <v>106</v>
      </c>
      <c r="BN37" s="140">
        <f>62+74</f>
        <v>136</v>
      </c>
      <c r="BO37" s="93">
        <f>47+79</f>
        <v>126</v>
      </c>
      <c r="BP37" s="82">
        <f>115+19</f>
        <v>134</v>
      </c>
      <c r="BQ37" s="82">
        <f>64+14</f>
        <v>78</v>
      </c>
      <c r="BR37" s="82">
        <f>35+15</f>
        <v>50</v>
      </c>
      <c r="BS37" s="82">
        <f>17+62</f>
        <v>79</v>
      </c>
      <c r="BT37" s="82">
        <f>140+15</f>
        <v>155</v>
      </c>
      <c r="BU37" s="82">
        <f>5+25</f>
        <v>30</v>
      </c>
      <c r="BV37" s="82">
        <f>58+10</f>
        <v>68</v>
      </c>
      <c r="BW37" s="140">
        <f>63+8</f>
        <v>71</v>
      </c>
      <c r="BX37" s="140">
        <f>49+46+28</f>
        <v>123</v>
      </c>
      <c r="BY37" s="140">
        <f>45+13+50+17</f>
        <v>125</v>
      </c>
      <c r="BZ37" s="140">
        <f>44+9+56-3</f>
        <v>106</v>
      </c>
      <c r="CA37" s="140">
        <f>48+73+66</f>
        <v>187</v>
      </c>
      <c r="CB37" s="140">
        <f>54+45+11</f>
        <v>110</v>
      </c>
      <c r="CC37" s="140">
        <f>43+7+52+13</f>
        <v>115</v>
      </c>
      <c r="CD37" s="140">
        <f>37+64+53</f>
        <v>154</v>
      </c>
      <c r="CE37" s="140">
        <f>14+34+50</f>
        <v>98</v>
      </c>
      <c r="CF37" s="140">
        <f>18+49+76</f>
        <v>143</v>
      </c>
      <c r="CG37" s="139">
        <f>52+44+12</f>
        <v>108</v>
      </c>
      <c r="CH37" s="140">
        <f>12+39+13+75</f>
        <v>139</v>
      </c>
      <c r="CI37" s="140">
        <f>9+45+11+51</f>
        <v>116</v>
      </c>
      <c r="CJ37" s="140">
        <f>40+21+20+53</f>
        <v>134</v>
      </c>
      <c r="CK37" s="140">
        <f>38+21+20+65</f>
        <v>144</v>
      </c>
      <c r="CL37" s="140">
        <f>54+22+37+21</f>
        <v>134</v>
      </c>
      <c r="CM37" s="140">
        <f>117+107+80</f>
        <v>304</v>
      </c>
      <c r="CN37" s="140">
        <f>105+113+130</f>
        <v>348</v>
      </c>
      <c r="CO37" s="140"/>
      <c r="CP37" s="140"/>
      <c r="CQ37" s="140"/>
      <c r="CR37" s="140"/>
      <c r="CS37" s="140"/>
      <c r="CT37" s="140"/>
      <c r="CU37" s="79"/>
      <c r="CV37" s="79">
        <v>10.712999999999999</v>
      </c>
      <c r="CW37" s="79">
        <v>8.5909999999999993</v>
      </c>
      <c r="CX37" s="79">
        <v>10.851000000000001</v>
      </c>
      <c r="CY37" s="79">
        <v>7.827</v>
      </c>
      <c r="CZ37" s="79">
        <v>11.041</v>
      </c>
      <c r="DA37" s="79">
        <v>9.4750000000000103</v>
      </c>
      <c r="DB37" s="17">
        <v>8.1690000000001373</v>
      </c>
      <c r="DC37" s="82"/>
      <c r="DD37" s="82">
        <f>SUM(W37:Z37)</f>
        <v>5.1430000000000007</v>
      </c>
      <c r="DE37" s="82">
        <f>SUM(AA37:AD37)</f>
        <v>10.195</v>
      </c>
      <c r="DF37" s="105">
        <f>SUM(AE37:AH37)</f>
        <v>17.081</v>
      </c>
      <c r="DG37" s="104">
        <f t="shared" si="39"/>
        <v>35.142000000000003</v>
      </c>
      <c r="DH37" s="93">
        <f t="shared" si="40"/>
        <v>85.116</v>
      </c>
      <c r="DI37" s="93">
        <f t="shared" si="41"/>
        <v>126.93199999999999</v>
      </c>
      <c r="DJ37" s="83">
        <f t="shared" si="42"/>
        <v>143.399</v>
      </c>
      <c r="DK37" s="93">
        <f t="shared" si="31"/>
        <v>212.208</v>
      </c>
      <c r="DL37" s="82">
        <f t="shared" ref="DL37:DM37" si="48">+DK37</f>
        <v>212.208</v>
      </c>
      <c r="DM37" s="82">
        <f t="shared" si="48"/>
        <v>212.208</v>
      </c>
      <c r="DN37" s="140"/>
      <c r="DO37" s="140"/>
      <c r="DP37" s="140"/>
      <c r="DQ37" s="139">
        <f t="shared" si="11"/>
        <v>425</v>
      </c>
      <c r="DR37" s="79">
        <f t="shared" si="12"/>
        <v>566</v>
      </c>
      <c r="DS37" s="79">
        <f t="shared" si="13"/>
        <v>488</v>
      </c>
      <c r="DT37" s="79">
        <f t="shared" si="14"/>
        <v>528</v>
      </c>
      <c r="DU37"/>
      <c r="DV37"/>
      <c r="DW37" s="79"/>
      <c r="DX37" s="79"/>
      <c r="DY37" s="79"/>
      <c r="DZ37" s="79"/>
      <c r="EA37" s="79"/>
      <c r="EB37" s="79"/>
      <c r="EC37" s="79"/>
      <c r="ED37" s="79"/>
      <c r="EE37" s="79"/>
      <c r="EF37" s="79"/>
    </row>
    <row r="38" spans="2:136" s="17" customFormat="1" x14ac:dyDescent="0.2">
      <c r="B38" s="17" t="s">
        <v>24</v>
      </c>
      <c r="C38" s="82">
        <v>5.3769999999999998</v>
      </c>
      <c r="D38" s="82">
        <v>6.7370000000000001</v>
      </c>
      <c r="E38" s="82">
        <v>4.3819999999999997</v>
      </c>
      <c r="F38" s="82">
        <v>3.91</v>
      </c>
      <c r="G38" s="82">
        <v>7.3840000000000003</v>
      </c>
      <c r="H38" s="82">
        <v>7.0350000000000001</v>
      </c>
      <c r="I38" s="82">
        <v>4.875</v>
      </c>
      <c r="J38" s="82">
        <v>5.9249999999999998</v>
      </c>
      <c r="K38" s="82">
        <v>32.542000000000002</v>
      </c>
      <c r="L38" s="82">
        <v>20.39</v>
      </c>
      <c r="M38" s="82">
        <v>15.46</v>
      </c>
      <c r="N38" s="82">
        <v>14.058000000000122</v>
      </c>
      <c r="O38" s="82">
        <v>30.202999999999999</v>
      </c>
      <c r="P38" s="82">
        <v>46.811</v>
      </c>
      <c r="Q38" s="82">
        <v>26.2</v>
      </c>
      <c r="R38" s="82">
        <v>115.8</v>
      </c>
      <c r="S38" s="82">
        <v>133.52500000000001</v>
      </c>
      <c r="T38" s="82">
        <f>73.3+21.3</f>
        <v>94.6</v>
      </c>
      <c r="U38" s="82">
        <v>78.673000000000002</v>
      </c>
      <c r="V38" s="82">
        <v>131.13300000000001</v>
      </c>
      <c r="W38" s="82">
        <v>188.20500000000001</v>
      </c>
      <c r="X38" s="82">
        <v>143.03100000000001</v>
      </c>
      <c r="Y38" s="82">
        <f>91.003+5.869</f>
        <v>96.872</v>
      </c>
      <c r="Z38" s="82">
        <v>68.828000000000003</v>
      </c>
      <c r="AA38" s="82">
        <f>109.452+7.394</f>
        <v>116.846</v>
      </c>
      <c r="AB38" s="82">
        <v>60.908999999999999</v>
      </c>
      <c r="AC38" s="82">
        <v>32.776000000000003</v>
      </c>
      <c r="AD38" s="82">
        <v>40.433</v>
      </c>
      <c r="AE38" s="104">
        <v>82.88</v>
      </c>
      <c r="AF38" s="104">
        <v>78.777000000000001</v>
      </c>
      <c r="AG38" s="104">
        <v>152.434</v>
      </c>
      <c r="AH38" s="104">
        <v>227.98099999999999</v>
      </c>
      <c r="AI38" s="104">
        <v>297.79000000000002</v>
      </c>
      <c r="AJ38" s="104">
        <v>121.163</v>
      </c>
      <c r="AK38" s="104">
        <v>72.096999999999994</v>
      </c>
      <c r="AL38" s="104">
        <v>68.448999999999998</v>
      </c>
      <c r="AM38" s="127">
        <v>62.515999999999998</v>
      </c>
      <c r="AN38" s="127">
        <v>97.665000000000006</v>
      </c>
      <c r="AO38" s="82">
        <f>51.6+4.2</f>
        <v>55.800000000000004</v>
      </c>
      <c r="AP38" s="82">
        <v>67.043999999999997</v>
      </c>
      <c r="AQ38" s="82">
        <v>74.106999999999999</v>
      </c>
      <c r="AR38" s="82">
        <v>83.945999999999998</v>
      </c>
      <c r="AS38" s="82">
        <v>68.619</v>
      </c>
      <c r="AT38" s="82">
        <v>77.474000000000004</v>
      </c>
      <c r="AU38" s="82">
        <v>138.06700000000001</v>
      </c>
      <c r="AV38" s="82">
        <v>110.10899999999999</v>
      </c>
      <c r="AW38" s="82">
        <v>73.180999999999997</v>
      </c>
      <c r="AX38" s="82">
        <v>76.635999999999996</v>
      </c>
      <c r="AY38" s="82">
        <v>127.982</v>
      </c>
      <c r="AZ38" s="82">
        <v>122.006</v>
      </c>
      <c r="BA38" s="82">
        <v>74</v>
      </c>
      <c r="BB38" s="82">
        <v>92</v>
      </c>
      <c r="BC38" s="82">
        <v>189</v>
      </c>
      <c r="BD38" s="82">
        <v>118</v>
      </c>
      <c r="BE38" s="82">
        <v>84</v>
      </c>
      <c r="BF38" s="82">
        <v>97</v>
      </c>
      <c r="BG38" s="82">
        <v>113</v>
      </c>
      <c r="BH38" s="82">
        <v>125</v>
      </c>
      <c r="BI38" s="82">
        <v>95</v>
      </c>
      <c r="BJ38" s="82">
        <v>104</v>
      </c>
      <c r="BK38" s="82">
        <v>128</v>
      </c>
      <c r="BL38" s="82">
        <v>95</v>
      </c>
      <c r="BM38" s="82">
        <v>110</v>
      </c>
      <c r="BN38" s="140">
        <v>112</v>
      </c>
      <c r="BO38" s="82">
        <v>87</v>
      </c>
      <c r="BP38" s="82">
        <v>108</v>
      </c>
      <c r="BQ38" s="82">
        <v>141</v>
      </c>
      <c r="BR38" s="82">
        <v>114</v>
      </c>
      <c r="BS38" s="82">
        <v>81</v>
      </c>
      <c r="BT38" s="82">
        <v>78</v>
      </c>
      <c r="BU38" s="82">
        <v>88</v>
      </c>
      <c r="BV38" s="82">
        <v>83</v>
      </c>
      <c r="BW38" s="140">
        <v>81</v>
      </c>
      <c r="BX38" s="140">
        <v>76</v>
      </c>
      <c r="BY38" s="140">
        <v>84</v>
      </c>
      <c r="BZ38" s="140">
        <v>93</v>
      </c>
      <c r="CA38" s="140">
        <v>83</v>
      </c>
      <c r="CB38" s="140">
        <v>65</v>
      </c>
      <c r="CC38" s="140">
        <v>65</v>
      </c>
      <c r="CD38" s="140">
        <v>84</v>
      </c>
      <c r="CE38" s="140">
        <v>56</v>
      </c>
      <c r="CF38" s="140">
        <v>122</v>
      </c>
      <c r="CG38" s="140">
        <v>64</v>
      </c>
      <c r="CH38" s="140">
        <v>56</v>
      </c>
      <c r="CI38" s="140">
        <v>46</v>
      </c>
      <c r="CJ38" s="140"/>
      <c r="CK38" s="140"/>
      <c r="CL38" s="140"/>
      <c r="CM38" s="140"/>
      <c r="CN38" s="140"/>
      <c r="CO38" s="140"/>
      <c r="CP38" s="140"/>
      <c r="CQ38" s="140"/>
      <c r="CR38" s="140"/>
      <c r="CS38" s="140"/>
      <c r="CT38" s="140"/>
      <c r="CU38" s="79"/>
      <c r="CV38" s="79">
        <v>10.430999999999999</v>
      </c>
      <c r="CW38" s="79">
        <v>24.591000000000001</v>
      </c>
      <c r="CX38" s="79">
        <v>22.969000000000001</v>
      </c>
      <c r="CY38" s="79">
        <v>20.406000000000002</v>
      </c>
      <c r="CZ38" s="79">
        <v>25.219000000000001</v>
      </c>
      <c r="DA38" s="79">
        <v>82.450000000000117</v>
      </c>
      <c r="DB38" s="17">
        <v>219.01400000000001</v>
      </c>
      <c r="DC38" s="82">
        <f>SUM(S38:V38)</f>
        <v>437.93100000000004</v>
      </c>
      <c r="DD38" s="82">
        <f>SUM(W38:Z38)</f>
        <v>496.93600000000004</v>
      </c>
      <c r="DE38" s="82">
        <f>SUM(AA38:AD38)</f>
        <v>250.964</v>
      </c>
      <c r="DF38" s="105">
        <f>SUM(AE38:AH38)</f>
        <v>542.072</v>
      </c>
      <c r="DG38" s="104">
        <f>SUM(AI38:AL38)</f>
        <v>559.49900000000002</v>
      </c>
      <c r="DH38" s="93">
        <f t="shared" si="40"/>
        <v>283.02500000000003</v>
      </c>
      <c r="DI38" s="93">
        <f t="shared" si="41"/>
        <v>304.14600000000002</v>
      </c>
      <c r="DJ38" s="83">
        <f t="shared" si="42"/>
        <v>397.99299999999994</v>
      </c>
      <c r="DK38" s="93">
        <f t="shared" si="31"/>
        <v>415.988</v>
      </c>
      <c r="DL38" s="82">
        <f t="shared" ref="DL38:DM38" si="49">DK38*0.9</f>
        <v>374.38920000000002</v>
      </c>
      <c r="DM38" s="82">
        <f t="shared" si="49"/>
        <v>336.95028000000002</v>
      </c>
      <c r="DN38" s="140"/>
      <c r="DO38" s="140"/>
      <c r="DP38" s="140"/>
      <c r="DQ38" s="139">
        <f t="shared" si="11"/>
        <v>334</v>
      </c>
      <c r="DR38" s="79">
        <f t="shared" si="12"/>
        <v>297</v>
      </c>
      <c r="DS38" s="79">
        <f t="shared" si="13"/>
        <v>298</v>
      </c>
      <c r="DT38" s="79">
        <f t="shared" si="14"/>
        <v>46</v>
      </c>
      <c r="DU38"/>
      <c r="DV38"/>
      <c r="DW38" s="79"/>
      <c r="DX38" s="79"/>
      <c r="DY38" s="79"/>
      <c r="DZ38" s="79"/>
      <c r="EA38" s="79"/>
      <c r="EB38" s="79"/>
      <c r="EC38" s="79"/>
      <c r="ED38" s="79"/>
      <c r="EE38" s="79"/>
      <c r="EF38" s="79"/>
    </row>
    <row r="39" spans="2:136" s="85" customFormat="1" x14ac:dyDescent="0.2">
      <c r="B39" s="85" t="s">
        <v>48</v>
      </c>
      <c r="C39" s="80">
        <f t="shared" ref="C39:J39" si="50">SUM(C38:C38)</f>
        <v>5.3769999999999998</v>
      </c>
      <c r="D39" s="80">
        <f t="shared" si="50"/>
        <v>6.7370000000000001</v>
      </c>
      <c r="E39" s="80">
        <f t="shared" si="50"/>
        <v>4.3819999999999997</v>
      </c>
      <c r="F39" s="80">
        <f t="shared" si="50"/>
        <v>3.91</v>
      </c>
      <c r="G39" s="80">
        <f t="shared" si="50"/>
        <v>7.3840000000000003</v>
      </c>
      <c r="H39" s="80">
        <f t="shared" si="50"/>
        <v>7.0350000000000001</v>
      </c>
      <c r="I39" s="80">
        <f t="shared" si="50"/>
        <v>4.875</v>
      </c>
      <c r="J39" s="80">
        <f t="shared" si="50"/>
        <v>5.9249999999999998</v>
      </c>
      <c r="K39" s="80" t="e">
        <f>#REF!+K38</f>
        <v>#REF!</v>
      </c>
      <c r="L39" s="80" t="e">
        <f>#REF!+L38</f>
        <v>#REF!</v>
      </c>
      <c r="M39" s="80" t="e">
        <f>#REF!+M38</f>
        <v>#REF!</v>
      </c>
      <c r="N39" s="80" t="e">
        <f>#REF!+N38</f>
        <v>#REF!</v>
      </c>
      <c r="O39" s="80" t="e">
        <f>#REF!+O38</f>
        <v>#REF!</v>
      </c>
      <c r="P39" s="80" t="e">
        <f>#REF!+P38</f>
        <v>#REF!</v>
      </c>
      <c r="Q39" s="80" t="e">
        <f>#REF!+Q38</f>
        <v>#REF!</v>
      </c>
      <c r="R39" s="80" t="e">
        <f>#REF!+R38</f>
        <v>#REF!</v>
      </c>
      <c r="S39" s="80" t="e">
        <f>#REF!+S38</f>
        <v>#REF!</v>
      </c>
      <c r="T39" s="80" t="e">
        <f>#REF!+T38</f>
        <v>#REF!</v>
      </c>
      <c r="U39" s="80" t="e">
        <f>#REF!+U38</f>
        <v>#REF!</v>
      </c>
      <c r="V39" s="80" t="e">
        <f>#REF!+V38</f>
        <v>#REF!</v>
      </c>
      <c r="W39" s="80" t="e">
        <f>#REF!+W38</f>
        <v>#REF!</v>
      </c>
      <c r="X39" s="80" t="e">
        <f>#REF!+X38</f>
        <v>#REF!</v>
      </c>
      <c r="Y39" s="80" t="e">
        <f>#REF!+Y38</f>
        <v>#REF!</v>
      </c>
      <c r="Z39" s="80" t="e">
        <f>#REF!+Z38</f>
        <v>#REF!</v>
      </c>
      <c r="AA39" s="80" t="e">
        <f>#REF!+AA38</f>
        <v>#REF!</v>
      </c>
      <c r="AB39" s="80" t="e">
        <f>#REF!+AB38</f>
        <v>#REF!</v>
      </c>
      <c r="AC39" s="80" t="e">
        <f>#REF!+AC38</f>
        <v>#REF!</v>
      </c>
      <c r="AD39" s="80" t="e">
        <f>#REF!+AD38</f>
        <v>#REF!</v>
      </c>
      <c r="AE39" s="80">
        <f t="shared" ref="AE39:BH39" si="51">SUM(AE14:AE38)</f>
        <v>1530.46</v>
      </c>
      <c r="AF39" s="80">
        <f t="shared" si="51"/>
        <v>1647.155</v>
      </c>
      <c r="AG39" s="80">
        <f t="shared" si="51"/>
        <v>1801.3890000000006</v>
      </c>
      <c r="AH39" s="80">
        <f t="shared" si="51"/>
        <v>2031.8679999999997</v>
      </c>
      <c r="AI39" s="80">
        <f t="shared" si="51"/>
        <v>297.79000000000002</v>
      </c>
      <c r="AJ39" s="80">
        <f t="shared" si="51"/>
        <v>1927.2239999999999</v>
      </c>
      <c r="AK39" s="80">
        <f t="shared" si="51"/>
        <v>1937.4970000000001</v>
      </c>
      <c r="AL39" s="80">
        <f t="shared" si="51"/>
        <v>68.448999999999998</v>
      </c>
      <c r="AM39" s="80">
        <f t="shared" si="51"/>
        <v>1902.1790000000001</v>
      </c>
      <c r="AN39" s="80">
        <f t="shared" si="51"/>
        <v>2137.2530000000002</v>
      </c>
      <c r="AO39" s="80">
        <f t="shared" si="51"/>
        <v>2122.2000000000003</v>
      </c>
      <c r="AP39" s="80">
        <f t="shared" si="51"/>
        <v>2200.3779999999997</v>
      </c>
      <c r="AQ39" s="80">
        <f t="shared" si="51"/>
        <v>2282.4489999999996</v>
      </c>
      <c r="AR39" s="80">
        <f t="shared" si="51"/>
        <v>2405.1859999999997</v>
      </c>
      <c r="AS39" s="80">
        <f t="shared" si="51"/>
        <v>2426.5970000000002</v>
      </c>
      <c r="AT39" s="80">
        <f t="shared" si="51"/>
        <v>2588.2849999999999</v>
      </c>
      <c r="AU39" s="80">
        <f t="shared" si="51"/>
        <v>2531.6350000000002</v>
      </c>
      <c r="AV39" s="80">
        <f t="shared" si="51"/>
        <v>2767.3940000000007</v>
      </c>
      <c r="AW39" s="80">
        <f t="shared" si="51"/>
        <v>2782.8330000000001</v>
      </c>
      <c r="AX39" s="80">
        <f t="shared" si="51"/>
        <v>3119.826</v>
      </c>
      <c r="AY39" s="80">
        <f t="shared" si="51"/>
        <v>4998.9560000000019</v>
      </c>
      <c r="AZ39" s="80">
        <f t="shared" si="51"/>
        <v>6534.5040000000008</v>
      </c>
      <c r="BA39" s="80">
        <f t="shared" si="51"/>
        <v>6042</v>
      </c>
      <c r="BB39" s="80">
        <f t="shared" si="51"/>
        <v>7314</v>
      </c>
      <c r="BC39" s="80">
        <f>SUM(BC9:BC38)</f>
        <v>7594</v>
      </c>
      <c r="BD39" s="80">
        <f t="shared" si="51"/>
        <v>8244</v>
      </c>
      <c r="BE39" s="80">
        <f>SUM(BE8:BE38)</f>
        <v>8295</v>
      </c>
      <c r="BF39" s="80">
        <f>SUM(BF4:BF38)</f>
        <v>8506</v>
      </c>
      <c r="BG39" s="80">
        <f>SUM(BG9:BG38)</f>
        <v>7794</v>
      </c>
      <c r="BH39" s="80">
        <f>SUM(BH9:BH38)</f>
        <v>7776</v>
      </c>
      <c r="BI39" s="167">
        <f>SUM(BI9:BI38)</f>
        <v>7500</v>
      </c>
      <c r="BJ39" s="167">
        <f>SUM(BJ9:BJ38)</f>
        <v>7320</v>
      </c>
      <c r="BK39" s="167">
        <f>SUM(BK9:BK38)</f>
        <v>6505</v>
      </c>
      <c r="BL39" s="167">
        <f>SUM(BL9:BL38)</f>
        <v>7141</v>
      </c>
      <c r="BM39" s="167">
        <f>SUM(BM9:BM38)</f>
        <v>6512</v>
      </c>
      <c r="BN39" s="167">
        <f>SUM(BN9:BN38)</f>
        <v>5949</v>
      </c>
      <c r="BO39" s="167">
        <f>SUM(BO9:BO38)</f>
        <v>5088</v>
      </c>
      <c r="BP39" s="167">
        <f>SUM(BP9:BP38)</f>
        <v>5648</v>
      </c>
      <c r="BQ39" s="167">
        <f t="shared" ref="BQ39:CH39" si="52">SUM(BQ9:BQ38)</f>
        <v>5596</v>
      </c>
      <c r="BR39" s="167">
        <f t="shared" si="52"/>
        <v>5795</v>
      </c>
      <c r="BS39" s="167">
        <f t="shared" si="52"/>
        <v>5281</v>
      </c>
      <c r="BT39" s="167">
        <f>SUM(BT9:BT38)</f>
        <v>5685</v>
      </c>
      <c r="BU39" s="167">
        <f t="shared" si="52"/>
        <v>5604</v>
      </c>
      <c r="BV39" s="167">
        <f t="shared" si="52"/>
        <v>5879</v>
      </c>
      <c r="BW39" s="167">
        <f t="shared" si="52"/>
        <v>5548</v>
      </c>
      <c r="BX39" s="167">
        <f t="shared" si="52"/>
        <v>5143</v>
      </c>
      <c r="BY39" s="167">
        <f t="shared" si="52"/>
        <v>6577</v>
      </c>
      <c r="BZ39" s="167">
        <f t="shared" si="52"/>
        <v>7421</v>
      </c>
      <c r="CA39" s="167">
        <f t="shared" si="52"/>
        <v>6423</v>
      </c>
      <c r="CB39" s="167">
        <f t="shared" si="52"/>
        <v>6217</v>
      </c>
      <c r="CC39" s="167">
        <f t="shared" si="52"/>
        <v>7421</v>
      </c>
      <c r="CD39" s="167">
        <f t="shared" si="52"/>
        <v>7243</v>
      </c>
      <c r="CE39" s="167">
        <f t="shared" si="52"/>
        <v>6589</v>
      </c>
      <c r="CF39" s="167">
        <f t="shared" si="52"/>
        <v>6261</v>
      </c>
      <c r="CG39" s="167">
        <f t="shared" si="52"/>
        <v>7042</v>
      </c>
      <c r="CH39" s="167">
        <f t="shared" si="52"/>
        <v>7389</v>
      </c>
      <c r="CI39" s="167">
        <f t="shared" ref="CI39" si="53">SUM(CI9:CI38)</f>
        <v>6352</v>
      </c>
      <c r="CJ39" s="167">
        <f t="shared" ref="CJ39" si="54">SUM(CJ9:CJ38)</f>
        <v>6565</v>
      </c>
      <c r="CK39" s="167">
        <f t="shared" ref="CK39" si="55">SUM(CK9:CK38)</f>
        <v>6996</v>
      </c>
      <c r="CL39" s="167">
        <f t="shared" ref="CL39:CT39" si="56">SUM(CL9:CL38)</f>
        <v>7071</v>
      </c>
      <c r="CM39" s="167">
        <f t="shared" si="56"/>
        <v>6648</v>
      </c>
      <c r="CN39" s="167">
        <f t="shared" si="56"/>
        <v>6913</v>
      </c>
      <c r="CO39" s="167">
        <f t="shared" si="56"/>
        <v>0</v>
      </c>
      <c r="CP39" s="167">
        <f t="shared" si="56"/>
        <v>0</v>
      </c>
      <c r="CQ39" s="167">
        <f t="shared" si="56"/>
        <v>0</v>
      </c>
      <c r="CR39" s="167">
        <f t="shared" si="56"/>
        <v>0</v>
      </c>
      <c r="CS39" s="167">
        <f t="shared" si="56"/>
        <v>0</v>
      </c>
      <c r="CT39" s="167">
        <f t="shared" si="56"/>
        <v>0</v>
      </c>
      <c r="CU39" s="154"/>
      <c r="CV39" s="154">
        <f t="shared" ref="CV39:DD39" si="57">SUM(CV3:CV38)</f>
        <v>150.321</v>
      </c>
      <c r="CW39" s="154">
        <f t="shared" si="57"/>
        <v>174.3</v>
      </c>
      <c r="CX39" s="154">
        <f t="shared" si="57"/>
        <v>213.93899999999999</v>
      </c>
      <c r="CY39" s="154">
        <f t="shared" si="57"/>
        <v>444.28500000000003</v>
      </c>
      <c r="CZ39" s="154">
        <f t="shared" si="57"/>
        <v>861.56000000000006</v>
      </c>
      <c r="DA39" s="154">
        <f t="shared" si="57"/>
        <v>1324.7784390485224</v>
      </c>
      <c r="DB39" s="85">
        <f t="shared" si="57"/>
        <v>2028.3830000000003</v>
      </c>
      <c r="DC39" s="85">
        <f t="shared" si="57"/>
        <v>3017.3370000000004</v>
      </c>
      <c r="DD39" s="85">
        <f t="shared" si="57"/>
        <v>2640.8110000000001</v>
      </c>
      <c r="DE39" s="80">
        <f>SUM(DE38:DE38)</f>
        <v>250.964</v>
      </c>
      <c r="DF39" s="102">
        <f t="shared" ref="DF39:DV39" si="58">SUM(DF14:DF38)</f>
        <v>7010.8720000000003</v>
      </c>
      <c r="DG39" s="102">
        <f t="shared" si="58"/>
        <v>5338.1969999999992</v>
      </c>
      <c r="DH39" s="80">
        <f t="shared" si="58"/>
        <v>8362.01</v>
      </c>
      <c r="DI39" s="80">
        <f t="shared" si="58"/>
        <v>9702.5170000000016</v>
      </c>
      <c r="DJ39" s="80">
        <f t="shared" si="58"/>
        <v>11201.687999999998</v>
      </c>
      <c r="DK39" s="80">
        <f t="shared" si="58"/>
        <v>22762.46</v>
      </c>
      <c r="DL39" s="80">
        <f t="shared" si="58"/>
        <v>27442.915000000005</v>
      </c>
      <c r="DM39" s="80">
        <f t="shared" si="58"/>
        <v>29030.171195000003</v>
      </c>
      <c r="DN39" s="167">
        <f t="shared" si="58"/>
        <v>0</v>
      </c>
      <c r="DO39" s="167">
        <f t="shared" si="58"/>
        <v>0</v>
      </c>
      <c r="DP39" s="167">
        <f t="shared" si="58"/>
        <v>0</v>
      </c>
      <c r="DQ39" s="167">
        <f t="shared" si="58"/>
        <v>10071</v>
      </c>
      <c r="DR39" s="167">
        <f t="shared" si="58"/>
        <v>12002</v>
      </c>
      <c r="DS39" s="167">
        <f t="shared" si="58"/>
        <v>10616</v>
      </c>
      <c r="DT39" s="154">
        <f t="shared" si="58"/>
        <v>9209</v>
      </c>
      <c r="DU39" s="154">
        <f t="shared" si="58"/>
        <v>1093.5</v>
      </c>
      <c r="DV39" s="154">
        <f t="shared" si="58"/>
        <v>984.15000000000009</v>
      </c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</row>
    <row r="40" spans="2:136" s="17" customFormat="1" x14ac:dyDescent="0.2">
      <c r="B40" s="17" t="s">
        <v>17</v>
      </c>
      <c r="C40" s="82">
        <v>12.042</v>
      </c>
      <c r="D40" s="82">
        <v>17.718</v>
      </c>
      <c r="E40" s="82">
        <v>20.411999999999999</v>
      </c>
      <c r="F40" s="82">
        <v>19.552</v>
      </c>
      <c r="G40" s="82">
        <v>21.372</v>
      </c>
      <c r="H40" s="82">
        <v>32.106000000000002</v>
      </c>
      <c r="I40" s="82">
        <v>25.936</v>
      </c>
      <c r="J40" s="82">
        <v>33.277000000000001</v>
      </c>
      <c r="K40" s="82">
        <v>34.948999999999998</v>
      </c>
      <c r="L40" s="82">
        <v>42.091999999999999</v>
      </c>
      <c r="M40" s="82">
        <v>40.841999999999999</v>
      </c>
      <c r="N40" s="82">
        <v>48.703999999999994</v>
      </c>
      <c r="O40" s="82">
        <v>57.414999999999999</v>
      </c>
      <c r="P40" s="82">
        <v>63.268999999999998</v>
      </c>
      <c r="Q40" s="82">
        <v>65.5</v>
      </c>
      <c r="R40" s="82">
        <v>74.099999999999994</v>
      </c>
      <c r="S40" s="82">
        <f>90.357-3.187</f>
        <v>87.17</v>
      </c>
      <c r="T40" s="82">
        <f>77.883-2.526</f>
        <v>75.356999999999999</v>
      </c>
      <c r="U40" s="82">
        <f>109.791-2.524</f>
        <v>107.267</v>
      </c>
      <c r="V40" s="82">
        <f>155.289-2.634</f>
        <v>152.655</v>
      </c>
      <c r="W40" s="82">
        <f>171.638-2.53</f>
        <v>169.108</v>
      </c>
      <c r="X40" s="82">
        <f>183.131-2.682</f>
        <v>180.44900000000001</v>
      </c>
      <c r="Y40" s="82">
        <v>198.46</v>
      </c>
      <c r="Z40" s="82">
        <v>215.542</v>
      </c>
      <c r="AA40" s="82">
        <f>239.848-1.694</f>
        <v>238.15400000000002</v>
      </c>
      <c r="AB40" s="82">
        <f>265.684-2.848</f>
        <v>262.83600000000001</v>
      </c>
      <c r="AC40" s="82">
        <f>300.183-2.592</f>
        <v>297.59100000000001</v>
      </c>
      <c r="AD40" s="82">
        <v>318.35300000000001</v>
      </c>
      <c r="AE40" s="104">
        <f>329.414-3.254</f>
        <v>326.15999999999997</v>
      </c>
      <c r="AF40" s="104">
        <f>383.045-2.659</f>
        <v>380.38600000000002</v>
      </c>
      <c r="AG40" s="104">
        <v>409.7</v>
      </c>
      <c r="AH40" s="104">
        <v>451.53300000000002</v>
      </c>
      <c r="AI40" s="104">
        <v>417.61500000000001</v>
      </c>
      <c r="AJ40" s="104">
        <v>435.53500000000003</v>
      </c>
      <c r="AK40" s="104">
        <v>459.875</v>
      </c>
      <c r="AL40" s="104">
        <v>479.72399999999999</v>
      </c>
      <c r="AM40" s="104">
        <v>474.11099999999999</v>
      </c>
      <c r="AN40" s="82">
        <v>533.86300000000006</v>
      </c>
      <c r="AO40" s="82">
        <v>532</v>
      </c>
      <c r="AP40" s="82">
        <v>584.447</v>
      </c>
      <c r="AQ40" s="82">
        <v>580.93100000000004</v>
      </c>
      <c r="AR40" s="82">
        <v>617.34500000000003</v>
      </c>
      <c r="AS40" s="82">
        <v>597.26900000000001</v>
      </c>
      <c r="AT40" s="82">
        <v>675.81799999999998</v>
      </c>
      <c r="AU40" s="82">
        <v>634.44799999999998</v>
      </c>
      <c r="AV40" s="82">
        <v>660.76700000000005</v>
      </c>
      <c r="AW40" s="82">
        <v>658.78099999999995</v>
      </c>
      <c r="AX40" s="82">
        <v>777.48400000000004</v>
      </c>
      <c r="AY40" s="82">
        <v>611.33299999999997</v>
      </c>
      <c r="AZ40" s="82">
        <v>722.91399999999999</v>
      </c>
      <c r="BA40" s="82">
        <f>+BA39*0.12</f>
        <v>725.04</v>
      </c>
      <c r="BB40" s="82">
        <v>847</v>
      </c>
      <c r="BC40" s="82">
        <v>674</v>
      </c>
      <c r="BD40" s="82">
        <v>788</v>
      </c>
      <c r="BE40" s="82">
        <v>1064</v>
      </c>
      <c r="BF40" s="82">
        <v>857</v>
      </c>
      <c r="BG40" s="82">
        <v>983</v>
      </c>
      <c r="BH40" s="82">
        <v>864</v>
      </c>
      <c r="BI40" s="82">
        <v>1129</v>
      </c>
      <c r="BJ40" s="140">
        <v>860</v>
      </c>
      <c r="BK40" s="140">
        <v>743</v>
      </c>
      <c r="BL40" s="82">
        <v>1126</v>
      </c>
      <c r="BM40" s="82">
        <v>1032</v>
      </c>
      <c r="BN40" s="140">
        <v>966</v>
      </c>
      <c r="BO40" s="140">
        <v>687</v>
      </c>
      <c r="BP40" s="140">
        <v>875</v>
      </c>
      <c r="BQ40" s="140">
        <v>1086</v>
      </c>
      <c r="BR40" s="140">
        <v>1257</v>
      </c>
      <c r="BS40" s="140">
        <v>674</v>
      </c>
      <c r="BT40" s="82">
        <v>714</v>
      </c>
      <c r="BU40" s="82">
        <v>1035</v>
      </c>
      <c r="BV40" s="82">
        <v>1417</v>
      </c>
      <c r="BW40" s="140">
        <v>703</v>
      </c>
      <c r="BX40" s="140">
        <v>798</v>
      </c>
      <c r="BY40" s="140">
        <v>875</v>
      </c>
      <c r="BZ40" s="140">
        <v>918</v>
      </c>
      <c r="CA40" s="140">
        <v>855</v>
      </c>
      <c r="CB40" s="140">
        <v>836</v>
      </c>
      <c r="CC40" s="140">
        <v>736</v>
      </c>
      <c r="CD40" s="140">
        <v>2111</v>
      </c>
      <c r="CE40" s="140">
        <v>825</v>
      </c>
      <c r="CF40" s="140">
        <v>886</v>
      </c>
      <c r="CG40" s="140">
        <v>923</v>
      </c>
      <c r="CH40" s="140">
        <v>968</v>
      </c>
      <c r="CI40" s="140">
        <v>871</v>
      </c>
      <c r="CJ40" s="140">
        <f t="shared" ref="CJ40:CL40" si="59">+CJ39-CJ41</f>
        <v>984.75</v>
      </c>
      <c r="CK40" s="140">
        <f t="shared" si="59"/>
        <v>1049.4000000000005</v>
      </c>
      <c r="CL40" s="140">
        <f t="shared" si="59"/>
        <v>1060.6500000000005</v>
      </c>
      <c r="CM40" s="140"/>
      <c r="CN40" s="140"/>
      <c r="CO40" s="140"/>
      <c r="CP40" s="140"/>
      <c r="CQ40" s="140"/>
      <c r="CR40" s="140"/>
      <c r="CS40" s="140"/>
      <c r="CT40" s="140"/>
      <c r="CU40" s="79"/>
      <c r="CV40" s="79"/>
      <c r="CW40" s="79"/>
      <c r="CX40" s="79"/>
      <c r="CY40" s="79"/>
      <c r="CZ40" s="79"/>
      <c r="DA40" s="79"/>
      <c r="DB40" s="87"/>
      <c r="DC40" s="82"/>
      <c r="DD40" s="82"/>
      <c r="DE40" s="82"/>
      <c r="DF40" s="104">
        <f t="shared" ref="DF40:DH40" si="60">DF39-DF41</f>
        <v>1567.7789999999995</v>
      </c>
      <c r="DG40" s="104">
        <f t="shared" si="60"/>
        <v>2899.9859999999994</v>
      </c>
      <c r="DH40" s="82">
        <f t="shared" si="60"/>
        <v>2124.4209999999994</v>
      </c>
      <c r="DI40" s="93">
        <f t="shared" ref="DI40:DI43" si="61">SUM(AQ40:AT40)</f>
        <v>2471.3630000000003</v>
      </c>
      <c r="DJ40" s="83">
        <f t="shared" ref="DJ40" si="62">SUM(AU40:AX40)</f>
        <v>2731.48</v>
      </c>
      <c r="DK40" s="82">
        <f>+DK39-DK41</f>
        <v>2731.4952000000012</v>
      </c>
      <c r="DL40" s="82">
        <f t="shared" ref="DL40:DQ40" si="63">+DL39-DL41</f>
        <v>3293.1497999999992</v>
      </c>
      <c r="DM40" s="82">
        <f t="shared" si="63"/>
        <v>3483.6205434000003</v>
      </c>
      <c r="DN40" s="140">
        <f t="shared" si="63"/>
        <v>0</v>
      </c>
      <c r="DO40" s="140">
        <f t="shared" si="63"/>
        <v>0</v>
      </c>
      <c r="DP40" s="140">
        <f t="shared" si="63"/>
        <v>0</v>
      </c>
      <c r="DQ40" s="140">
        <f t="shared" si="63"/>
        <v>1208.5200000000004</v>
      </c>
      <c r="DR40" s="140">
        <f t="shared" ref="DR40:DV40" si="64">+DR39-DR41</f>
        <v>1440.2399999999998</v>
      </c>
      <c r="DS40" s="140">
        <f t="shared" si="64"/>
        <v>1273.92</v>
      </c>
      <c r="DT40" s="79">
        <f t="shared" si="64"/>
        <v>1105.08</v>
      </c>
      <c r="DU40" s="79">
        <f t="shared" si="64"/>
        <v>131.22000000000003</v>
      </c>
      <c r="DV40" s="79">
        <f t="shared" si="64"/>
        <v>118.09799999999996</v>
      </c>
      <c r="DW40" s="79"/>
      <c r="DX40" s="79"/>
      <c r="DY40" s="79"/>
      <c r="DZ40" s="79"/>
      <c r="EA40" s="79"/>
      <c r="EB40" s="79"/>
      <c r="EC40" s="79"/>
      <c r="ED40" s="79"/>
      <c r="EE40" s="79"/>
      <c r="EF40" s="79"/>
    </row>
    <row r="41" spans="2:136" s="17" customFormat="1" x14ac:dyDescent="0.2">
      <c r="B41" s="17" t="s">
        <v>50</v>
      </c>
      <c r="C41" s="82">
        <f t="shared" ref="C41:R41" si="65">C39-C40</f>
        <v>-6.665</v>
      </c>
      <c r="D41" s="82">
        <f t="shared" si="65"/>
        <v>-10.981</v>
      </c>
      <c r="E41" s="82">
        <f t="shared" si="65"/>
        <v>-16.03</v>
      </c>
      <c r="F41" s="82">
        <f t="shared" si="65"/>
        <v>-15.641999999999999</v>
      </c>
      <c r="G41" s="82">
        <f t="shared" si="65"/>
        <v>-13.988</v>
      </c>
      <c r="H41" s="82">
        <f t="shared" si="65"/>
        <v>-25.071000000000002</v>
      </c>
      <c r="I41" s="82">
        <f t="shared" si="65"/>
        <v>-21.061</v>
      </c>
      <c r="J41" s="82">
        <f t="shared" si="65"/>
        <v>-27.352</v>
      </c>
      <c r="K41" s="82" t="e">
        <f t="shared" si="65"/>
        <v>#REF!</v>
      </c>
      <c r="L41" s="82" t="e">
        <f t="shared" si="65"/>
        <v>#REF!</v>
      </c>
      <c r="M41" s="82" t="e">
        <f t="shared" si="65"/>
        <v>#REF!</v>
      </c>
      <c r="N41" s="82" t="e">
        <f t="shared" si="65"/>
        <v>#REF!</v>
      </c>
      <c r="O41" s="82" t="e">
        <f t="shared" si="65"/>
        <v>#REF!</v>
      </c>
      <c r="P41" s="82" t="e">
        <f t="shared" si="65"/>
        <v>#REF!</v>
      </c>
      <c r="Q41" s="82" t="e">
        <f t="shared" si="65"/>
        <v>#REF!</v>
      </c>
      <c r="R41" s="82" t="e">
        <f t="shared" si="65"/>
        <v>#REF!</v>
      </c>
      <c r="S41" s="82" t="e">
        <f t="shared" ref="S41:X41" si="66">S39-S40</f>
        <v>#REF!</v>
      </c>
      <c r="T41" s="82" t="e">
        <f t="shared" si="66"/>
        <v>#REF!</v>
      </c>
      <c r="U41" s="82" t="e">
        <f t="shared" si="66"/>
        <v>#REF!</v>
      </c>
      <c r="V41" s="82" t="e">
        <f t="shared" si="66"/>
        <v>#REF!</v>
      </c>
      <c r="W41" s="82" t="e">
        <f t="shared" si="66"/>
        <v>#REF!</v>
      </c>
      <c r="X41" s="82" t="e">
        <f t="shared" si="66"/>
        <v>#REF!</v>
      </c>
      <c r="Y41" s="82" t="e">
        <f t="shared" ref="Y41:AD41" si="67">Y39-Y40</f>
        <v>#REF!</v>
      </c>
      <c r="Z41" s="82" t="e">
        <f t="shared" si="67"/>
        <v>#REF!</v>
      </c>
      <c r="AA41" s="82" t="e">
        <f t="shared" si="67"/>
        <v>#REF!</v>
      </c>
      <c r="AB41" s="82" t="e">
        <f t="shared" si="67"/>
        <v>#REF!</v>
      </c>
      <c r="AC41" s="82" t="e">
        <f t="shared" si="67"/>
        <v>#REF!</v>
      </c>
      <c r="AD41" s="82" t="e">
        <f t="shared" si="67"/>
        <v>#REF!</v>
      </c>
      <c r="AE41" s="82">
        <f t="shared" ref="AE41:AM41" si="68">+AE39-AE40</f>
        <v>1204.3000000000002</v>
      </c>
      <c r="AF41" s="82">
        <f t="shared" si="68"/>
        <v>1266.769</v>
      </c>
      <c r="AG41" s="82">
        <f t="shared" si="68"/>
        <v>1391.6890000000005</v>
      </c>
      <c r="AH41" s="82">
        <f t="shared" si="68"/>
        <v>1580.3349999999996</v>
      </c>
      <c r="AI41" s="82">
        <f t="shared" si="68"/>
        <v>-119.82499999999999</v>
      </c>
      <c r="AJ41" s="82">
        <f t="shared" si="68"/>
        <v>1491.6889999999999</v>
      </c>
      <c r="AK41" s="82">
        <f t="shared" si="68"/>
        <v>1477.6220000000001</v>
      </c>
      <c r="AL41" s="82">
        <f t="shared" si="68"/>
        <v>-411.27499999999998</v>
      </c>
      <c r="AM41" s="82">
        <f t="shared" si="68"/>
        <v>1428.0680000000002</v>
      </c>
      <c r="AN41" s="82">
        <f t="shared" ref="AN41:AO41" si="69">+AN39-AN40</f>
        <v>1603.39</v>
      </c>
      <c r="AO41" s="82">
        <f t="shared" si="69"/>
        <v>1590.2000000000003</v>
      </c>
      <c r="AP41" s="82">
        <f>AP39-AP40</f>
        <v>1615.9309999999996</v>
      </c>
      <c r="AQ41" s="82">
        <f t="shared" ref="AQ41:AY41" si="70">+AQ39-AQ40</f>
        <v>1701.5179999999996</v>
      </c>
      <c r="AR41" s="82">
        <f t="shared" si="70"/>
        <v>1787.8409999999997</v>
      </c>
      <c r="AS41" s="82">
        <f t="shared" si="70"/>
        <v>1829.3280000000002</v>
      </c>
      <c r="AT41" s="82">
        <f t="shared" si="70"/>
        <v>1912.4669999999999</v>
      </c>
      <c r="AU41" s="82">
        <f t="shared" si="70"/>
        <v>1897.1870000000004</v>
      </c>
      <c r="AV41" s="82">
        <f t="shared" si="70"/>
        <v>2106.6270000000004</v>
      </c>
      <c r="AW41" s="82">
        <f t="shared" si="70"/>
        <v>2124.0520000000001</v>
      </c>
      <c r="AX41" s="82">
        <f t="shared" si="70"/>
        <v>2342.3420000000001</v>
      </c>
      <c r="AY41" s="82">
        <f t="shared" si="70"/>
        <v>4387.6230000000023</v>
      </c>
      <c r="AZ41" s="82">
        <f>+AZ39-AZ40</f>
        <v>5811.5900000000011</v>
      </c>
      <c r="BA41" s="82">
        <f>+BA39-BA40</f>
        <v>5316.96</v>
      </c>
      <c r="BB41" s="82">
        <f t="shared" ref="BB41" si="71">+BB39-BB40</f>
        <v>6467</v>
      </c>
      <c r="BC41" s="82">
        <f>BC39-BC40</f>
        <v>6920</v>
      </c>
      <c r="BD41" s="82">
        <f>BD39-BD40</f>
        <v>7456</v>
      </c>
      <c r="BE41" s="82">
        <f>+BE39-BE40</f>
        <v>7231</v>
      </c>
      <c r="BF41" s="82">
        <f>+BF39-BF40</f>
        <v>7649</v>
      </c>
      <c r="BG41" s="82">
        <f>+BG39-BG40</f>
        <v>6811</v>
      </c>
      <c r="BH41" s="82">
        <f>+BH39-BH40</f>
        <v>6912</v>
      </c>
      <c r="BI41" s="82">
        <f>+BI39-BI40</f>
        <v>6371</v>
      </c>
      <c r="BJ41" s="140">
        <f t="shared" ref="BJ41:BK41" si="72">+BJ39-BJ40</f>
        <v>6460</v>
      </c>
      <c r="BK41" s="140">
        <f t="shared" si="72"/>
        <v>5762</v>
      </c>
      <c r="BL41" s="82">
        <f>+BL39-BL40</f>
        <v>6015</v>
      </c>
      <c r="BM41" s="82">
        <f>+BM39-BM40</f>
        <v>5480</v>
      </c>
      <c r="BN41" s="140">
        <f>+BN39-BN40</f>
        <v>4983</v>
      </c>
      <c r="BO41" s="140">
        <f t="shared" ref="BO41:BP41" si="73">+BO39-BO40</f>
        <v>4401</v>
      </c>
      <c r="BP41" s="140">
        <f t="shared" si="73"/>
        <v>4773</v>
      </c>
      <c r="BQ41" s="140">
        <f>+BQ39-BQ40</f>
        <v>4510</v>
      </c>
      <c r="BR41" s="140">
        <f>+BR39-BR40</f>
        <v>4538</v>
      </c>
      <c r="BS41" s="140">
        <f>+BS39-BS40</f>
        <v>4607</v>
      </c>
      <c r="BT41" s="140">
        <f>+BT39-BT40</f>
        <v>4971</v>
      </c>
      <c r="BU41" s="140">
        <f t="shared" ref="BU41" si="74">+BU39-BU40</f>
        <v>4569</v>
      </c>
      <c r="BV41" s="140">
        <f>+BV39-BV40</f>
        <v>4462</v>
      </c>
      <c r="BW41" s="140">
        <f>+BW39-BW40</f>
        <v>4845</v>
      </c>
      <c r="BX41" s="140">
        <f>+BX39-BX40</f>
        <v>4345</v>
      </c>
      <c r="BY41" s="140">
        <f>+BY39-BY40</f>
        <v>5702</v>
      </c>
      <c r="BZ41" s="140">
        <f t="shared" ref="BZ41:CE41" si="75">BZ39-BZ40</f>
        <v>6503</v>
      </c>
      <c r="CA41" s="140">
        <f t="shared" si="75"/>
        <v>5568</v>
      </c>
      <c r="CB41" s="140">
        <f t="shared" si="75"/>
        <v>5381</v>
      </c>
      <c r="CC41" s="140">
        <f t="shared" si="75"/>
        <v>6685</v>
      </c>
      <c r="CD41" s="140">
        <f t="shared" si="75"/>
        <v>5132</v>
      </c>
      <c r="CE41" s="140">
        <f t="shared" si="75"/>
        <v>5764</v>
      </c>
      <c r="CF41" s="140">
        <f>+CF39-CF40</f>
        <v>5375</v>
      </c>
      <c r="CG41" s="140">
        <f>+CG39-CG40</f>
        <v>6119</v>
      </c>
      <c r="CH41" s="140">
        <f>CH39-CH40</f>
        <v>6421</v>
      </c>
      <c r="CI41" s="140">
        <f>CI39-CI40</f>
        <v>5481</v>
      </c>
      <c r="CJ41" s="140">
        <f t="shared" ref="CJ41:CL41" si="76">+CJ39*0.85</f>
        <v>5580.25</v>
      </c>
      <c r="CK41" s="140">
        <f t="shared" si="76"/>
        <v>5946.5999999999995</v>
      </c>
      <c r="CL41" s="140">
        <f t="shared" si="76"/>
        <v>6010.3499999999995</v>
      </c>
      <c r="CM41" s="140"/>
      <c r="CN41" s="140"/>
      <c r="CO41" s="140"/>
      <c r="CP41" s="140"/>
      <c r="CQ41" s="140"/>
      <c r="CR41" s="140"/>
      <c r="CS41" s="140"/>
      <c r="CT41" s="140"/>
      <c r="CU41" s="79"/>
      <c r="CV41" s="79"/>
      <c r="CW41" s="79"/>
      <c r="CX41" s="79"/>
      <c r="CY41" s="79"/>
      <c r="CZ41" s="79"/>
      <c r="DA41" s="79"/>
      <c r="DB41" s="87"/>
      <c r="DC41" s="127"/>
      <c r="DD41" s="127"/>
      <c r="DE41" s="82"/>
      <c r="DF41" s="105">
        <f>SUM(AE41:AH41)</f>
        <v>5443.0930000000008</v>
      </c>
      <c r="DG41" s="104">
        <f>SUM(AI41:AL41)</f>
        <v>2438.2109999999998</v>
      </c>
      <c r="DH41" s="82">
        <f>SUM(AM41:AP41)</f>
        <v>6237.5890000000009</v>
      </c>
      <c r="DI41" s="82">
        <f>+DI39-DI40</f>
        <v>7231.1540000000014</v>
      </c>
      <c r="DJ41" s="82">
        <f>+DJ39-DJ40</f>
        <v>8470.2079999999987</v>
      </c>
      <c r="DK41" s="82">
        <f>+DK39*0.88</f>
        <v>20030.964799999998</v>
      </c>
      <c r="DL41" s="82">
        <f t="shared" ref="DL41:DV41" si="77">+DL39*0.88</f>
        <v>24149.765200000005</v>
      </c>
      <c r="DM41" s="82">
        <f t="shared" si="77"/>
        <v>25546.550651600002</v>
      </c>
      <c r="DN41" s="140">
        <f t="shared" si="77"/>
        <v>0</v>
      </c>
      <c r="DO41" s="140">
        <f t="shared" si="77"/>
        <v>0</v>
      </c>
      <c r="DP41" s="140">
        <f t="shared" si="77"/>
        <v>0</v>
      </c>
      <c r="DQ41" s="140">
        <f t="shared" si="77"/>
        <v>8862.48</v>
      </c>
      <c r="DR41" s="140">
        <f t="shared" si="77"/>
        <v>10561.76</v>
      </c>
      <c r="DS41" s="140">
        <f t="shared" si="77"/>
        <v>9342.08</v>
      </c>
      <c r="DT41" s="140">
        <f t="shared" si="77"/>
        <v>8103.92</v>
      </c>
      <c r="DU41" s="140">
        <f t="shared" si="77"/>
        <v>962.28</v>
      </c>
      <c r="DV41" s="140">
        <f t="shared" si="77"/>
        <v>866.05200000000013</v>
      </c>
      <c r="DW41" s="79"/>
      <c r="DX41" s="79"/>
      <c r="DY41" s="79"/>
      <c r="DZ41" s="79"/>
      <c r="EA41" s="79"/>
      <c r="EB41" s="79"/>
      <c r="EC41" s="79"/>
      <c r="ED41" s="79"/>
      <c r="EE41" s="79"/>
      <c r="EF41" s="79"/>
    </row>
    <row r="42" spans="2:136" s="17" customFormat="1" x14ac:dyDescent="0.2">
      <c r="B42" s="17" t="s">
        <v>19</v>
      </c>
      <c r="C42" s="82">
        <v>33.554000000000002</v>
      </c>
      <c r="D42" s="82">
        <v>30.850999999999999</v>
      </c>
      <c r="E42" s="82">
        <v>35.338000000000001</v>
      </c>
      <c r="F42" s="82">
        <v>35.015000000000001</v>
      </c>
      <c r="G42" s="82">
        <v>41.14</v>
      </c>
      <c r="H42" s="82">
        <v>38.795000000000002</v>
      </c>
      <c r="I42" s="82">
        <v>31.670999999999999</v>
      </c>
      <c r="J42" s="82">
        <v>53.267000000000003</v>
      </c>
      <c r="K42" s="82">
        <v>53.677999999999997</v>
      </c>
      <c r="L42" s="82">
        <v>45.643000000000001</v>
      </c>
      <c r="M42" s="82">
        <v>49.204000000000001</v>
      </c>
      <c r="N42" s="82">
        <v>75.027000000000086</v>
      </c>
      <c r="O42" s="82">
        <v>70.433999999999997</v>
      </c>
      <c r="P42" s="82">
        <v>59.697000000000003</v>
      </c>
      <c r="Q42" s="82">
        <v>78.8</v>
      </c>
      <c r="R42" s="82">
        <v>68.8</v>
      </c>
      <c r="S42" s="82">
        <f>88.4-11.949</f>
        <v>76.451000000000008</v>
      </c>
      <c r="T42" s="82">
        <f>90.536-12.892</f>
        <v>77.644000000000005</v>
      </c>
      <c r="U42" s="82">
        <f>93.305-13.267</f>
        <v>80.038000000000011</v>
      </c>
      <c r="V42" s="82">
        <f>111.62-14.055</f>
        <v>97.564999999999998</v>
      </c>
      <c r="W42" s="82">
        <f>130.09-21.108</f>
        <v>108.982</v>
      </c>
      <c r="X42" s="82">
        <v>119.3</v>
      </c>
      <c r="Y42" s="82">
        <v>140.357</v>
      </c>
      <c r="Z42" s="82">
        <v>184.648</v>
      </c>
      <c r="AA42" s="82">
        <f>155.301-16.895</f>
        <v>138.40599999999998</v>
      </c>
      <c r="AB42" s="82">
        <f>176.542-15.37</f>
        <v>161.172</v>
      </c>
      <c r="AC42" s="82">
        <f>188.062-17.68</f>
        <v>170.38200000000001</v>
      </c>
      <c r="AD42" s="82">
        <v>185.285</v>
      </c>
      <c r="AE42" s="104">
        <v>171.8</v>
      </c>
      <c r="AF42" s="104">
        <v>206.066</v>
      </c>
      <c r="AG42" s="104">
        <v>242.2</v>
      </c>
      <c r="AH42" s="104">
        <v>211.25700000000001</v>
      </c>
      <c r="AI42" s="104">
        <v>196.495</v>
      </c>
      <c r="AJ42" s="104">
        <v>207.41499999999999</v>
      </c>
      <c r="AK42" s="104">
        <v>203.2</v>
      </c>
      <c r="AL42" s="104">
        <v>231.8</v>
      </c>
      <c r="AM42" s="104">
        <v>254.446</v>
      </c>
      <c r="AN42" s="82">
        <v>282.40300000000002</v>
      </c>
      <c r="AO42" s="82">
        <v>290.10000000000002</v>
      </c>
      <c r="AP42" s="82">
        <v>402.23599999999999</v>
      </c>
      <c r="AQ42" s="82">
        <v>458.21100000000001</v>
      </c>
      <c r="AR42" s="82">
        <v>396.24400000000003</v>
      </c>
      <c r="AS42" s="82">
        <v>465.83100000000002</v>
      </c>
      <c r="AT42" s="82">
        <v>439.65899999999999</v>
      </c>
      <c r="AU42" s="82">
        <v>497.63200000000001</v>
      </c>
      <c r="AV42" s="82">
        <v>487.77100000000002</v>
      </c>
      <c r="AW42" s="82">
        <v>488.53500000000003</v>
      </c>
      <c r="AX42" s="82">
        <v>511.38499999999999</v>
      </c>
      <c r="AY42" s="82">
        <v>557.80499999999995</v>
      </c>
      <c r="AZ42" s="82">
        <v>541.97400000000005</v>
      </c>
      <c r="BA42" s="82">
        <f>+AZ42</f>
        <v>541.97400000000005</v>
      </c>
      <c r="BB42" s="82">
        <v>899</v>
      </c>
      <c r="BC42" s="82">
        <v>651</v>
      </c>
      <c r="BD42" s="82">
        <v>702</v>
      </c>
      <c r="BE42" s="82">
        <v>743</v>
      </c>
      <c r="BF42" s="82">
        <v>779</v>
      </c>
      <c r="BG42" s="82">
        <v>769</v>
      </c>
      <c r="BH42" s="82">
        <v>1484</v>
      </c>
      <c r="BI42" s="82">
        <v>1141</v>
      </c>
      <c r="BJ42" s="140">
        <v>959</v>
      </c>
      <c r="BK42" s="140">
        <v>889</v>
      </c>
      <c r="BL42" s="82">
        <v>864</v>
      </c>
      <c r="BM42" s="82">
        <v>789</v>
      </c>
      <c r="BN42" s="140">
        <v>845</v>
      </c>
      <c r="BO42" s="140">
        <v>814</v>
      </c>
      <c r="BP42" s="140">
        <v>921</v>
      </c>
      <c r="BQ42" s="140">
        <v>939</v>
      </c>
      <c r="BR42" s="140">
        <v>939</v>
      </c>
      <c r="BS42" s="140">
        <v>932</v>
      </c>
      <c r="BT42" s="82">
        <v>916</v>
      </c>
      <c r="BU42" s="140">
        <v>4990</v>
      </c>
      <c r="BV42" s="140">
        <v>1103</v>
      </c>
      <c r="BW42" s="140">
        <v>1004</v>
      </c>
      <c r="BX42" s="140">
        <v>1186</v>
      </c>
      <c r="BY42" s="140">
        <v>1155</v>
      </c>
      <c r="BZ42" s="140">
        <v>1512</v>
      </c>
      <c r="CA42" s="140">
        <v>1049</v>
      </c>
      <c r="CB42" s="140">
        <v>1042</v>
      </c>
      <c r="CC42" s="140">
        <v>1063</v>
      </c>
      <c r="CD42" s="140">
        <v>1315</v>
      </c>
      <c r="CE42" s="140">
        <v>1158</v>
      </c>
      <c r="CF42" s="140">
        <v>1102</v>
      </c>
      <c r="CG42" s="140">
        <v>1173</v>
      </c>
      <c r="CH42" s="140">
        <v>1544</v>
      </c>
      <c r="CI42" s="140">
        <v>1439</v>
      </c>
      <c r="CJ42" s="140">
        <f t="shared" ref="CJ42" si="78">+CF42</f>
        <v>1102</v>
      </c>
      <c r="CK42" s="140">
        <f t="shared" ref="CK42" si="79">+CG42</f>
        <v>1173</v>
      </c>
      <c r="CL42" s="140">
        <f t="shared" ref="CL42" si="80">+CH42</f>
        <v>1544</v>
      </c>
      <c r="CM42" s="140"/>
      <c r="CN42" s="140"/>
      <c r="CO42" s="140"/>
      <c r="CP42" s="140"/>
      <c r="CQ42" s="140"/>
      <c r="CR42" s="140"/>
      <c r="CS42" s="140"/>
      <c r="CT42" s="140"/>
      <c r="CU42" s="79"/>
      <c r="CV42" s="79">
        <v>110.873</v>
      </c>
      <c r="CW42" s="79">
        <v>132.339</v>
      </c>
      <c r="CX42" s="79">
        <v>185.553</v>
      </c>
      <c r="CY42" s="79">
        <v>134.75799999999998</v>
      </c>
      <c r="CZ42" s="79">
        <v>164.87299999999999</v>
      </c>
      <c r="DA42" s="79">
        <v>223.55200000000008</v>
      </c>
      <c r="DB42" s="17">
        <v>277.73099999999999</v>
      </c>
      <c r="DC42" s="82">
        <f>SUM(S42:V42)</f>
        <v>331.69800000000004</v>
      </c>
      <c r="DD42" s="82">
        <f>SUM(W42:Z42)</f>
        <v>553.28700000000003</v>
      </c>
      <c r="DE42" s="82">
        <f>SUM(AA42:AD42)</f>
        <v>655.245</v>
      </c>
      <c r="DF42" s="105">
        <f>SUM(AE42:AH42)</f>
        <v>831.32300000000009</v>
      </c>
      <c r="DG42" s="104">
        <f>SUM(AI42:AL42)</f>
        <v>838.90999999999985</v>
      </c>
      <c r="DH42" s="82">
        <f>SUM(AM42:AP42)</f>
        <v>1229.1849999999999</v>
      </c>
      <c r="DI42" s="93">
        <f t="shared" si="61"/>
        <v>1759.9450000000002</v>
      </c>
      <c r="DJ42" s="83">
        <f>SUM(AU42:AX42)</f>
        <v>1985.3230000000001</v>
      </c>
      <c r="DK42" s="82"/>
      <c r="DL42" s="82"/>
      <c r="DM42" s="82"/>
      <c r="DN42" s="140"/>
      <c r="DO42" s="140"/>
      <c r="DP42" s="140"/>
      <c r="DQ42" s="140"/>
      <c r="DR42" s="140"/>
      <c r="DS42" s="140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</row>
    <row r="43" spans="2:136" s="17" customFormat="1" x14ac:dyDescent="0.2">
      <c r="B43" s="17" t="s">
        <v>18</v>
      </c>
      <c r="C43" s="82">
        <v>39.762999999999998</v>
      </c>
      <c r="D43" s="82">
        <v>41.6</v>
      </c>
      <c r="E43" s="82">
        <v>42.317</v>
      </c>
      <c r="F43" s="82">
        <v>57.621000000000002</v>
      </c>
      <c r="G43" s="82">
        <v>47.591000000000001</v>
      </c>
      <c r="H43" s="82">
        <v>60.197000000000003</v>
      </c>
      <c r="I43" s="82">
        <v>63.591999999999999</v>
      </c>
      <c r="J43" s="82">
        <v>78.777000000000001</v>
      </c>
      <c r="K43" s="82">
        <v>76.076999999999998</v>
      </c>
      <c r="L43" s="82">
        <v>73.789000000000001</v>
      </c>
      <c r="M43" s="82">
        <v>72.370999999999995</v>
      </c>
      <c r="N43" s="82">
        <v>80.556000000000338</v>
      </c>
      <c r="O43" s="82">
        <v>80.135000000000005</v>
      </c>
      <c r="P43" s="82">
        <v>94.805000000000007</v>
      </c>
      <c r="Q43" s="82">
        <v>99.2</v>
      </c>
      <c r="R43" s="82">
        <v>104.3</v>
      </c>
      <c r="S43" s="82">
        <f>142.469-14.496</f>
        <v>127.973</v>
      </c>
      <c r="T43" s="82">
        <f>151.568-21.349</f>
        <v>130.21900000000002</v>
      </c>
      <c r="U43" s="82">
        <f>132.529-15.954</f>
        <v>116.57499999999999</v>
      </c>
      <c r="V43" s="82">
        <f>147.093-18.993</f>
        <v>128.1</v>
      </c>
      <c r="W43" s="82">
        <f>166.558-33.656</f>
        <v>132.90199999999999</v>
      </c>
      <c r="X43" s="82">
        <v>157.69999999999999</v>
      </c>
      <c r="Y43" s="82">
        <v>172.95599999999999</v>
      </c>
      <c r="Z43" s="82">
        <v>180.048</v>
      </c>
      <c r="AA43" s="82">
        <f>194.957-17.547</f>
        <v>177.41</v>
      </c>
      <c r="AB43" s="82">
        <f>219.533-18.657</f>
        <v>200.87599999999998</v>
      </c>
      <c r="AC43" s="82">
        <f>189.189-21.322</f>
        <v>167.86699999999999</v>
      </c>
      <c r="AD43" s="82">
        <v>174.66200000000001</v>
      </c>
      <c r="AE43" s="104">
        <v>183.1</v>
      </c>
      <c r="AF43" s="104">
        <v>213.202</v>
      </c>
      <c r="AG43" s="104">
        <v>200.3</v>
      </c>
      <c r="AH43" s="104">
        <v>223.42699999999999</v>
      </c>
      <c r="AI43" s="104">
        <v>229.11500000000001</v>
      </c>
      <c r="AJ43" s="104">
        <v>223.541</v>
      </c>
      <c r="AK43" s="104">
        <v>220.6</v>
      </c>
      <c r="AL43" s="104">
        <v>239.3</v>
      </c>
      <c r="AM43" s="104">
        <v>295.56799999999998</v>
      </c>
      <c r="AN43" s="82">
        <v>304.26900000000001</v>
      </c>
      <c r="AO43" s="82">
        <v>295.89999999999998</v>
      </c>
      <c r="AP43" s="82">
        <v>346.21899999999999</v>
      </c>
      <c r="AQ43" s="82">
        <v>443.12099999999998</v>
      </c>
      <c r="AR43" s="82">
        <v>332.505</v>
      </c>
      <c r="AS43" s="82">
        <v>319.58300000000003</v>
      </c>
      <c r="AT43" s="82">
        <v>365.82499999999999</v>
      </c>
      <c r="AU43" s="82">
        <v>374.29599999999999</v>
      </c>
      <c r="AV43" s="82">
        <v>376.33600000000001</v>
      </c>
      <c r="AW43" s="82">
        <v>376.84100000000001</v>
      </c>
      <c r="AX43" s="82">
        <v>470.96499999999997</v>
      </c>
      <c r="AY43" s="82">
        <v>500.10500000000002</v>
      </c>
      <c r="AZ43" s="82">
        <v>570</v>
      </c>
      <c r="BA43" s="82">
        <f>+AZ43+10</f>
        <v>580</v>
      </c>
      <c r="BB43" s="82">
        <v>799</v>
      </c>
      <c r="BC43" s="82">
        <v>600</v>
      </c>
      <c r="BD43" s="82">
        <v>761</v>
      </c>
      <c r="BE43" s="82">
        <v>903</v>
      </c>
      <c r="BF43" s="82">
        <v>1013</v>
      </c>
      <c r="BG43" s="82">
        <v>638</v>
      </c>
      <c r="BH43" s="82">
        <v>890</v>
      </c>
      <c r="BI43" s="82">
        <v>831</v>
      </c>
      <c r="BJ43" s="140">
        <v>938</v>
      </c>
      <c r="BK43" s="140">
        <v>807</v>
      </c>
      <c r="BL43" s="82">
        <v>897</v>
      </c>
      <c r="BM43" s="82">
        <v>879</v>
      </c>
      <c r="BN43" s="140">
        <v>923</v>
      </c>
      <c r="BO43" s="140">
        <v>884</v>
      </c>
      <c r="BP43" s="140">
        <v>840</v>
      </c>
      <c r="BQ43" s="140">
        <v>948</v>
      </c>
      <c r="BR43" s="140">
        <v>1032</v>
      </c>
      <c r="BS43" s="140">
        <v>1030</v>
      </c>
      <c r="BT43" s="82">
        <v>1015</v>
      </c>
      <c r="BU43" s="140">
        <v>1052</v>
      </c>
      <c r="BV43" s="140">
        <v>1204</v>
      </c>
      <c r="BW43" s="140">
        <v>1076</v>
      </c>
      <c r="BX43" s="140">
        <v>1164</v>
      </c>
      <c r="BY43" s="140">
        <v>1095</v>
      </c>
      <c r="BZ43" s="140">
        <v>1499</v>
      </c>
      <c r="CA43" s="140">
        <v>1033</v>
      </c>
      <c r="CB43" s="140">
        <v>1121</v>
      </c>
      <c r="CC43" s="140">
        <v>1178</v>
      </c>
      <c r="CD43" s="140">
        <v>1642</v>
      </c>
      <c r="CE43" s="140">
        <v>1083</v>
      </c>
      <c r="CF43" s="140">
        <v>1272</v>
      </c>
      <c r="CG43" s="140">
        <v>1212</v>
      </c>
      <c r="CH43" s="140">
        <v>2020</v>
      </c>
      <c r="CI43" s="140">
        <v>1318</v>
      </c>
      <c r="CJ43" s="140">
        <f t="shared" ref="CJ43:CL43" si="81">+CF43</f>
        <v>1272</v>
      </c>
      <c r="CK43" s="140">
        <f t="shared" si="81"/>
        <v>1212</v>
      </c>
      <c r="CL43" s="140">
        <f t="shared" si="81"/>
        <v>2020</v>
      </c>
      <c r="CM43" s="140"/>
      <c r="CN43" s="140"/>
      <c r="CO43" s="140"/>
      <c r="CP43" s="140"/>
      <c r="CQ43" s="140"/>
      <c r="CR43" s="140"/>
      <c r="CS43" s="140"/>
      <c r="CT43" s="140"/>
      <c r="CU43" s="79"/>
      <c r="CV43" s="79">
        <v>99.418999999999997</v>
      </c>
      <c r="CW43" s="79">
        <v>82.022000000000006</v>
      </c>
      <c r="CX43" s="79">
        <v>125.14100000000001</v>
      </c>
      <c r="CY43" s="79">
        <v>181.30100000000002</v>
      </c>
      <c r="CZ43" s="79">
        <v>250.15699999999998</v>
      </c>
      <c r="DA43" s="79">
        <v>302.79300000000029</v>
      </c>
      <c r="DB43" s="17">
        <v>379.18100000000004</v>
      </c>
      <c r="DC43" s="82">
        <f>SUM(S43:V43)</f>
        <v>502.86699999999996</v>
      </c>
      <c r="DD43" s="82">
        <f>SUM(W43:Z43)</f>
        <v>643.60599999999999</v>
      </c>
      <c r="DE43" s="82">
        <f>SUM(AA43:AD43)</f>
        <v>720.81499999999994</v>
      </c>
      <c r="DF43" s="105">
        <f>SUM(AE43:AH43)</f>
        <v>820.02900000000011</v>
      </c>
      <c r="DG43" s="104">
        <f>SUM(AI43:AL43)</f>
        <v>912.55600000000004</v>
      </c>
      <c r="DH43" s="82">
        <f>SUM(AM43:AP43)</f>
        <v>1241.9559999999999</v>
      </c>
      <c r="DI43" s="93">
        <f t="shared" si="61"/>
        <v>1461.0340000000001</v>
      </c>
      <c r="DJ43" s="83">
        <f>SUM(AU43:AX43)</f>
        <v>1598.4379999999999</v>
      </c>
      <c r="DK43" s="82">
        <f>SUM(AY43:BB43)</f>
        <v>2449.105</v>
      </c>
      <c r="DL43" s="82">
        <f>+DK43</f>
        <v>2449.105</v>
      </c>
      <c r="DM43" s="82">
        <f t="shared" ref="DM43:DV43" si="82">+DL43</f>
        <v>2449.105</v>
      </c>
      <c r="DN43" s="140">
        <f t="shared" si="82"/>
        <v>2449.105</v>
      </c>
      <c r="DO43" s="140">
        <f t="shared" si="82"/>
        <v>2449.105</v>
      </c>
      <c r="DP43" s="140">
        <f t="shared" si="82"/>
        <v>2449.105</v>
      </c>
      <c r="DQ43" s="140">
        <f t="shared" si="82"/>
        <v>2449.105</v>
      </c>
      <c r="DR43" s="140">
        <f t="shared" si="82"/>
        <v>2449.105</v>
      </c>
      <c r="DS43" s="140">
        <f t="shared" si="82"/>
        <v>2449.105</v>
      </c>
      <c r="DT43" s="140">
        <f t="shared" si="82"/>
        <v>2449.105</v>
      </c>
      <c r="DU43" s="140">
        <f t="shared" si="82"/>
        <v>2449.105</v>
      </c>
      <c r="DV43" s="140">
        <f t="shared" si="82"/>
        <v>2449.105</v>
      </c>
      <c r="DW43" s="79"/>
      <c r="DX43" s="79"/>
      <c r="DY43" s="79"/>
      <c r="DZ43" s="79"/>
      <c r="EA43" s="79"/>
      <c r="EB43" s="79"/>
      <c r="EC43" s="79"/>
      <c r="ED43" s="79"/>
      <c r="EE43" s="79"/>
      <c r="EF43" s="79"/>
    </row>
    <row r="44" spans="2:136" s="75" customFormat="1" x14ac:dyDescent="0.2">
      <c r="B44" s="75" t="s">
        <v>49</v>
      </c>
      <c r="C44" s="83">
        <f t="shared" ref="C44:R44" si="83">SUM(C40:C43)</f>
        <v>78.694000000000003</v>
      </c>
      <c r="D44" s="83">
        <f t="shared" si="83"/>
        <v>79.188000000000002</v>
      </c>
      <c r="E44" s="83">
        <f t="shared" si="83"/>
        <v>82.037000000000006</v>
      </c>
      <c r="F44" s="83">
        <f t="shared" si="83"/>
        <v>96.545999999999992</v>
      </c>
      <c r="G44" s="83">
        <f t="shared" si="83"/>
        <v>96.115000000000009</v>
      </c>
      <c r="H44" s="83">
        <f t="shared" si="83"/>
        <v>106.027</v>
      </c>
      <c r="I44" s="83">
        <f t="shared" si="83"/>
        <v>100.13800000000001</v>
      </c>
      <c r="J44" s="83">
        <f t="shared" si="83"/>
        <v>137.96899999999999</v>
      </c>
      <c r="K44" s="83" t="e">
        <f t="shared" si="83"/>
        <v>#REF!</v>
      </c>
      <c r="L44" s="83" t="e">
        <f t="shared" si="83"/>
        <v>#REF!</v>
      </c>
      <c r="M44" s="83" t="e">
        <f t="shared" si="83"/>
        <v>#REF!</v>
      </c>
      <c r="N44" s="83" t="e">
        <f t="shared" si="83"/>
        <v>#REF!</v>
      </c>
      <c r="O44" s="83" t="e">
        <f t="shared" si="83"/>
        <v>#REF!</v>
      </c>
      <c r="P44" s="83" t="e">
        <f t="shared" si="83"/>
        <v>#REF!</v>
      </c>
      <c r="Q44" s="83" t="e">
        <f t="shared" si="83"/>
        <v>#REF!</v>
      </c>
      <c r="R44" s="83" t="e">
        <f t="shared" si="83"/>
        <v>#REF!</v>
      </c>
      <c r="S44" s="83">
        <f t="shared" ref="S44:Z44" si="84">S43+S42</f>
        <v>204.42400000000001</v>
      </c>
      <c r="T44" s="83">
        <f t="shared" si="84"/>
        <v>207.86300000000003</v>
      </c>
      <c r="U44" s="83">
        <f t="shared" si="84"/>
        <v>196.613</v>
      </c>
      <c r="V44" s="82">
        <f t="shared" si="84"/>
        <v>225.66499999999999</v>
      </c>
      <c r="W44" s="83">
        <f t="shared" si="84"/>
        <v>241.88399999999999</v>
      </c>
      <c r="X44" s="83">
        <f t="shared" si="84"/>
        <v>277</v>
      </c>
      <c r="Y44" s="83">
        <f t="shared" si="84"/>
        <v>313.31299999999999</v>
      </c>
      <c r="Z44" s="82">
        <f t="shared" si="84"/>
        <v>364.69600000000003</v>
      </c>
      <c r="AA44" s="82">
        <f t="shared" ref="AA44:AM44" si="85">AA43+AA42</f>
        <v>315.81599999999997</v>
      </c>
      <c r="AB44" s="82">
        <f t="shared" si="85"/>
        <v>362.048</v>
      </c>
      <c r="AC44" s="82">
        <f t="shared" si="85"/>
        <v>338.24900000000002</v>
      </c>
      <c r="AD44" s="82">
        <f t="shared" si="85"/>
        <v>359.947</v>
      </c>
      <c r="AE44" s="82">
        <f t="shared" si="85"/>
        <v>354.9</v>
      </c>
      <c r="AF44" s="82">
        <f t="shared" si="85"/>
        <v>419.26800000000003</v>
      </c>
      <c r="AG44" s="82">
        <f t="shared" si="85"/>
        <v>442.5</v>
      </c>
      <c r="AH44" s="82">
        <f t="shared" si="85"/>
        <v>434.68399999999997</v>
      </c>
      <c r="AI44" s="82">
        <f t="shared" si="85"/>
        <v>425.61</v>
      </c>
      <c r="AJ44" s="82">
        <f t="shared" si="85"/>
        <v>430.95600000000002</v>
      </c>
      <c r="AK44" s="82">
        <f t="shared" si="85"/>
        <v>423.79999999999995</v>
      </c>
      <c r="AL44" s="82">
        <f t="shared" si="85"/>
        <v>471.1</v>
      </c>
      <c r="AM44" s="82">
        <f t="shared" si="85"/>
        <v>550.01400000000001</v>
      </c>
      <c r="AN44" s="82">
        <f t="shared" ref="AN44" si="86">AN43+AN42</f>
        <v>586.67200000000003</v>
      </c>
      <c r="AO44" s="82">
        <f t="shared" ref="AO44" si="87">AO43+AO42</f>
        <v>586</v>
      </c>
      <c r="AP44" s="82">
        <f>+AP43+AP42</f>
        <v>748.45499999999993</v>
      </c>
      <c r="AQ44" s="82">
        <f t="shared" ref="AQ44:AX44" si="88">+AQ43+AQ42</f>
        <v>901.33199999999999</v>
      </c>
      <c r="AR44" s="82">
        <f t="shared" si="88"/>
        <v>728.74900000000002</v>
      </c>
      <c r="AS44" s="82">
        <f t="shared" si="88"/>
        <v>785.41399999999999</v>
      </c>
      <c r="AT44" s="82">
        <f t="shared" si="88"/>
        <v>805.48399999999992</v>
      </c>
      <c r="AU44" s="82">
        <f t="shared" si="88"/>
        <v>871.928</v>
      </c>
      <c r="AV44" s="82">
        <f t="shared" si="88"/>
        <v>864.10699999999997</v>
      </c>
      <c r="AW44" s="82">
        <f t="shared" si="88"/>
        <v>865.37599999999998</v>
      </c>
      <c r="AX44" s="82">
        <f t="shared" si="88"/>
        <v>982.34999999999991</v>
      </c>
      <c r="AY44" s="82">
        <f>+AY43+AY42</f>
        <v>1057.9099999999999</v>
      </c>
      <c r="AZ44" s="82">
        <f>+AZ43+AZ42</f>
        <v>1111.9740000000002</v>
      </c>
      <c r="BA44" s="82">
        <f t="shared" ref="BA44:BE44" si="89">+BA43+BA42</f>
        <v>1121.9740000000002</v>
      </c>
      <c r="BB44" s="82">
        <f t="shared" si="89"/>
        <v>1698</v>
      </c>
      <c r="BC44" s="82">
        <f t="shared" si="89"/>
        <v>1251</v>
      </c>
      <c r="BD44" s="82">
        <f t="shared" si="89"/>
        <v>1463</v>
      </c>
      <c r="BE44" s="82">
        <f t="shared" si="89"/>
        <v>1646</v>
      </c>
      <c r="BF44" s="140">
        <f t="shared" ref="BF44:BG44" si="90">BF42+BF43</f>
        <v>1792</v>
      </c>
      <c r="BG44" s="140">
        <f t="shared" si="90"/>
        <v>1407</v>
      </c>
      <c r="BH44" s="140">
        <f t="shared" ref="BH44:BJ44" si="91">BH42+BH43</f>
        <v>2374</v>
      </c>
      <c r="BI44" s="140">
        <f t="shared" si="91"/>
        <v>1972</v>
      </c>
      <c r="BJ44" s="140">
        <f t="shared" ref="BJ44:BM44" si="92">BJ42+BJ43</f>
        <v>1897</v>
      </c>
      <c r="BK44" s="140">
        <f t="shared" si="92"/>
        <v>1696</v>
      </c>
      <c r="BL44" s="140">
        <f t="shared" si="92"/>
        <v>1761</v>
      </c>
      <c r="BM44" s="140">
        <f t="shared" si="92"/>
        <v>1668</v>
      </c>
      <c r="BN44" s="140">
        <f t="shared" ref="BN44" si="93">BN42+BN43</f>
        <v>1768</v>
      </c>
      <c r="BO44" s="140">
        <f t="shared" ref="BO44" si="94">BO42+BO43</f>
        <v>1698</v>
      </c>
      <c r="BP44" s="140">
        <f t="shared" ref="BP44:BQ44" si="95">BP42+BP43</f>
        <v>1761</v>
      </c>
      <c r="BQ44" s="140">
        <f t="shared" si="95"/>
        <v>1887</v>
      </c>
      <c r="BR44" s="140">
        <f t="shared" ref="BR44:BT44" si="96">BR42+BR43</f>
        <v>1971</v>
      </c>
      <c r="BS44" s="140">
        <f t="shared" si="96"/>
        <v>1962</v>
      </c>
      <c r="BT44" s="140">
        <f t="shared" si="96"/>
        <v>1931</v>
      </c>
      <c r="BU44" s="140">
        <f t="shared" ref="BU44:BV44" si="97">BU42+BU43</f>
        <v>6042</v>
      </c>
      <c r="BV44" s="140">
        <f t="shared" si="97"/>
        <v>2307</v>
      </c>
      <c r="BW44" s="140">
        <f t="shared" ref="BW44:BX44" si="98">BW42+BW43</f>
        <v>2080</v>
      </c>
      <c r="BX44" s="140">
        <f t="shared" si="98"/>
        <v>2350</v>
      </c>
      <c r="BY44" s="140">
        <f t="shared" ref="BY44" si="99">BY42+BY43</f>
        <v>2250</v>
      </c>
      <c r="BZ44" s="140">
        <f t="shared" ref="BZ44" si="100">BZ42+BZ43</f>
        <v>3011</v>
      </c>
      <c r="CA44" s="140">
        <f>CA42+CA43</f>
        <v>2082</v>
      </c>
      <c r="CB44" s="140">
        <f t="shared" ref="CB44:CE44" si="101">CB42+CB43</f>
        <v>2163</v>
      </c>
      <c r="CC44" s="140">
        <f t="shared" si="101"/>
        <v>2241</v>
      </c>
      <c r="CD44" s="140">
        <f t="shared" si="101"/>
        <v>2957</v>
      </c>
      <c r="CE44" s="140">
        <f t="shared" si="101"/>
        <v>2241</v>
      </c>
      <c r="CF44" s="140">
        <f t="shared" ref="CF44:CL44" si="102">CF42+CF43</f>
        <v>2374</v>
      </c>
      <c r="CG44" s="140">
        <f t="shared" si="102"/>
        <v>2385</v>
      </c>
      <c r="CH44" s="140">
        <f t="shared" si="102"/>
        <v>3564</v>
      </c>
      <c r="CI44" s="140">
        <f t="shared" si="102"/>
        <v>2757</v>
      </c>
      <c r="CJ44" s="140">
        <f t="shared" si="102"/>
        <v>2374</v>
      </c>
      <c r="CK44" s="140">
        <f t="shared" si="102"/>
        <v>2385</v>
      </c>
      <c r="CL44" s="140">
        <f t="shared" si="102"/>
        <v>3564</v>
      </c>
      <c r="CM44" s="140"/>
      <c r="CN44" s="140"/>
      <c r="CO44" s="140"/>
      <c r="CP44" s="140"/>
      <c r="CQ44" s="140"/>
      <c r="CR44" s="140"/>
      <c r="CS44" s="140"/>
      <c r="CT44" s="140"/>
      <c r="CU44" s="155"/>
      <c r="CV44" s="155">
        <f t="shared" ref="CV44:DH44" si="103">CV42+CV43</f>
        <v>210.292</v>
      </c>
      <c r="CW44" s="155">
        <f t="shared" si="103"/>
        <v>214.36099999999999</v>
      </c>
      <c r="CX44" s="155">
        <f t="shared" si="103"/>
        <v>310.69400000000002</v>
      </c>
      <c r="CY44" s="155">
        <f t="shared" si="103"/>
        <v>316.05899999999997</v>
      </c>
      <c r="CZ44" s="155">
        <f t="shared" si="103"/>
        <v>415.03</v>
      </c>
      <c r="DA44" s="155">
        <f t="shared" si="103"/>
        <v>526.34500000000037</v>
      </c>
      <c r="DB44" s="75">
        <f t="shared" si="103"/>
        <v>656.91200000000003</v>
      </c>
      <c r="DC44" s="83">
        <f t="shared" si="103"/>
        <v>834.56500000000005</v>
      </c>
      <c r="DD44" s="83">
        <f t="shared" si="103"/>
        <v>1196.893</v>
      </c>
      <c r="DE44" s="83">
        <f>DE42+DE43</f>
        <v>1376.06</v>
      </c>
      <c r="DF44" s="105">
        <f>DF42+DF43</f>
        <v>1651.3520000000003</v>
      </c>
      <c r="DG44" s="105">
        <f>DG42+DG43</f>
        <v>1751.4659999999999</v>
      </c>
      <c r="DH44" s="83">
        <f t="shared" si="103"/>
        <v>2471.1409999999996</v>
      </c>
      <c r="DI44" s="83">
        <f t="shared" ref="DI44:DN44" si="104">DI42+DI43</f>
        <v>3220.9790000000003</v>
      </c>
      <c r="DJ44" s="83">
        <f t="shared" si="104"/>
        <v>3583.761</v>
      </c>
      <c r="DK44" s="83">
        <f t="shared" si="104"/>
        <v>2449.105</v>
      </c>
      <c r="DL44" s="83">
        <f t="shared" si="104"/>
        <v>2449.105</v>
      </c>
      <c r="DM44" s="83">
        <f t="shared" si="104"/>
        <v>2449.105</v>
      </c>
      <c r="DN44" s="142">
        <f t="shared" si="104"/>
        <v>2449.105</v>
      </c>
      <c r="DO44" s="142">
        <f t="shared" ref="DO44:DQ44" si="105">DO42+DO43</f>
        <v>2449.105</v>
      </c>
      <c r="DP44" s="142">
        <f t="shared" si="105"/>
        <v>2449.105</v>
      </c>
      <c r="DQ44" s="142">
        <f t="shared" si="105"/>
        <v>2449.105</v>
      </c>
      <c r="DR44" s="142">
        <f t="shared" ref="DR44:DV44" si="106">DR42+DR43</f>
        <v>2449.105</v>
      </c>
      <c r="DS44" s="142">
        <f t="shared" si="106"/>
        <v>2449.105</v>
      </c>
      <c r="DT44" s="155">
        <f t="shared" si="106"/>
        <v>2449.105</v>
      </c>
      <c r="DU44" s="155">
        <f t="shared" si="106"/>
        <v>2449.105</v>
      </c>
      <c r="DV44" s="155">
        <f t="shared" si="106"/>
        <v>2449.105</v>
      </c>
      <c r="DW44" s="155"/>
      <c r="DX44" s="155"/>
      <c r="DY44" s="155"/>
      <c r="DZ44" s="155"/>
      <c r="EA44" s="155"/>
      <c r="EB44" s="155"/>
      <c r="EC44" s="155"/>
      <c r="ED44" s="155"/>
      <c r="EE44" s="155"/>
      <c r="EF44" s="155"/>
    </row>
    <row r="45" spans="2:136" s="17" customFormat="1" x14ac:dyDescent="0.2">
      <c r="B45" s="100" t="s">
        <v>642</v>
      </c>
      <c r="C45" s="82">
        <f t="shared" ref="C45:R45" si="107">C39-C44</f>
        <v>-73.317000000000007</v>
      </c>
      <c r="D45" s="82">
        <f t="shared" si="107"/>
        <v>-72.451000000000008</v>
      </c>
      <c r="E45" s="82">
        <f t="shared" si="107"/>
        <v>-77.655000000000001</v>
      </c>
      <c r="F45" s="82">
        <f t="shared" si="107"/>
        <v>-92.635999999999996</v>
      </c>
      <c r="G45" s="82">
        <f t="shared" si="107"/>
        <v>-88.731000000000009</v>
      </c>
      <c r="H45" s="82">
        <f t="shared" si="107"/>
        <v>-98.992000000000004</v>
      </c>
      <c r="I45" s="82">
        <f t="shared" si="107"/>
        <v>-95.263000000000005</v>
      </c>
      <c r="J45" s="82">
        <f t="shared" si="107"/>
        <v>-132.04399999999998</v>
      </c>
      <c r="K45" s="82" t="e">
        <f t="shared" si="107"/>
        <v>#REF!</v>
      </c>
      <c r="L45" s="82" t="e">
        <f t="shared" si="107"/>
        <v>#REF!</v>
      </c>
      <c r="M45" s="82" t="e">
        <f t="shared" si="107"/>
        <v>#REF!</v>
      </c>
      <c r="N45" s="82" t="e">
        <f t="shared" si="107"/>
        <v>#REF!</v>
      </c>
      <c r="O45" s="82" t="e">
        <f t="shared" si="107"/>
        <v>#REF!</v>
      </c>
      <c r="P45" s="82" t="e">
        <f t="shared" si="107"/>
        <v>#REF!</v>
      </c>
      <c r="Q45" s="82" t="e">
        <f t="shared" si="107"/>
        <v>#REF!</v>
      </c>
      <c r="R45" s="82" t="e">
        <f t="shared" si="107"/>
        <v>#REF!</v>
      </c>
      <c r="S45" s="82" t="e">
        <f t="shared" ref="S45:Z45" si="108">S41-S44</f>
        <v>#REF!</v>
      </c>
      <c r="T45" s="82" t="e">
        <f t="shared" si="108"/>
        <v>#REF!</v>
      </c>
      <c r="U45" s="82" t="e">
        <f t="shared" si="108"/>
        <v>#REF!</v>
      </c>
      <c r="V45" s="82" t="e">
        <f t="shared" si="108"/>
        <v>#REF!</v>
      </c>
      <c r="W45" s="82" t="e">
        <f t="shared" si="108"/>
        <v>#REF!</v>
      </c>
      <c r="X45" s="82" t="e">
        <f t="shared" si="108"/>
        <v>#REF!</v>
      </c>
      <c r="Y45" s="82" t="e">
        <f t="shared" si="108"/>
        <v>#REF!</v>
      </c>
      <c r="Z45" s="82" t="e">
        <f t="shared" si="108"/>
        <v>#REF!</v>
      </c>
      <c r="AA45" s="82" t="e">
        <f t="shared" ref="AA45:AM45" si="109">AA41-AA44</f>
        <v>#REF!</v>
      </c>
      <c r="AB45" s="82" t="e">
        <f t="shared" si="109"/>
        <v>#REF!</v>
      </c>
      <c r="AC45" s="82" t="e">
        <f t="shared" si="109"/>
        <v>#REF!</v>
      </c>
      <c r="AD45" s="82" t="e">
        <f t="shared" si="109"/>
        <v>#REF!</v>
      </c>
      <c r="AE45" s="82">
        <f t="shared" si="109"/>
        <v>849.4000000000002</v>
      </c>
      <c r="AF45" s="82">
        <f t="shared" si="109"/>
        <v>847.50099999999998</v>
      </c>
      <c r="AG45" s="82">
        <f t="shared" si="109"/>
        <v>949.18900000000053</v>
      </c>
      <c r="AH45" s="82">
        <f t="shared" si="109"/>
        <v>1145.6509999999996</v>
      </c>
      <c r="AI45" s="82">
        <f t="shared" si="109"/>
        <v>-545.43499999999995</v>
      </c>
      <c r="AJ45" s="82">
        <f t="shared" si="109"/>
        <v>1060.7329999999997</v>
      </c>
      <c r="AK45" s="82">
        <f t="shared" si="109"/>
        <v>1053.8220000000001</v>
      </c>
      <c r="AL45" s="82">
        <f t="shared" si="109"/>
        <v>-882.375</v>
      </c>
      <c r="AM45" s="82">
        <f t="shared" si="109"/>
        <v>878.0540000000002</v>
      </c>
      <c r="AN45" s="82">
        <f t="shared" ref="AN45" si="110">AN41-AN44</f>
        <v>1016.7180000000001</v>
      </c>
      <c r="AO45" s="82">
        <f t="shared" ref="AO45" si="111">AO41-AO44</f>
        <v>1004.2000000000003</v>
      </c>
      <c r="AP45" s="82">
        <f>+AP41-AP44</f>
        <v>867.47599999999966</v>
      </c>
      <c r="AQ45" s="82">
        <f t="shared" ref="AQ45:AX45" si="112">+AQ41-AQ44</f>
        <v>800.18599999999958</v>
      </c>
      <c r="AR45" s="82">
        <f t="shared" si="112"/>
        <v>1059.0919999999996</v>
      </c>
      <c r="AS45" s="82">
        <f t="shared" si="112"/>
        <v>1043.9140000000002</v>
      </c>
      <c r="AT45" s="82">
        <f t="shared" si="112"/>
        <v>1106.9829999999999</v>
      </c>
      <c r="AU45" s="82">
        <f t="shared" si="112"/>
        <v>1025.2590000000005</v>
      </c>
      <c r="AV45" s="82">
        <f t="shared" si="112"/>
        <v>1242.5200000000004</v>
      </c>
      <c r="AW45" s="82">
        <f t="shared" si="112"/>
        <v>1258.6760000000002</v>
      </c>
      <c r="AX45" s="82">
        <f t="shared" si="112"/>
        <v>1359.9920000000002</v>
      </c>
      <c r="AY45" s="82">
        <f>+AY41-AY44</f>
        <v>3329.7130000000025</v>
      </c>
      <c r="AZ45" s="82">
        <f>+AZ41-AZ44</f>
        <v>4699.6160000000009</v>
      </c>
      <c r="BA45" s="82">
        <f t="shared" ref="BA45:BE45" si="113">+BA41-BA44</f>
        <v>4194.9859999999999</v>
      </c>
      <c r="BB45" s="82">
        <f t="shared" si="113"/>
        <v>4769</v>
      </c>
      <c r="BC45" s="82">
        <f t="shared" si="113"/>
        <v>5669</v>
      </c>
      <c r="BD45" s="82">
        <f t="shared" si="113"/>
        <v>5993</v>
      </c>
      <c r="BE45" s="82">
        <f t="shared" si="113"/>
        <v>5585</v>
      </c>
      <c r="BF45" s="140">
        <f t="shared" ref="BF45:BG45" si="114">BF41-BF44</f>
        <v>5857</v>
      </c>
      <c r="BG45" s="140">
        <f t="shared" si="114"/>
        <v>5404</v>
      </c>
      <c r="BH45" s="140">
        <f t="shared" ref="BH45:BJ45" si="115">BH41-BH44</f>
        <v>4538</v>
      </c>
      <c r="BI45" s="140">
        <f t="shared" si="115"/>
        <v>4399</v>
      </c>
      <c r="BJ45" s="140">
        <f t="shared" ref="BJ45:BM45" si="116">BJ41-BJ44</f>
        <v>4563</v>
      </c>
      <c r="BK45" s="140">
        <f t="shared" si="116"/>
        <v>4066</v>
      </c>
      <c r="BL45" s="140">
        <f t="shared" si="116"/>
        <v>4254</v>
      </c>
      <c r="BM45" s="140">
        <f t="shared" si="116"/>
        <v>3812</v>
      </c>
      <c r="BN45" s="140">
        <f t="shared" ref="BN45" si="117">BN41-BN44</f>
        <v>3215</v>
      </c>
      <c r="BO45" s="140">
        <f t="shared" ref="BO45" si="118">BO41-BO44</f>
        <v>2703</v>
      </c>
      <c r="BP45" s="140">
        <f t="shared" ref="BP45:BQ45" si="119">BP41-BP44</f>
        <v>3012</v>
      </c>
      <c r="BQ45" s="140">
        <f t="shared" si="119"/>
        <v>2623</v>
      </c>
      <c r="BR45" s="140">
        <f t="shared" ref="BR45:BT45" si="120">BR41-BR44</f>
        <v>2567</v>
      </c>
      <c r="BS45" s="140">
        <f t="shared" si="120"/>
        <v>2645</v>
      </c>
      <c r="BT45" s="140">
        <f t="shared" si="120"/>
        <v>3040</v>
      </c>
      <c r="BU45" s="140">
        <f t="shared" ref="BU45:BV45" si="121">BU41-BU44</f>
        <v>-1473</v>
      </c>
      <c r="BV45" s="140">
        <f t="shared" si="121"/>
        <v>2155</v>
      </c>
      <c r="BW45" s="140">
        <f t="shared" ref="BW45:BX45" si="122">BW41-BW44</f>
        <v>2765</v>
      </c>
      <c r="BX45" s="140">
        <f t="shared" si="122"/>
        <v>1995</v>
      </c>
      <c r="BY45" s="140">
        <f t="shared" ref="BY45" si="123">BY41-BY44</f>
        <v>3452</v>
      </c>
      <c r="BZ45" s="140">
        <f t="shared" ref="BZ45" si="124">BZ41-BZ44</f>
        <v>3492</v>
      </c>
      <c r="CA45" s="140">
        <f>CA41-CA44</f>
        <v>3486</v>
      </c>
      <c r="CB45" s="140">
        <f t="shared" ref="CB45:CE45" si="125">CB41-CB44</f>
        <v>3218</v>
      </c>
      <c r="CC45" s="140">
        <f t="shared" si="125"/>
        <v>4444</v>
      </c>
      <c r="CD45" s="140">
        <f t="shared" si="125"/>
        <v>2175</v>
      </c>
      <c r="CE45" s="140">
        <f t="shared" si="125"/>
        <v>3523</v>
      </c>
      <c r="CF45" s="140">
        <f t="shared" ref="CF45:CL45" si="126">CF41-CF44</f>
        <v>3001</v>
      </c>
      <c r="CG45" s="140">
        <f t="shared" si="126"/>
        <v>3734</v>
      </c>
      <c r="CH45" s="140">
        <f t="shared" si="126"/>
        <v>2857</v>
      </c>
      <c r="CI45" s="140">
        <f t="shared" si="126"/>
        <v>2724</v>
      </c>
      <c r="CJ45" s="140">
        <f t="shared" si="126"/>
        <v>3206.25</v>
      </c>
      <c r="CK45" s="140">
        <f t="shared" si="126"/>
        <v>3561.5999999999995</v>
      </c>
      <c r="CL45" s="140">
        <f t="shared" si="126"/>
        <v>2446.3499999999995</v>
      </c>
      <c r="CM45" s="140"/>
      <c r="CN45" s="140"/>
      <c r="CO45" s="140"/>
      <c r="CP45" s="140"/>
      <c r="CQ45" s="140"/>
      <c r="CR45" s="140"/>
      <c r="CS45" s="140"/>
      <c r="CT45" s="140"/>
      <c r="CU45" s="79"/>
      <c r="CV45" s="79">
        <f t="shared" ref="CV45:DC45" si="127">CV41-CV44</f>
        <v>-210.292</v>
      </c>
      <c r="CW45" s="79">
        <f t="shared" si="127"/>
        <v>-214.36099999999999</v>
      </c>
      <c r="CX45" s="79">
        <f t="shared" si="127"/>
        <v>-310.69400000000002</v>
      </c>
      <c r="CY45" s="79">
        <f t="shared" si="127"/>
        <v>-316.05899999999997</v>
      </c>
      <c r="CZ45" s="79">
        <f t="shared" si="127"/>
        <v>-415.03</v>
      </c>
      <c r="DA45" s="79">
        <f t="shared" si="127"/>
        <v>-526.34500000000037</v>
      </c>
      <c r="DB45" s="17">
        <f t="shared" si="127"/>
        <v>-656.91200000000003</v>
      </c>
      <c r="DC45" s="82">
        <f t="shared" si="127"/>
        <v>-834.56500000000005</v>
      </c>
      <c r="DD45" s="82">
        <f>DD41-DD44</f>
        <v>-1196.893</v>
      </c>
      <c r="DE45" s="82">
        <f>DE41-DE44</f>
        <v>-1376.06</v>
      </c>
      <c r="DF45" s="104">
        <f>DF41-DF44</f>
        <v>3791.7410000000004</v>
      </c>
      <c r="DG45" s="104">
        <f>DG41-DG44</f>
        <v>686.74499999999989</v>
      </c>
      <c r="DH45" s="82">
        <f t="shared" ref="DH45" si="128">DH41-DH44</f>
        <v>3766.4480000000012</v>
      </c>
      <c r="DI45" s="82">
        <f t="shared" ref="DI45:DN45" si="129">DI41-DI44</f>
        <v>4010.1750000000011</v>
      </c>
      <c r="DJ45" s="82">
        <f t="shared" si="129"/>
        <v>4886.4469999999983</v>
      </c>
      <c r="DK45" s="82">
        <f t="shared" si="129"/>
        <v>17581.859799999998</v>
      </c>
      <c r="DL45" s="82">
        <f t="shared" si="129"/>
        <v>21700.660200000006</v>
      </c>
      <c r="DM45" s="82">
        <f t="shared" si="129"/>
        <v>23097.445651600003</v>
      </c>
      <c r="DN45" s="140">
        <f t="shared" si="129"/>
        <v>-2449.105</v>
      </c>
      <c r="DO45" s="140">
        <f t="shared" ref="DO45:DQ45" si="130">DO41-DO44</f>
        <v>-2449.105</v>
      </c>
      <c r="DP45" s="140">
        <f t="shared" si="130"/>
        <v>-2449.105</v>
      </c>
      <c r="DQ45" s="140">
        <f t="shared" si="130"/>
        <v>6413.375</v>
      </c>
      <c r="DR45" s="140">
        <f t="shared" ref="DR45:DV45" si="131">DR41-DR44</f>
        <v>8112.6550000000007</v>
      </c>
      <c r="DS45" s="140">
        <f t="shared" si="131"/>
        <v>6892.9750000000004</v>
      </c>
      <c r="DT45" s="79">
        <f t="shared" si="131"/>
        <v>5654.8150000000005</v>
      </c>
      <c r="DU45" s="79">
        <f t="shared" si="131"/>
        <v>-1486.825</v>
      </c>
      <c r="DV45" s="79">
        <f t="shared" si="131"/>
        <v>-1583.0529999999999</v>
      </c>
      <c r="DW45" s="79"/>
      <c r="DX45" s="79"/>
      <c r="DY45" s="79"/>
      <c r="DZ45" s="79"/>
      <c r="EA45" s="79"/>
      <c r="EB45" s="79"/>
      <c r="EC45" s="79"/>
      <c r="ED45" s="79"/>
      <c r="EE45" s="79"/>
      <c r="EF45" s="79"/>
    </row>
    <row r="46" spans="2:136" s="17" customFormat="1" x14ac:dyDescent="0.2">
      <c r="B46" s="17" t="s">
        <v>25</v>
      </c>
      <c r="C46" s="82">
        <v>2.1289999999999996</v>
      </c>
      <c r="D46" s="82">
        <v>1.155</v>
      </c>
      <c r="E46" s="82">
        <v>1.4380000000000002</v>
      </c>
      <c r="F46" s="82">
        <v>3.7160000000000002</v>
      </c>
      <c r="G46" s="82">
        <v>-1.7969999999999997</v>
      </c>
      <c r="H46" s="82">
        <v>-2.125</v>
      </c>
      <c r="I46" s="82">
        <v>-2.2220000000000004</v>
      </c>
      <c r="J46" s="82">
        <v>-2.714</v>
      </c>
      <c r="K46" s="82">
        <v>0.83899999999999997</v>
      </c>
      <c r="L46" s="82">
        <v>3.3370000000000002</v>
      </c>
      <c r="M46" s="82">
        <v>2.7590000000000003</v>
      </c>
      <c r="N46" s="82">
        <v>4.659999999999993</v>
      </c>
      <c r="O46" s="82">
        <v>8.3569999999999993</v>
      </c>
      <c r="P46" s="82">
        <f>9.878-0.015+0.914</f>
        <v>10.776999999999999</v>
      </c>
      <c r="Q46" s="82">
        <v>12.492000000000001</v>
      </c>
      <c r="R46" s="82">
        <v>15.75</v>
      </c>
      <c r="S46" s="82">
        <v>25.795000000000002</v>
      </c>
      <c r="T46" s="82">
        <f>37.36-5.207+1.244</f>
        <v>33.396999999999998</v>
      </c>
      <c r="U46" s="82">
        <f>36.197-6.081</f>
        <v>30.116000000000003</v>
      </c>
      <c r="V46" s="82">
        <f>32.56-5.35+2.388</f>
        <v>29.597999999999999</v>
      </c>
      <c r="W46" s="82">
        <f>23.104-4.547+2.153</f>
        <v>20.709999999999997</v>
      </c>
      <c r="X46" s="82">
        <f>27.689-2.707+2.401</f>
        <v>27.382999999999999</v>
      </c>
      <c r="Y46" s="82">
        <f>29.502-2.989+2.478</f>
        <v>28.991</v>
      </c>
      <c r="Z46" s="82">
        <f>29.528-2.857+2.076</f>
        <v>28.747</v>
      </c>
      <c r="AA46" s="82">
        <f>22.7-3.105</f>
        <v>19.594999999999999</v>
      </c>
      <c r="AB46" s="82">
        <f>14.026-3.174</f>
        <v>10.852</v>
      </c>
      <c r="AC46" s="82">
        <f>3.637-2.951</f>
        <v>0.68599999999999994</v>
      </c>
      <c r="AD46" s="82">
        <f>19.038-2.871</f>
        <v>16.167000000000002</v>
      </c>
      <c r="AE46" s="104">
        <f>4.159-16.671</f>
        <v>-12.512</v>
      </c>
      <c r="AF46" s="104">
        <f>12.923-18.484</f>
        <v>-5.5610000000000017</v>
      </c>
      <c r="AG46" s="104">
        <f>14.017-17.217</f>
        <v>-3.1999999999999993</v>
      </c>
      <c r="AH46" s="104">
        <f>-17.29+11.299</f>
        <v>-5.9909999999999997</v>
      </c>
      <c r="AI46" s="104">
        <f>15.645-16.955</f>
        <v>-1.3099999999999987</v>
      </c>
      <c r="AJ46" s="104">
        <f>18.285-17.764</f>
        <v>0.5210000000000008</v>
      </c>
      <c r="AK46" s="104">
        <f>15.593-33.62</f>
        <v>-18.026999999999997</v>
      </c>
      <c r="AL46" s="104">
        <f>10.764-40.622</f>
        <v>-29.858000000000001</v>
      </c>
      <c r="AM46" s="104">
        <f>13.832-41.216</f>
        <v>-27.384</v>
      </c>
      <c r="AN46" s="82">
        <f>11.978-46.107</f>
        <v>-34.128999999999998</v>
      </c>
      <c r="AO46" s="82">
        <f>14.4-43.1</f>
        <v>-28.700000000000003</v>
      </c>
      <c r="AP46" s="82">
        <f>26.365-74.998</f>
        <v>-48.63300000000001</v>
      </c>
      <c r="AQ46" s="82">
        <f>-97.27-34.085</f>
        <v>-131.35499999999999</v>
      </c>
      <c r="AR46" s="82">
        <f>-88.418-1.075</f>
        <v>-89.493000000000009</v>
      </c>
      <c r="AS46" s="82">
        <f>-89.322-3.505</f>
        <v>-92.826999999999998</v>
      </c>
      <c r="AT46" s="82">
        <f>-85.906-1.386</f>
        <v>-87.292000000000002</v>
      </c>
      <c r="AU46" s="82">
        <f>-81.787-3.324</f>
        <v>-85.111000000000004</v>
      </c>
      <c r="AV46" s="82">
        <f>-78.008-0.231</f>
        <v>-78.23899999999999</v>
      </c>
      <c r="AW46" s="82">
        <f>-73.949-5.777</f>
        <v>-79.725999999999999</v>
      </c>
      <c r="AX46" s="82">
        <f>-73.15-11.108</f>
        <v>-84.25800000000001</v>
      </c>
      <c r="AY46" s="82">
        <f>-76.269-17.912</f>
        <v>-94.181000000000012</v>
      </c>
      <c r="AZ46" s="82">
        <f>-102.004-3.645</f>
        <v>-105.649</v>
      </c>
      <c r="BA46" s="82">
        <f t="shared" ref="BA46" si="132">-73.15-11.108</f>
        <v>-84.25800000000001</v>
      </c>
      <c r="BB46" s="82">
        <f>-130+30</f>
        <v>-100</v>
      </c>
      <c r="BC46" s="82">
        <f>-153+21</f>
        <v>-132</v>
      </c>
      <c r="BD46" s="82">
        <f>-140+35</f>
        <v>-105</v>
      </c>
      <c r="BE46" s="82">
        <f>-165+52</f>
        <v>-113</v>
      </c>
      <c r="BF46" s="82">
        <f>-230+46</f>
        <v>-184</v>
      </c>
      <c r="BG46" s="82">
        <f>-230+81</f>
        <v>-149</v>
      </c>
      <c r="BH46" s="82">
        <f>-227+88</f>
        <v>-139</v>
      </c>
      <c r="BI46" s="82">
        <f>-242+119</f>
        <v>-123</v>
      </c>
      <c r="BJ46" s="140">
        <f>-265+140</f>
        <v>-125</v>
      </c>
      <c r="BK46" s="140">
        <f>-261+111</f>
        <v>-150</v>
      </c>
      <c r="BL46" s="82">
        <f>-269+130</f>
        <v>-139</v>
      </c>
      <c r="BM46" s="82">
        <f>-291+150</f>
        <v>-141</v>
      </c>
      <c r="BN46" s="140">
        <f>-297+132</f>
        <v>-165</v>
      </c>
      <c r="BO46" s="140">
        <f>-290+125</f>
        <v>-165</v>
      </c>
      <c r="BP46" s="140">
        <f>-266+136</f>
        <v>-130</v>
      </c>
      <c r="BQ46" s="140">
        <f>-264+305</f>
        <v>41</v>
      </c>
      <c r="BR46" s="140">
        <f>-257+163</f>
        <v>-94</v>
      </c>
      <c r="BS46" s="140">
        <f>-254+170</f>
        <v>-84</v>
      </c>
      <c r="BT46" s="82">
        <f>-248+171</f>
        <v>-77</v>
      </c>
      <c r="BU46" s="140">
        <f>-250+222</f>
        <v>-28</v>
      </c>
      <c r="BV46" s="140">
        <f>-243+122</f>
        <v>-121</v>
      </c>
      <c r="BW46" s="140">
        <f>-241+125</f>
        <v>-116</v>
      </c>
      <c r="BX46" s="140">
        <f>-240+250</f>
        <v>10</v>
      </c>
      <c r="BY46" s="140">
        <f>-236-940+983</f>
        <v>-193</v>
      </c>
      <c r="BZ46" s="140">
        <f>-267+46</f>
        <v>-221</v>
      </c>
      <c r="CA46" s="140">
        <f>-257-369</f>
        <v>-626</v>
      </c>
      <c r="CB46" s="140">
        <f>-256-173</f>
        <v>-429</v>
      </c>
      <c r="CC46" s="140">
        <f>-250-154+154</f>
        <v>-250</v>
      </c>
      <c r="CD46" s="140">
        <f>-238+57</f>
        <v>-181</v>
      </c>
      <c r="CE46" s="140">
        <f>-238-111</f>
        <v>-349</v>
      </c>
      <c r="CF46" s="140">
        <f>-242-284+303</f>
        <v>-223</v>
      </c>
      <c r="CG46" s="140">
        <f>-229-176</f>
        <v>-405</v>
      </c>
      <c r="CH46" s="140">
        <f>-227-9</f>
        <v>-236</v>
      </c>
      <c r="CI46" s="140">
        <f>-230-174</f>
        <v>-404</v>
      </c>
      <c r="CJ46" s="140"/>
      <c r="CK46" s="140"/>
      <c r="CL46" s="140"/>
      <c r="CM46" s="140"/>
      <c r="CN46" s="140"/>
      <c r="CO46" s="140"/>
      <c r="CP46" s="140"/>
      <c r="CQ46" s="140"/>
      <c r="CR46" s="140"/>
      <c r="CS46" s="140"/>
      <c r="CT46" s="140"/>
      <c r="CU46" s="79"/>
      <c r="CV46" s="79">
        <v>9.916999999999998</v>
      </c>
      <c r="CW46" s="79">
        <v>13.269</v>
      </c>
      <c r="CX46" s="79">
        <v>11.611000000000001</v>
      </c>
      <c r="CY46" s="79">
        <v>8.4380000000000006</v>
      </c>
      <c r="CZ46" s="79">
        <v>-8.8579999999999988</v>
      </c>
      <c r="DA46" s="79">
        <v>11.595000000000001</v>
      </c>
      <c r="DB46" s="17">
        <v>46.717399999999998</v>
      </c>
      <c r="DC46" s="82">
        <v>79.940878614177947</v>
      </c>
      <c r="DD46" s="82">
        <v>135.79390689056299</v>
      </c>
      <c r="DE46" s="82">
        <f>SUM(AA46:AD46)</f>
        <v>47.3</v>
      </c>
      <c r="DF46" s="105">
        <f>SUM(AE46:AH46)</f>
        <v>-27.263999999999999</v>
      </c>
      <c r="DG46" s="104">
        <f>SUM(AI46:AL46)</f>
        <v>-48.673999999999992</v>
      </c>
      <c r="DH46" s="82"/>
      <c r="DI46" s="93">
        <f t="shared" ref="DI46:DI48" si="133">SUM(AQ46:AT46)</f>
        <v>-400.96699999999998</v>
      </c>
      <c r="DJ46" s="83">
        <f>SUM(AU46:AX46)</f>
        <v>-327.334</v>
      </c>
      <c r="DK46" s="82">
        <f>SUM(AY46:BB46)</f>
        <v>-384.08800000000002</v>
      </c>
      <c r="DL46" s="82">
        <f t="shared" ref="DL46:DV46" si="134">+DK61*$EA$55</f>
        <v>35.42907000000001</v>
      </c>
      <c r="DM46" s="82">
        <f t="shared" si="134"/>
        <v>117.48280699425003</v>
      </c>
      <c r="DN46" s="140">
        <f t="shared" si="134"/>
        <v>205.11916192544334</v>
      </c>
      <c r="DO46" s="140">
        <f t="shared" si="134"/>
        <v>196.64811538671188</v>
      </c>
      <c r="DP46" s="140">
        <f t="shared" si="134"/>
        <v>188.14509064729671</v>
      </c>
      <c r="DQ46" s="140">
        <f t="shared" si="134"/>
        <v>179.60996698949023</v>
      </c>
      <c r="DR46" s="140">
        <f t="shared" si="134"/>
        <v>204.49848523987555</v>
      </c>
      <c r="DS46" s="140">
        <f t="shared" si="134"/>
        <v>235.89573964665607</v>
      </c>
      <c r="DT46" s="79">
        <f t="shared" si="134"/>
        <v>262.8072266888222</v>
      </c>
      <c r="DU46" s="79">
        <f t="shared" si="134"/>
        <v>285.14625059457251</v>
      </c>
      <c r="DV46" s="79">
        <f t="shared" si="134"/>
        <v>280.60991331556698</v>
      </c>
      <c r="DW46" s="79"/>
      <c r="DX46" s="79"/>
      <c r="DY46" s="79"/>
      <c r="DZ46" s="79"/>
      <c r="EA46" s="79"/>
      <c r="EB46" s="79"/>
      <c r="EC46" s="79"/>
      <c r="ED46" s="79"/>
      <c r="EE46" s="79"/>
      <c r="EF46" s="79"/>
    </row>
    <row r="47" spans="2:136" s="17" customFormat="1" x14ac:dyDescent="0.2">
      <c r="B47" s="17" t="s">
        <v>26</v>
      </c>
      <c r="C47" s="82">
        <f t="shared" ref="C47:V47" si="135">SUM(C45:C46)</f>
        <v>-71.188000000000002</v>
      </c>
      <c r="D47" s="82">
        <f t="shared" si="135"/>
        <v>-71.296000000000006</v>
      </c>
      <c r="E47" s="82">
        <f t="shared" si="135"/>
        <v>-76.216999999999999</v>
      </c>
      <c r="F47" s="82">
        <f t="shared" si="135"/>
        <v>-88.92</v>
      </c>
      <c r="G47" s="82">
        <f t="shared" si="135"/>
        <v>-90.528000000000006</v>
      </c>
      <c r="H47" s="82">
        <f t="shared" si="135"/>
        <v>-101.117</v>
      </c>
      <c r="I47" s="82">
        <f t="shared" si="135"/>
        <v>-97.484999999999999</v>
      </c>
      <c r="J47" s="82">
        <f t="shared" si="135"/>
        <v>-134.75799999999998</v>
      </c>
      <c r="K47" s="82" t="e">
        <f t="shared" si="135"/>
        <v>#REF!</v>
      </c>
      <c r="L47" s="82" t="e">
        <f t="shared" si="135"/>
        <v>#REF!</v>
      </c>
      <c r="M47" s="82" t="e">
        <f t="shared" si="135"/>
        <v>#REF!</v>
      </c>
      <c r="N47" s="82" t="e">
        <f t="shared" si="135"/>
        <v>#REF!</v>
      </c>
      <c r="O47" s="82" t="e">
        <f t="shared" si="135"/>
        <v>#REF!</v>
      </c>
      <c r="P47" s="82" t="e">
        <f t="shared" si="135"/>
        <v>#REF!</v>
      </c>
      <c r="Q47" s="82" t="e">
        <f>SUM(Q45:Q46)</f>
        <v>#REF!</v>
      </c>
      <c r="R47" s="82" t="e">
        <f>SUM(R45:R46)</f>
        <v>#REF!</v>
      </c>
      <c r="S47" s="82" t="e">
        <f t="shared" si="135"/>
        <v>#REF!</v>
      </c>
      <c r="T47" s="82" t="e">
        <f t="shared" si="135"/>
        <v>#REF!</v>
      </c>
      <c r="U47" s="82" t="e">
        <f t="shared" si="135"/>
        <v>#REF!</v>
      </c>
      <c r="V47" s="82" t="e">
        <f t="shared" si="135"/>
        <v>#REF!</v>
      </c>
      <c r="W47" s="82" t="e">
        <f t="shared" ref="W47:AB47" si="136">SUM(W45:W46)</f>
        <v>#REF!</v>
      </c>
      <c r="X47" s="82" t="e">
        <f t="shared" si="136"/>
        <v>#REF!</v>
      </c>
      <c r="Y47" s="82" t="e">
        <f t="shared" si="136"/>
        <v>#REF!</v>
      </c>
      <c r="Z47" s="82" t="e">
        <f t="shared" si="136"/>
        <v>#REF!</v>
      </c>
      <c r="AA47" s="82" t="e">
        <f t="shared" si="136"/>
        <v>#REF!</v>
      </c>
      <c r="AB47" s="82" t="e">
        <f t="shared" si="136"/>
        <v>#REF!</v>
      </c>
      <c r="AC47" s="82" t="e">
        <f t="shared" ref="AC47:AM47" si="137">SUM(AC45:AC46)</f>
        <v>#REF!</v>
      </c>
      <c r="AD47" s="82" t="e">
        <f t="shared" si="137"/>
        <v>#REF!</v>
      </c>
      <c r="AE47" s="82">
        <f t="shared" si="137"/>
        <v>836.88800000000015</v>
      </c>
      <c r="AF47" s="82">
        <f t="shared" si="137"/>
        <v>841.93999999999994</v>
      </c>
      <c r="AG47" s="82">
        <f t="shared" si="137"/>
        <v>945.98900000000049</v>
      </c>
      <c r="AH47" s="82">
        <f t="shared" si="137"/>
        <v>1139.6599999999996</v>
      </c>
      <c r="AI47" s="82">
        <f t="shared" si="137"/>
        <v>-546.74499999999989</v>
      </c>
      <c r="AJ47" s="82">
        <f t="shared" si="137"/>
        <v>1061.2539999999997</v>
      </c>
      <c r="AK47" s="82">
        <f t="shared" si="137"/>
        <v>1035.7950000000001</v>
      </c>
      <c r="AL47" s="82">
        <f t="shared" si="137"/>
        <v>-912.23299999999995</v>
      </c>
      <c r="AM47" s="82">
        <f t="shared" si="137"/>
        <v>850.67000000000019</v>
      </c>
      <c r="AN47" s="82">
        <f>SUM(AN45:AN46)</f>
        <v>982.58900000000006</v>
      </c>
      <c r="AO47" s="82">
        <f>SUM(AO45:AO46)</f>
        <v>975.50000000000023</v>
      </c>
      <c r="AP47" s="82">
        <f>SUM(AP45:AP46)</f>
        <v>818.84299999999962</v>
      </c>
      <c r="AQ47" s="82">
        <f>+AQ45+AQ46</f>
        <v>668.83099999999956</v>
      </c>
      <c r="AR47" s="82">
        <f>+AR45+AR46</f>
        <v>969.59899999999959</v>
      </c>
      <c r="AS47" s="82">
        <f>+AS45+AS46</f>
        <v>951.08700000000022</v>
      </c>
      <c r="AT47" s="82">
        <f t="shared" ref="AT47:AX47" si="138">+AT46+AT45</f>
        <v>1019.6909999999999</v>
      </c>
      <c r="AU47" s="82">
        <f t="shared" si="138"/>
        <v>940.14800000000048</v>
      </c>
      <c r="AV47" s="82">
        <f t="shared" si="138"/>
        <v>1164.2810000000004</v>
      </c>
      <c r="AW47" s="82">
        <f t="shared" si="138"/>
        <v>1178.9500000000003</v>
      </c>
      <c r="AX47" s="82">
        <f t="shared" si="138"/>
        <v>1275.7340000000002</v>
      </c>
      <c r="AY47" s="82">
        <f>+AY46+AY45</f>
        <v>3235.5320000000024</v>
      </c>
      <c r="AZ47" s="82">
        <f>+AZ46+AZ45</f>
        <v>4593.9670000000006</v>
      </c>
      <c r="BA47" s="82">
        <f t="shared" ref="BA47:BE47" si="139">+BA46+BA45</f>
        <v>4110.7280000000001</v>
      </c>
      <c r="BB47" s="82">
        <f t="shared" si="139"/>
        <v>4669</v>
      </c>
      <c r="BC47" s="82">
        <f t="shared" si="139"/>
        <v>5537</v>
      </c>
      <c r="BD47" s="82">
        <f t="shared" si="139"/>
        <v>5888</v>
      </c>
      <c r="BE47" s="82">
        <f t="shared" si="139"/>
        <v>5472</v>
      </c>
      <c r="BF47" s="140">
        <f t="shared" ref="BF47:BG47" si="140">BF45+BF46</f>
        <v>5673</v>
      </c>
      <c r="BG47" s="140">
        <f t="shared" si="140"/>
        <v>5255</v>
      </c>
      <c r="BH47" s="140">
        <f t="shared" ref="BH47:BM47" si="141">BH45+BH46</f>
        <v>4399</v>
      </c>
      <c r="BI47" s="140">
        <f t="shared" si="141"/>
        <v>4276</v>
      </c>
      <c r="BJ47" s="140">
        <f t="shared" si="141"/>
        <v>4438</v>
      </c>
      <c r="BK47" s="140">
        <f t="shared" si="141"/>
        <v>3916</v>
      </c>
      <c r="BL47" s="140">
        <f t="shared" si="141"/>
        <v>4115</v>
      </c>
      <c r="BM47" s="140">
        <f t="shared" si="141"/>
        <v>3671</v>
      </c>
      <c r="BN47" s="140">
        <f t="shared" ref="BN47:BO47" si="142">BN45+BN46</f>
        <v>3050</v>
      </c>
      <c r="BO47" s="140">
        <f t="shared" si="142"/>
        <v>2538</v>
      </c>
      <c r="BP47" s="140">
        <f t="shared" ref="BP47:BQ47" si="143">BP45+BP46</f>
        <v>2882</v>
      </c>
      <c r="BQ47" s="140">
        <f t="shared" si="143"/>
        <v>2664</v>
      </c>
      <c r="BR47" s="140">
        <f t="shared" ref="BR47:BT47" si="144">BR45+BR46</f>
        <v>2473</v>
      </c>
      <c r="BS47" s="140">
        <f t="shared" si="144"/>
        <v>2561</v>
      </c>
      <c r="BT47" s="140">
        <f t="shared" si="144"/>
        <v>2963</v>
      </c>
      <c r="BU47" s="140">
        <f t="shared" ref="BU47:BV47" si="145">BU45+BU46</f>
        <v>-1501</v>
      </c>
      <c r="BV47" s="140">
        <f t="shared" si="145"/>
        <v>2034</v>
      </c>
      <c r="BW47" s="140">
        <f t="shared" ref="BW47:BX47" si="146">BW45+BW46</f>
        <v>2649</v>
      </c>
      <c r="BX47" s="140">
        <f t="shared" si="146"/>
        <v>2005</v>
      </c>
      <c r="BY47" s="140">
        <f t="shared" ref="BY47" si="147">BY45+BY46</f>
        <v>3259</v>
      </c>
      <c r="BZ47" s="140">
        <f t="shared" ref="BZ47:CD47" si="148">BZ45+BZ46</f>
        <v>3271</v>
      </c>
      <c r="CA47" s="140">
        <f t="shared" si="148"/>
        <v>2860</v>
      </c>
      <c r="CB47" s="140">
        <f t="shared" si="148"/>
        <v>2789</v>
      </c>
      <c r="CC47" s="140">
        <f t="shared" si="148"/>
        <v>4194</v>
      </c>
      <c r="CD47" s="140">
        <f t="shared" si="148"/>
        <v>1994</v>
      </c>
      <c r="CE47" s="140">
        <f>CE45+CE46</f>
        <v>3174</v>
      </c>
      <c r="CF47" s="140">
        <f>CF45+CF46</f>
        <v>2778</v>
      </c>
      <c r="CG47" s="140">
        <f t="shared" ref="CG47:CL47" si="149">CG45+CG46</f>
        <v>3329</v>
      </c>
      <c r="CH47" s="140">
        <f t="shared" si="149"/>
        <v>2621</v>
      </c>
      <c r="CI47" s="140">
        <f t="shared" si="149"/>
        <v>2320</v>
      </c>
      <c r="CJ47" s="140">
        <f t="shared" si="149"/>
        <v>3206.25</v>
      </c>
      <c r="CK47" s="140">
        <f t="shared" si="149"/>
        <v>3561.5999999999995</v>
      </c>
      <c r="CL47" s="140">
        <f t="shared" si="149"/>
        <v>2446.3499999999995</v>
      </c>
      <c r="CM47" s="140"/>
      <c r="CN47" s="140"/>
      <c r="CO47" s="140"/>
      <c r="CP47" s="140"/>
      <c r="CQ47" s="140"/>
      <c r="CR47" s="140"/>
      <c r="CS47" s="140"/>
      <c r="CT47" s="140"/>
      <c r="CU47" s="79"/>
      <c r="CV47" s="79">
        <f t="shared" ref="CV47:DB47" si="150">SUM(CV45:CV46)</f>
        <v>-200.375</v>
      </c>
      <c r="CW47" s="79">
        <f t="shared" si="150"/>
        <v>-201.09199999999998</v>
      </c>
      <c r="CX47" s="79">
        <f t="shared" si="150"/>
        <v>-299.08300000000003</v>
      </c>
      <c r="CY47" s="79">
        <f t="shared" si="150"/>
        <v>-307.62099999999998</v>
      </c>
      <c r="CZ47" s="79">
        <f t="shared" si="150"/>
        <v>-423.88799999999998</v>
      </c>
      <c r="DA47" s="79">
        <f t="shared" si="150"/>
        <v>-514.75000000000034</v>
      </c>
      <c r="DB47" s="17">
        <f t="shared" si="150"/>
        <v>-610.19460000000004</v>
      </c>
      <c r="DC47" s="82">
        <f>SUM(DC45:DC46)</f>
        <v>-754.62412138582215</v>
      </c>
      <c r="DD47" s="82">
        <f t="shared" ref="DD47:DI47" si="151">SUM(DD45:DD46)</f>
        <v>-1061.099093109437</v>
      </c>
      <c r="DE47" s="82">
        <f>SUM(DE45:DE46)</f>
        <v>-1328.76</v>
      </c>
      <c r="DF47" s="104">
        <f>SUM(DF45:DF46)</f>
        <v>3764.4770000000003</v>
      </c>
      <c r="DG47" s="104">
        <f>SUM(DG45:DG46)</f>
        <v>638.07099999999991</v>
      </c>
      <c r="DH47" s="82">
        <f t="shared" si="151"/>
        <v>3766.4480000000012</v>
      </c>
      <c r="DI47" s="82">
        <f t="shared" si="151"/>
        <v>3609.208000000001</v>
      </c>
      <c r="DJ47" s="82">
        <f>SUM(DJ45:DJ46)</f>
        <v>4559.1129999999985</v>
      </c>
      <c r="DK47" s="82">
        <f>SUM(DK45:DK46)</f>
        <v>17197.771799999999</v>
      </c>
      <c r="DL47" s="82">
        <f>SUM(DL45:DL46)</f>
        <v>21736.089270000004</v>
      </c>
      <c r="DM47" s="82">
        <f>SUM(DM45:DM46)</f>
        <v>23214.928458594251</v>
      </c>
      <c r="DN47" s="140">
        <f>SUM(DN45:DN46)</f>
        <v>-2243.9858380745568</v>
      </c>
      <c r="DO47" s="140">
        <f t="shared" ref="DO47:DV47" si="152">SUM(DO45:DO46)</f>
        <v>-2252.4568846132879</v>
      </c>
      <c r="DP47" s="140">
        <f t="shared" si="152"/>
        <v>-2260.9599093527031</v>
      </c>
      <c r="DQ47" s="140">
        <f t="shared" si="152"/>
        <v>6592.9849669894902</v>
      </c>
      <c r="DR47" s="140">
        <f t="shared" si="152"/>
        <v>8317.1534852398763</v>
      </c>
      <c r="DS47" s="140">
        <f t="shared" si="152"/>
        <v>7128.8707396466561</v>
      </c>
      <c r="DT47" s="79">
        <f t="shared" si="152"/>
        <v>5917.6222266888226</v>
      </c>
      <c r="DU47" s="79">
        <f t="shared" si="152"/>
        <v>-1201.6787494054274</v>
      </c>
      <c r="DV47" s="79">
        <f t="shared" si="152"/>
        <v>-1302.443086684433</v>
      </c>
      <c r="DW47" s="79"/>
      <c r="DX47" s="79"/>
      <c r="DY47" s="79"/>
      <c r="DZ47" s="79"/>
      <c r="EA47" s="79"/>
      <c r="EB47" s="79"/>
      <c r="EC47" s="79"/>
      <c r="ED47" s="79"/>
      <c r="EE47" s="79"/>
      <c r="EF47" s="79"/>
    </row>
    <row r="48" spans="2:136" s="17" customFormat="1" x14ac:dyDescent="0.2">
      <c r="B48" s="100" t="s">
        <v>641</v>
      </c>
      <c r="C48" s="82">
        <v>-0.96399999999999997</v>
      </c>
      <c r="D48" s="82">
        <v>0.63800000000000001</v>
      </c>
      <c r="E48" s="82">
        <v>0.55000000000000004</v>
      </c>
      <c r="F48" s="82">
        <v>1.0760000000000001</v>
      </c>
      <c r="G48" s="82">
        <v>2.66</v>
      </c>
      <c r="H48" s="82">
        <v>5.2750000000000004</v>
      </c>
      <c r="I48" s="82">
        <v>3.855</v>
      </c>
      <c r="J48" s="82">
        <v>-107.32</v>
      </c>
      <c r="K48" s="82">
        <v>51.41</v>
      </c>
      <c r="L48" s="82">
        <v>50.076000000000001</v>
      </c>
      <c r="M48" s="82">
        <v>53.289000000000001</v>
      </c>
      <c r="N48" s="82">
        <v>52.276000000000003</v>
      </c>
      <c r="O48" s="82">
        <v>73.935359999999989</v>
      </c>
      <c r="P48" s="82">
        <v>92.216999999999999</v>
      </c>
      <c r="Q48" s="82">
        <v>84.35596799999999</v>
      </c>
      <c r="R48" s="82">
        <v>97.434764999999985</v>
      </c>
      <c r="S48" s="82">
        <f>134.743+6.129</f>
        <v>140.87199999999999</v>
      </c>
      <c r="T48" s="82">
        <f>133.562+9.046</f>
        <v>142.608</v>
      </c>
      <c r="U48" s="82">
        <f>141.46+6.165</f>
        <v>147.625</v>
      </c>
      <c r="V48" s="82">
        <f>141.986+10.778</f>
        <v>152.76399999999998</v>
      </c>
      <c r="W48" s="82">
        <f>173.447+17.108</f>
        <v>190.55500000000001</v>
      </c>
      <c r="X48" s="82">
        <f>162.301+13.547</f>
        <v>175.84799999999998</v>
      </c>
      <c r="Y48" s="82">
        <v>177.702</v>
      </c>
      <c r="Z48" s="82">
        <v>141.59</v>
      </c>
      <c r="AA48" s="82">
        <f>193.389+10.135-1.875</f>
        <v>201.649</v>
      </c>
      <c r="AB48" s="82">
        <f>175.699+10.466-2.16</f>
        <v>184.00500000000002</v>
      </c>
      <c r="AC48" s="82">
        <f>192.675+11.513-2.16</f>
        <v>202.02800000000002</v>
      </c>
      <c r="AD48" s="83">
        <f>161.488+8.451-2.369</f>
        <v>167.57</v>
      </c>
      <c r="AE48" s="104">
        <v>-217</v>
      </c>
      <c r="AF48" s="104">
        <v>-196</v>
      </c>
      <c r="AG48" s="104">
        <v>-218</v>
      </c>
      <c r="AH48" s="104">
        <v>-276</v>
      </c>
      <c r="AI48" s="104">
        <v>-327</v>
      </c>
      <c r="AJ48" s="104">
        <v>-301</v>
      </c>
      <c r="AK48" s="104">
        <v>-276</v>
      </c>
      <c r="AL48" s="104">
        <v>-173</v>
      </c>
      <c r="AM48" s="104">
        <v>-227</v>
      </c>
      <c r="AN48" s="82">
        <v>240.13</v>
      </c>
      <c r="AO48" s="82">
        <v>-237.4</v>
      </c>
      <c r="AP48" s="82">
        <v>157.084</v>
      </c>
      <c r="AQ48" s="82">
        <v>231.3</v>
      </c>
      <c r="AR48" s="82">
        <v>263.52499999999998</v>
      </c>
      <c r="AS48" s="82">
        <f>280.052-4.47</f>
        <v>275.58199999999999</v>
      </c>
      <c r="AT48" s="82">
        <f>263.504-3.582</f>
        <v>259.92200000000003</v>
      </c>
      <c r="AU48" s="82">
        <v>222.43799999999999</v>
      </c>
      <c r="AV48" s="82">
        <f>307.981-4.987</f>
        <v>302.99399999999997</v>
      </c>
      <c r="AW48" s="82">
        <f>294.473-3.39</f>
        <v>291.08300000000003</v>
      </c>
      <c r="AX48" s="82">
        <v>326.041</v>
      </c>
      <c r="AY48" s="82">
        <v>725.88199999999995</v>
      </c>
      <c r="AZ48" s="82">
        <f>656.621-5.108</f>
        <v>651.51300000000003</v>
      </c>
      <c r="BA48" s="82">
        <f t="shared" ref="BA48:BB48" si="153">+BA47*0.25</f>
        <v>1027.682</v>
      </c>
      <c r="BB48" s="82">
        <f>768-25</f>
        <v>743</v>
      </c>
      <c r="BC48" s="82">
        <v>907</v>
      </c>
      <c r="BD48" s="82">
        <f>1014+5</f>
        <v>1019</v>
      </c>
      <c r="BE48" s="82">
        <f>880-8</f>
        <v>872</v>
      </c>
      <c r="BF48" s="82">
        <f>752+2</f>
        <v>754</v>
      </c>
      <c r="BG48" s="82">
        <f>935+1</f>
        <v>936</v>
      </c>
      <c r="BH48" s="82">
        <v>902</v>
      </c>
      <c r="BI48" s="82">
        <v>951</v>
      </c>
      <c r="BJ48" s="140">
        <f>821+9</f>
        <v>830</v>
      </c>
      <c r="BK48" s="140">
        <f>918-3</f>
        <v>915</v>
      </c>
      <c r="BL48" s="82">
        <v>1046</v>
      </c>
      <c r="BM48" s="82">
        <v>959</v>
      </c>
      <c r="BN48" s="140">
        <v>0</v>
      </c>
      <c r="BO48" s="140">
        <f>494+1</f>
        <v>495</v>
      </c>
      <c r="BP48" s="140">
        <f>267+2</f>
        <v>269</v>
      </c>
      <c r="BQ48" s="140">
        <f>565+2</f>
        <v>567</v>
      </c>
      <c r="BR48" s="140">
        <f>1013-588-14+189</f>
        <v>600</v>
      </c>
      <c r="BS48" s="140">
        <f>382-7+45</f>
        <v>420</v>
      </c>
      <c r="BT48" s="82">
        <f>535-5</f>
        <v>530</v>
      </c>
      <c r="BU48" s="140">
        <f>-333-3</f>
        <v>-336</v>
      </c>
      <c r="BV48" s="140">
        <f>-788-7+1240+93+5-133+189</f>
        <v>599</v>
      </c>
      <c r="BW48" s="140">
        <f>465-13+91-33</f>
        <v>510</v>
      </c>
      <c r="BX48" s="140">
        <v>373</v>
      </c>
      <c r="BY48" s="140">
        <v>518</v>
      </c>
      <c r="BZ48" s="140">
        <f>428+82</f>
        <v>510</v>
      </c>
      <c r="CA48" s="140">
        <v>282</v>
      </c>
      <c r="CB48" s="140">
        <v>300</v>
      </c>
      <c r="CC48" s="140">
        <v>740</v>
      </c>
      <c r="CD48" s="140">
        <v>375</v>
      </c>
      <c r="CE48" s="140">
        <v>498</v>
      </c>
      <c r="CF48" s="140">
        <v>368</v>
      </c>
      <c r="CG48" s="140">
        <f>646-3</f>
        <v>643</v>
      </c>
      <c r="CH48" s="140">
        <f>398-7</f>
        <v>391</v>
      </c>
      <c r="CI48" s="140">
        <f>316-26</f>
        <v>290</v>
      </c>
      <c r="CJ48" s="140">
        <f t="shared" ref="CJ48:CL48" si="154">+CJ47*0.2</f>
        <v>641.25</v>
      </c>
      <c r="CK48" s="140">
        <f t="shared" si="154"/>
        <v>712.31999999999994</v>
      </c>
      <c r="CL48" s="140">
        <f t="shared" si="154"/>
        <v>489.26999999999992</v>
      </c>
      <c r="CM48" s="140"/>
      <c r="CN48" s="140"/>
      <c r="CO48" s="140"/>
      <c r="CP48" s="140"/>
      <c r="CQ48" s="140"/>
      <c r="CR48" s="140"/>
      <c r="CS48" s="140"/>
      <c r="CT48" s="140"/>
      <c r="CU48" s="79"/>
      <c r="CV48" s="79">
        <v>0.88800000000000001</v>
      </c>
      <c r="CW48" s="79">
        <v>1.1990000000000001</v>
      </c>
      <c r="CX48" s="79">
        <v>4.1349999999999998</v>
      </c>
      <c r="CY48" s="79">
        <v>1.3</v>
      </c>
      <c r="CZ48" s="79">
        <v>-95.53</v>
      </c>
      <c r="DA48" s="79">
        <v>207.05099999999999</v>
      </c>
      <c r="DB48" s="17">
        <v>347.94309299999998</v>
      </c>
      <c r="DC48" s="82">
        <f>DC47*DC54</f>
        <v>-244.59241513956377</v>
      </c>
      <c r="DD48" s="82">
        <f>DD47*DD54</f>
        <v>0</v>
      </c>
      <c r="DE48" s="82">
        <f>SUM(AA48:AD48)</f>
        <v>755.25199999999995</v>
      </c>
      <c r="DF48" s="105">
        <f>SUM(AE48:AH48)</f>
        <v>-907</v>
      </c>
      <c r="DG48" s="104">
        <f>SUM(AI48:AL48)</f>
        <v>-1077</v>
      </c>
      <c r="DH48" s="82">
        <f t="shared" ref="DH48" si="155">DH47*DH54</f>
        <v>979.27648000000033</v>
      </c>
      <c r="DI48" s="93">
        <f t="shared" si="133"/>
        <v>1030.329</v>
      </c>
      <c r="DJ48" s="83">
        <f>SUM(AU48:AX48)</f>
        <v>1142.556</v>
      </c>
      <c r="DK48" s="82">
        <f>SUM(AY48:BB48)</f>
        <v>3148.0770000000002</v>
      </c>
      <c r="DL48" s="82">
        <f t="shared" ref="DL48:DV48" si="156">+DL47*0.245</f>
        <v>5325.3418711500008</v>
      </c>
      <c r="DM48" s="82">
        <f t="shared" si="156"/>
        <v>5687.6574723555914</v>
      </c>
      <c r="DN48" s="140">
        <f t="shared" si="156"/>
        <v>-549.7765303282664</v>
      </c>
      <c r="DO48" s="140">
        <f t="shared" si="156"/>
        <v>-551.85193673025549</v>
      </c>
      <c r="DP48" s="140">
        <f t="shared" si="156"/>
        <v>-553.93517779141223</v>
      </c>
      <c r="DQ48" s="140">
        <f t="shared" si="156"/>
        <v>1615.2813169124252</v>
      </c>
      <c r="DR48" s="140">
        <f t="shared" si="156"/>
        <v>2037.7026038837696</v>
      </c>
      <c r="DS48" s="140">
        <f t="shared" si="156"/>
        <v>1746.5733312134307</v>
      </c>
      <c r="DT48" s="79">
        <f t="shared" si="156"/>
        <v>1449.8174455387616</v>
      </c>
      <c r="DU48" s="79">
        <f t="shared" si="156"/>
        <v>-294.41129360432973</v>
      </c>
      <c r="DV48" s="79">
        <f t="shared" si="156"/>
        <v>-319.09855623768607</v>
      </c>
      <c r="DW48" s="79"/>
      <c r="DX48" s="79"/>
      <c r="DY48" s="79"/>
      <c r="DZ48" s="79"/>
      <c r="EA48" s="79"/>
      <c r="EB48" s="79"/>
      <c r="EC48" s="79"/>
      <c r="ED48" s="79"/>
      <c r="EE48" s="79"/>
      <c r="EF48" s="79"/>
    </row>
    <row r="49" spans="2:184" s="75" customFormat="1" x14ac:dyDescent="0.2">
      <c r="B49" s="75" t="s">
        <v>51</v>
      </c>
      <c r="C49" s="83">
        <f>C47-C48</f>
        <v>-70.224000000000004</v>
      </c>
      <c r="D49" s="83">
        <f t="shared" ref="D49:V49" si="157">D47-D48</f>
        <v>-71.934000000000012</v>
      </c>
      <c r="E49" s="83">
        <f t="shared" si="157"/>
        <v>-76.766999999999996</v>
      </c>
      <c r="F49" s="83">
        <f t="shared" si="157"/>
        <v>-89.995999999999995</v>
      </c>
      <c r="G49" s="83">
        <f t="shared" si="157"/>
        <v>-93.188000000000002</v>
      </c>
      <c r="H49" s="83">
        <f t="shared" si="157"/>
        <v>-106.39200000000001</v>
      </c>
      <c r="I49" s="83">
        <f t="shared" si="157"/>
        <v>-101.34</v>
      </c>
      <c r="J49" s="83">
        <f t="shared" si="157"/>
        <v>-27.437999999999988</v>
      </c>
      <c r="K49" s="83" t="e">
        <f t="shared" si="157"/>
        <v>#REF!</v>
      </c>
      <c r="L49" s="83" t="e">
        <f t="shared" si="157"/>
        <v>#REF!</v>
      </c>
      <c r="M49" s="83" t="e">
        <f t="shared" si="157"/>
        <v>#REF!</v>
      </c>
      <c r="N49" s="83" t="e">
        <f t="shared" si="157"/>
        <v>#REF!</v>
      </c>
      <c r="O49" s="83" t="e">
        <f t="shared" si="157"/>
        <v>#REF!</v>
      </c>
      <c r="P49" s="83" t="e">
        <f t="shared" si="157"/>
        <v>#REF!</v>
      </c>
      <c r="Q49" s="83" t="e">
        <f t="shared" si="157"/>
        <v>#REF!</v>
      </c>
      <c r="R49" s="83" t="e">
        <f t="shared" si="157"/>
        <v>#REF!</v>
      </c>
      <c r="S49" s="83" t="e">
        <f t="shared" si="157"/>
        <v>#REF!</v>
      </c>
      <c r="T49" s="83" t="e">
        <f t="shared" si="157"/>
        <v>#REF!</v>
      </c>
      <c r="U49" s="83" t="e">
        <f t="shared" si="157"/>
        <v>#REF!</v>
      </c>
      <c r="V49" s="83" t="e">
        <f t="shared" si="157"/>
        <v>#REF!</v>
      </c>
      <c r="W49" s="83" t="e">
        <f t="shared" ref="W49:AB49" si="158">W47-W48</f>
        <v>#REF!</v>
      </c>
      <c r="X49" s="83" t="e">
        <f t="shared" si="158"/>
        <v>#REF!</v>
      </c>
      <c r="Y49" s="83" t="e">
        <f t="shared" si="158"/>
        <v>#REF!</v>
      </c>
      <c r="Z49" s="83" t="e">
        <f t="shared" si="158"/>
        <v>#REF!</v>
      </c>
      <c r="AA49" s="83" t="e">
        <f t="shared" si="158"/>
        <v>#REF!</v>
      </c>
      <c r="AB49" s="83" t="e">
        <f t="shared" si="158"/>
        <v>#REF!</v>
      </c>
      <c r="AC49" s="83" t="e">
        <f t="shared" ref="AC49:AD49" si="159">AC47-AC48</f>
        <v>#REF!</v>
      </c>
      <c r="AD49" s="83" t="e">
        <f t="shared" si="159"/>
        <v>#REF!</v>
      </c>
      <c r="AE49" s="108">
        <f t="shared" ref="AE49:AO49" si="160">AE47+AE48</f>
        <v>619.88800000000015</v>
      </c>
      <c r="AF49" s="108">
        <f t="shared" si="160"/>
        <v>645.93999999999994</v>
      </c>
      <c r="AG49" s="108">
        <f t="shared" si="160"/>
        <v>727.98900000000049</v>
      </c>
      <c r="AH49" s="108">
        <f t="shared" si="160"/>
        <v>863.65999999999963</v>
      </c>
      <c r="AI49" s="108">
        <f t="shared" si="160"/>
        <v>-873.74499999999989</v>
      </c>
      <c r="AJ49" s="108">
        <f t="shared" si="160"/>
        <v>760.25399999999968</v>
      </c>
      <c r="AK49" s="108">
        <f t="shared" si="160"/>
        <v>759.79500000000007</v>
      </c>
      <c r="AL49" s="108">
        <f t="shared" si="160"/>
        <v>-1085.2329999999999</v>
      </c>
      <c r="AM49" s="108">
        <f t="shared" si="160"/>
        <v>623.67000000000019</v>
      </c>
      <c r="AN49" s="108">
        <f t="shared" si="160"/>
        <v>1222.7190000000001</v>
      </c>
      <c r="AO49" s="108">
        <f t="shared" si="160"/>
        <v>738.10000000000025</v>
      </c>
      <c r="AP49" s="108">
        <f>+AP47-AP48</f>
        <v>661.75899999999956</v>
      </c>
      <c r="AQ49" s="108">
        <f t="shared" ref="AQ49:AX49" si="161">+AQ47-AQ48</f>
        <v>437.53099999999955</v>
      </c>
      <c r="AR49" s="108">
        <f t="shared" si="161"/>
        <v>706.07399999999961</v>
      </c>
      <c r="AS49" s="108">
        <f t="shared" si="161"/>
        <v>675.50500000000022</v>
      </c>
      <c r="AT49" s="108">
        <f t="shared" si="161"/>
        <v>759.76899999999989</v>
      </c>
      <c r="AU49" s="108">
        <f t="shared" si="161"/>
        <v>717.71000000000049</v>
      </c>
      <c r="AV49" s="108">
        <f t="shared" si="161"/>
        <v>861.28700000000049</v>
      </c>
      <c r="AW49" s="108">
        <f t="shared" si="161"/>
        <v>887.86700000000019</v>
      </c>
      <c r="AX49" s="108">
        <f t="shared" si="161"/>
        <v>949.69300000000021</v>
      </c>
      <c r="AY49" s="108">
        <f>+AY47-AY48</f>
        <v>2509.6500000000024</v>
      </c>
      <c r="AZ49" s="126">
        <f>+AZ47-AZ48</f>
        <v>3942.4540000000006</v>
      </c>
      <c r="BA49" s="108">
        <f t="shared" ref="BA49:BC49" si="162">+BA47-BA48</f>
        <v>3083.0460000000003</v>
      </c>
      <c r="BB49" s="108">
        <f t="shared" si="162"/>
        <v>3926</v>
      </c>
      <c r="BC49" s="108">
        <f t="shared" si="162"/>
        <v>4630</v>
      </c>
      <c r="BD49" s="108">
        <f>BD47-BD48</f>
        <v>4869</v>
      </c>
      <c r="BE49" s="108">
        <f>BE47-BE48</f>
        <v>4600</v>
      </c>
      <c r="BF49" s="142">
        <f t="shared" ref="BF49:BG49" si="163">BF47-BF48</f>
        <v>4919</v>
      </c>
      <c r="BG49" s="142">
        <f t="shared" si="163"/>
        <v>4319</v>
      </c>
      <c r="BH49" s="142">
        <f t="shared" ref="BH49:BM49" si="164">BH47-BH48</f>
        <v>3497</v>
      </c>
      <c r="BI49" s="142">
        <f t="shared" si="164"/>
        <v>3325</v>
      </c>
      <c r="BJ49" s="142">
        <f t="shared" si="164"/>
        <v>3608</v>
      </c>
      <c r="BK49" s="142">
        <f t="shared" si="164"/>
        <v>3001</v>
      </c>
      <c r="BL49" s="142">
        <f t="shared" si="164"/>
        <v>3069</v>
      </c>
      <c r="BM49" s="142">
        <f t="shared" si="164"/>
        <v>2712</v>
      </c>
      <c r="BN49" s="142">
        <f t="shared" ref="BN49:BP49" si="165">BN47-BN48</f>
        <v>3050</v>
      </c>
      <c r="BO49" s="142">
        <f t="shared" si="165"/>
        <v>2043</v>
      </c>
      <c r="BP49" s="142">
        <f t="shared" si="165"/>
        <v>2613</v>
      </c>
      <c r="BQ49" s="142">
        <f>BQ47-BQ48</f>
        <v>2097</v>
      </c>
      <c r="BR49" s="142">
        <f>BR47-BR48</f>
        <v>1873</v>
      </c>
      <c r="BS49" s="142">
        <f t="shared" ref="BS49:BT49" si="166">BS47-BS48</f>
        <v>2141</v>
      </c>
      <c r="BT49" s="142">
        <f t="shared" si="166"/>
        <v>2433</v>
      </c>
      <c r="BU49" s="142">
        <f t="shared" ref="BU49" si="167">BU47-BU48</f>
        <v>-1165</v>
      </c>
      <c r="BV49" s="142">
        <f>BV47-BV48</f>
        <v>1435</v>
      </c>
      <c r="BW49" s="142">
        <f t="shared" ref="BW49" si="168">BW47-BW48</f>
        <v>2139</v>
      </c>
      <c r="BX49" s="142">
        <f t="shared" ref="BX49:CD49" si="169">BX47-BX48</f>
        <v>1632</v>
      </c>
      <c r="BY49" s="142">
        <f t="shared" si="169"/>
        <v>2741</v>
      </c>
      <c r="BZ49" s="142">
        <f t="shared" si="169"/>
        <v>2761</v>
      </c>
      <c r="CA49" s="142">
        <f t="shared" si="169"/>
        <v>2578</v>
      </c>
      <c r="CB49" s="142">
        <f t="shared" si="169"/>
        <v>2489</v>
      </c>
      <c r="CC49" s="142">
        <f t="shared" si="169"/>
        <v>3454</v>
      </c>
      <c r="CD49" s="142">
        <f t="shared" si="169"/>
        <v>1619</v>
      </c>
      <c r="CE49" s="142">
        <f>CE47-CE48</f>
        <v>2676</v>
      </c>
      <c r="CF49" s="142">
        <f>CF47-CF48</f>
        <v>2410</v>
      </c>
      <c r="CG49" s="142">
        <f t="shared" ref="CG49:CL49" si="170">CG47-CG48</f>
        <v>2686</v>
      </c>
      <c r="CH49" s="142">
        <f t="shared" si="170"/>
        <v>2230</v>
      </c>
      <c r="CI49" s="142">
        <f t="shared" si="170"/>
        <v>2030</v>
      </c>
      <c r="CJ49" s="142">
        <f t="shared" si="170"/>
        <v>2565</v>
      </c>
      <c r="CK49" s="142">
        <f t="shared" si="170"/>
        <v>2849.2799999999997</v>
      </c>
      <c r="CL49" s="142">
        <f t="shared" si="170"/>
        <v>1957.0799999999995</v>
      </c>
      <c r="CM49" s="142"/>
      <c r="CN49" s="142"/>
      <c r="CO49" s="142"/>
      <c r="CP49" s="142"/>
      <c r="CQ49" s="142"/>
      <c r="CR49" s="142"/>
      <c r="CS49" s="142"/>
      <c r="CT49" s="142"/>
      <c r="CU49" s="155"/>
      <c r="CV49" s="155">
        <f t="shared" ref="CV49:DU49" si="171">CV47-CV48</f>
        <v>-201.26300000000001</v>
      </c>
      <c r="CW49" s="155">
        <f t="shared" si="171"/>
        <v>-202.291</v>
      </c>
      <c r="CX49" s="155">
        <f t="shared" si="171"/>
        <v>-303.21800000000002</v>
      </c>
      <c r="CY49" s="155">
        <f t="shared" si="171"/>
        <v>-308.92099999999999</v>
      </c>
      <c r="CZ49" s="155">
        <f t="shared" si="171"/>
        <v>-328.35799999999995</v>
      </c>
      <c r="DA49" s="155">
        <f t="shared" si="171"/>
        <v>-721.80100000000039</v>
      </c>
      <c r="DB49" s="75">
        <f t="shared" si="171"/>
        <v>-958.13769300000001</v>
      </c>
      <c r="DC49" s="83">
        <f t="shared" si="171"/>
        <v>-510.03170624625841</v>
      </c>
      <c r="DD49" s="83">
        <f t="shared" si="171"/>
        <v>-1061.099093109437</v>
      </c>
      <c r="DE49" s="83">
        <f>DE47-DE48</f>
        <v>-2084.0119999999997</v>
      </c>
      <c r="DF49" s="105">
        <f>DF47-DF48</f>
        <v>4671.4770000000008</v>
      </c>
      <c r="DG49" s="105">
        <f>DG47-DG48</f>
        <v>1715.0709999999999</v>
      </c>
      <c r="DH49" s="83">
        <f t="shared" si="171"/>
        <v>2787.1715200000008</v>
      </c>
      <c r="DI49" s="83">
        <f t="shared" si="171"/>
        <v>2578.8790000000008</v>
      </c>
      <c r="DJ49" s="83">
        <f>DJ47-DJ48</f>
        <v>3416.5569999999984</v>
      </c>
      <c r="DK49" s="93">
        <f>DK47-DK48</f>
        <v>14049.694799999997</v>
      </c>
      <c r="DL49" s="93">
        <f t="shared" si="171"/>
        <v>16410.747398850002</v>
      </c>
      <c r="DM49" s="93">
        <f t="shared" si="171"/>
        <v>17527.270986238662</v>
      </c>
      <c r="DN49" s="142">
        <f t="shared" si="171"/>
        <v>-1694.2093077462905</v>
      </c>
      <c r="DO49" s="142">
        <f t="shared" si="171"/>
        <v>-1700.6049478830323</v>
      </c>
      <c r="DP49" s="142">
        <f t="shared" si="171"/>
        <v>-1707.024731561291</v>
      </c>
      <c r="DQ49" s="139">
        <f t="shared" si="171"/>
        <v>4977.7036500770646</v>
      </c>
      <c r="DR49" s="142">
        <f t="shared" si="171"/>
        <v>6279.4508813561069</v>
      </c>
      <c r="DS49" s="142">
        <f t="shared" si="171"/>
        <v>5382.2974084332254</v>
      </c>
      <c r="DT49" s="155">
        <f t="shared" si="171"/>
        <v>4467.804781150061</v>
      </c>
      <c r="DU49" s="155">
        <f t="shared" si="171"/>
        <v>-907.26745580109764</v>
      </c>
      <c r="DV49" s="155">
        <f>DV47-DV48</f>
        <v>-983.34453044674683</v>
      </c>
      <c r="DW49" s="155">
        <f>+DV49*(1+$EA$54)</f>
        <v>-934.17730392440944</v>
      </c>
      <c r="DX49" s="155">
        <f t="shared" ref="DX49:GB49" si="172">+DW49*(1+$EA$54)</f>
        <v>-887.46843872818897</v>
      </c>
      <c r="DY49" s="155">
        <f t="shared" si="172"/>
        <v>-843.09501679177947</v>
      </c>
      <c r="DZ49" s="155">
        <f t="shared" si="172"/>
        <v>-800.94026595219043</v>
      </c>
      <c r="EA49" s="155">
        <f t="shared" si="172"/>
        <v>-760.89325265458092</v>
      </c>
      <c r="EB49" s="155">
        <f t="shared" si="172"/>
        <v>-722.84859002185181</v>
      </c>
      <c r="EC49" s="155">
        <f t="shared" si="172"/>
        <v>-686.70616052075923</v>
      </c>
      <c r="ED49" s="155">
        <f t="shared" si="172"/>
        <v>-652.37085249472125</v>
      </c>
      <c r="EE49" s="155">
        <f t="shared" si="172"/>
        <v>-619.7523098699852</v>
      </c>
      <c r="EF49" s="155">
        <f t="shared" si="172"/>
        <v>-588.76469437648586</v>
      </c>
      <c r="EG49" s="75">
        <f t="shared" si="172"/>
        <v>-559.32645965766153</v>
      </c>
      <c r="EH49" s="75">
        <f t="shared" si="172"/>
        <v>-531.36013667477846</v>
      </c>
      <c r="EI49" s="75">
        <f t="shared" si="172"/>
        <v>-504.79212984103953</v>
      </c>
      <c r="EJ49" s="75">
        <f t="shared" si="172"/>
        <v>-479.55252334898751</v>
      </c>
      <c r="EK49" s="75">
        <f t="shared" si="172"/>
        <v>-455.57489718153812</v>
      </c>
      <c r="EL49" s="75">
        <f t="shared" si="172"/>
        <v>-432.79615232246118</v>
      </c>
      <c r="EM49" s="75">
        <f t="shared" si="172"/>
        <v>-411.15634470633813</v>
      </c>
      <c r="EN49" s="75">
        <f t="shared" si="172"/>
        <v>-390.59852747102121</v>
      </c>
      <c r="EO49" s="75">
        <f t="shared" si="172"/>
        <v>-371.06860109747015</v>
      </c>
      <c r="EP49" s="75">
        <f t="shared" si="172"/>
        <v>-352.51517104259665</v>
      </c>
      <c r="EQ49" s="75">
        <f t="shared" si="172"/>
        <v>-334.88941249046678</v>
      </c>
      <c r="ER49" s="75">
        <f t="shared" si="172"/>
        <v>-318.14494186594345</v>
      </c>
      <c r="ES49" s="75">
        <f t="shared" si="172"/>
        <v>-302.23769477264625</v>
      </c>
      <c r="ET49" s="75">
        <f t="shared" si="172"/>
        <v>-287.12581003401391</v>
      </c>
      <c r="EU49" s="75">
        <f t="shared" si="172"/>
        <v>-272.76951953231321</v>
      </c>
      <c r="EV49" s="75">
        <f t="shared" si="172"/>
        <v>-259.13104355569754</v>
      </c>
      <c r="EW49" s="75">
        <f t="shared" si="172"/>
        <v>-246.17449137791266</v>
      </c>
      <c r="EX49" s="75">
        <f t="shared" si="172"/>
        <v>-233.865766809017</v>
      </c>
      <c r="EY49" s="75">
        <f t="shared" si="172"/>
        <v>-222.17247846856614</v>
      </c>
      <c r="EZ49" s="75">
        <f t="shared" si="172"/>
        <v>-211.06385454513781</v>
      </c>
      <c r="FA49" s="75">
        <f t="shared" si="172"/>
        <v>-200.5106618178809</v>
      </c>
      <c r="FB49" s="75">
        <f t="shared" si="172"/>
        <v>-190.48512872698686</v>
      </c>
      <c r="FC49" s="75">
        <f t="shared" si="172"/>
        <v>-180.9608722906375</v>
      </c>
      <c r="FD49" s="75">
        <f t="shared" si="172"/>
        <v>-171.91282867610562</v>
      </c>
      <c r="FE49" s="75">
        <f t="shared" si="172"/>
        <v>-163.31718724230032</v>
      </c>
      <c r="FF49" s="75">
        <f t="shared" si="172"/>
        <v>-155.15132788018531</v>
      </c>
      <c r="FG49" s="75">
        <f t="shared" si="172"/>
        <v>-147.39376148617603</v>
      </c>
      <c r="FH49" s="75">
        <f t="shared" si="172"/>
        <v>-140.02407341186722</v>
      </c>
      <c r="FI49" s="75">
        <f t="shared" si="172"/>
        <v>-133.02286974127387</v>
      </c>
      <c r="FJ49" s="75">
        <f t="shared" si="172"/>
        <v>-126.37172625421016</v>
      </c>
      <c r="FK49" s="75">
        <f t="shared" si="172"/>
        <v>-120.05313994149965</v>
      </c>
      <c r="FL49" s="75">
        <f t="shared" si="172"/>
        <v>-114.05048294442466</v>
      </c>
      <c r="FM49" s="75">
        <f t="shared" si="172"/>
        <v>-108.34795879720342</v>
      </c>
      <c r="FN49" s="75">
        <f t="shared" si="172"/>
        <v>-102.93056085734324</v>
      </c>
      <c r="FO49" s="75">
        <f t="shared" si="172"/>
        <v>-97.784032814476078</v>
      </c>
      <c r="FP49" s="75">
        <f t="shared" si="172"/>
        <v>-92.894831173752266</v>
      </c>
      <c r="FQ49" s="75">
        <f t="shared" si="172"/>
        <v>-88.250089615064653</v>
      </c>
      <c r="FR49" s="75">
        <f t="shared" si="172"/>
        <v>-83.837585134311411</v>
      </c>
      <c r="FS49" s="75">
        <f t="shared" si="172"/>
        <v>-79.64570587759583</v>
      </c>
      <c r="FT49" s="75">
        <f t="shared" si="172"/>
        <v>-75.663420583716032</v>
      </c>
      <c r="FU49" s="75">
        <f t="shared" si="172"/>
        <v>-71.880249554530224</v>
      </c>
      <c r="FV49" s="75">
        <f t="shared" si="172"/>
        <v>-68.286237076803715</v>
      </c>
      <c r="FW49" s="75">
        <f t="shared" si="172"/>
        <v>-64.871925222963526</v>
      </c>
      <c r="FX49" s="75">
        <f t="shared" si="172"/>
        <v>-61.628328961815349</v>
      </c>
      <c r="FY49" s="75">
        <f t="shared" si="172"/>
        <v>-58.546912513724578</v>
      </c>
      <c r="FZ49" s="75">
        <f t="shared" si="172"/>
        <v>-55.619566888038349</v>
      </c>
      <c r="GA49" s="75">
        <f t="shared" si="172"/>
        <v>-52.838588543636426</v>
      </c>
      <c r="GB49" s="75">
        <f t="shared" si="172"/>
        <v>-50.196659116454605</v>
      </c>
    </row>
    <row r="50" spans="2:184" s="15" customFormat="1" x14ac:dyDescent="0.2">
      <c r="B50" s="15" t="s">
        <v>20</v>
      </c>
      <c r="C50" s="131">
        <f>C49/C51</f>
        <v>-0.1811764705882353</v>
      </c>
      <c r="D50" s="131">
        <f t="shared" ref="D50:V50" si="173">D49/D51</f>
        <v>-0.17427138600188971</v>
      </c>
      <c r="E50" s="131">
        <f t="shared" si="173"/>
        <v>-0.18618306169965074</v>
      </c>
      <c r="F50" s="131">
        <f t="shared" si="173"/>
        <v>-0.21697076068507945</v>
      </c>
      <c r="G50" s="131">
        <f t="shared" si="173"/>
        <v>-0.23493404864668629</v>
      </c>
      <c r="H50" s="131">
        <f t="shared" si="173"/>
        <v>-0.23094555873925504</v>
      </c>
      <c r="I50" s="131">
        <f t="shared" si="173"/>
        <v>-0.21706535522122075</v>
      </c>
      <c r="J50" s="131">
        <f t="shared" si="173"/>
        <v>-5.9655347848206919E-2</v>
      </c>
      <c r="K50" s="131" t="e">
        <f t="shared" si="173"/>
        <v>#REF!</v>
      </c>
      <c r="L50" s="131" t="e">
        <f t="shared" si="173"/>
        <v>#REF!</v>
      </c>
      <c r="M50" s="131" t="e">
        <f t="shared" si="173"/>
        <v>#REF!</v>
      </c>
      <c r="N50" s="131" t="e">
        <f t="shared" si="173"/>
        <v>#REF!</v>
      </c>
      <c r="O50" s="131" t="e">
        <f t="shared" si="173"/>
        <v>#REF!</v>
      </c>
      <c r="P50" s="131" t="e">
        <f t="shared" si="173"/>
        <v>#REF!</v>
      </c>
      <c r="Q50" s="131" t="e">
        <f t="shared" si="173"/>
        <v>#REF!</v>
      </c>
      <c r="R50" s="131" t="e">
        <f t="shared" si="173"/>
        <v>#REF!</v>
      </c>
      <c r="S50" s="131" t="e">
        <f t="shared" si="173"/>
        <v>#REF!</v>
      </c>
      <c r="T50" s="131" t="e">
        <f t="shared" si="173"/>
        <v>#REF!</v>
      </c>
      <c r="U50" s="131" t="e">
        <f t="shared" si="173"/>
        <v>#REF!</v>
      </c>
      <c r="V50" s="131" t="e">
        <f t="shared" si="173"/>
        <v>#REF!</v>
      </c>
      <c r="W50" s="131" t="e">
        <f t="shared" ref="W50:AD50" si="174">W49/W51</f>
        <v>#REF!</v>
      </c>
      <c r="X50" s="131" t="e">
        <f t="shared" si="174"/>
        <v>#REF!</v>
      </c>
      <c r="Y50" s="131" t="e">
        <f t="shared" si="174"/>
        <v>#REF!</v>
      </c>
      <c r="Z50" s="131" t="e">
        <f t="shared" si="174"/>
        <v>#REF!</v>
      </c>
      <c r="AA50" s="131" t="e">
        <f t="shared" si="174"/>
        <v>#REF!</v>
      </c>
      <c r="AB50" s="131" t="e">
        <f t="shared" si="174"/>
        <v>#REF!</v>
      </c>
      <c r="AC50" s="131" t="e">
        <f t="shared" si="174"/>
        <v>#REF!</v>
      </c>
      <c r="AD50" s="131" t="e">
        <f t="shared" si="174"/>
        <v>#REF!</v>
      </c>
      <c r="AE50" s="132">
        <f t="shared" ref="AE50:AO50" si="175">AE49/AE51</f>
        <v>0.6571636357468319</v>
      </c>
      <c r="AF50" s="132">
        <f t="shared" si="175"/>
        <v>0.69121011529085952</v>
      </c>
      <c r="AG50" s="132">
        <f>AG49/AG51</f>
        <v>0.78074888677254184</v>
      </c>
      <c r="AH50" s="132">
        <f t="shared" si="175"/>
        <v>0.93236102189859771</v>
      </c>
      <c r="AI50" s="132">
        <f t="shared" si="175"/>
        <v>-0.94187556930572991</v>
      </c>
      <c r="AJ50" s="132">
        <f t="shared" si="175"/>
        <v>0.84589870631864328</v>
      </c>
      <c r="AK50" s="132">
        <f t="shared" si="175"/>
        <v>0.89680109722530432</v>
      </c>
      <c r="AL50" s="132">
        <f t="shared" si="175"/>
        <v>-1.3204098840357177</v>
      </c>
      <c r="AM50" s="132">
        <f>AM49/AM51</f>
        <v>0.76820178923135507</v>
      </c>
      <c r="AN50" s="132">
        <f t="shared" si="175"/>
        <v>1.5060768090932271</v>
      </c>
      <c r="AO50" s="131">
        <f t="shared" si="175"/>
        <v>0.92032418952618489</v>
      </c>
      <c r="AP50" s="131">
        <f t="shared" ref="AP50:AY50" si="176">AP49/AP51</f>
        <v>0.8635476285549486</v>
      </c>
      <c r="AQ50" s="131">
        <f t="shared" si="176"/>
        <v>0.56282191132355985</v>
      </c>
      <c r="AR50" s="131">
        <f t="shared" si="176"/>
        <v>0.90463622316804693</v>
      </c>
      <c r="AS50" s="131">
        <f t="shared" si="176"/>
        <v>0.85258309941638599</v>
      </c>
      <c r="AT50" s="131">
        <f t="shared" si="176"/>
        <v>0.46414008096819726</v>
      </c>
      <c r="AU50" s="131">
        <f t="shared" si="176"/>
        <v>0.4310415240291644</v>
      </c>
      <c r="AV50" s="131">
        <f t="shared" si="176"/>
        <v>0.50826076360059202</v>
      </c>
      <c r="AW50" s="131">
        <f t="shared" si="176"/>
        <v>0.5247757252505767</v>
      </c>
      <c r="AX50" s="131">
        <f t="shared" si="176"/>
        <v>0.56062160566706032</v>
      </c>
      <c r="AY50" s="131">
        <f t="shared" si="176"/>
        <v>1.4939540000392901</v>
      </c>
      <c r="AZ50" s="131">
        <f>AZ49/AZ51</f>
        <v>2.3686724765157732</v>
      </c>
      <c r="BA50" s="131">
        <f t="shared" ref="BA50:BE50" si="177">BA49/BA51</f>
        <v>1.8199799291617476</v>
      </c>
      <c r="BB50" s="131">
        <f t="shared" si="177"/>
        <v>2.4583594239198496</v>
      </c>
      <c r="BC50" s="131">
        <f t="shared" si="177"/>
        <v>2.9509241555130656</v>
      </c>
      <c r="BD50" s="131">
        <f t="shared" si="177"/>
        <v>3.1616883116883119</v>
      </c>
      <c r="BE50" s="131">
        <f t="shared" si="177"/>
        <v>3.0605455755156354</v>
      </c>
      <c r="BF50" s="143">
        <f t="shared" ref="BF50:BG50" si="178">BF49/BF51</f>
        <v>3.3417119565217392</v>
      </c>
      <c r="BG50" s="143">
        <f t="shared" si="178"/>
        <v>3.0587818696883851</v>
      </c>
      <c r="BH50" s="143">
        <f t="shared" ref="BH50:BM50" si="179">BH49/BH51</f>
        <v>2.5808118081180811</v>
      </c>
      <c r="BI50" s="143">
        <f t="shared" si="179"/>
        <v>2.4831964152352501</v>
      </c>
      <c r="BJ50" s="143">
        <f t="shared" si="179"/>
        <v>2.7189148455162018</v>
      </c>
      <c r="BK50" s="143">
        <f t="shared" si="179"/>
        <v>2.2734848484848484</v>
      </c>
      <c r="BL50" s="143">
        <f t="shared" si="179"/>
        <v>2.3302961275626424</v>
      </c>
      <c r="BM50" s="143">
        <f t="shared" si="179"/>
        <v>2.0561031084154662</v>
      </c>
      <c r="BN50" s="143">
        <f t="shared" ref="BN50:BO50" si="180">BN49/BN51</f>
        <v>2.3335883703136955</v>
      </c>
      <c r="BO50" s="143">
        <f t="shared" si="180"/>
        <v>1.5477272727272726</v>
      </c>
      <c r="BP50" s="143">
        <f t="shared" ref="BP50:BQ50" si="181">BP49/BP51</f>
        <v>1.9977064220183487</v>
      </c>
      <c r="BQ50" s="143">
        <f t="shared" si="181"/>
        <v>1.6044376434583014</v>
      </c>
      <c r="BR50" s="143">
        <f t="shared" ref="BR50:BT50" si="182">BR49/BR51</f>
        <v>1.4418783679753657</v>
      </c>
      <c r="BS50" s="143">
        <f t="shared" si="182"/>
        <v>1.6687451286048325</v>
      </c>
      <c r="BT50" s="143">
        <f t="shared" si="182"/>
        <v>1.9052466718872356</v>
      </c>
      <c r="BU50" s="143">
        <f t="shared" ref="BU50" si="183">BU49/BU51</f>
        <v>-0.91949486977111283</v>
      </c>
      <c r="BV50" s="143">
        <f t="shared" ref="BV50:BW50" si="184">BV49/BV51</f>
        <v>1.1272584446190101</v>
      </c>
      <c r="BW50" s="143">
        <f t="shared" si="184"/>
        <v>1.684251968503937</v>
      </c>
      <c r="BX50" s="143">
        <f t="shared" ref="BX50:CA50" si="185">BX49/BX51</f>
        <v>1.300398406374502</v>
      </c>
      <c r="BY50" s="143">
        <f t="shared" si="185"/>
        <v>2.1736716891356065</v>
      </c>
      <c r="BZ50" s="143">
        <f t="shared" si="185"/>
        <v>2.193010325655282</v>
      </c>
      <c r="CA50" s="143">
        <f t="shared" si="185"/>
        <v>2.0427892234548337</v>
      </c>
      <c r="CB50" s="143">
        <f t="shared" ref="CB50" si="186">CB49/CB51</f>
        <v>1.9753968253968255</v>
      </c>
      <c r="CC50" s="143">
        <f t="shared" ref="CC50:CD50" si="187">CC49/CC51</f>
        <v>2.7369255150554674</v>
      </c>
      <c r="CD50" s="143">
        <f t="shared" si="187"/>
        <v>1.2828843106180665</v>
      </c>
      <c r="CE50" s="143">
        <f>CE49/CE51</f>
        <v>2.1204437400950873</v>
      </c>
      <c r="CF50" s="143">
        <f>CF49/CF51</f>
        <v>1.9126984126984128</v>
      </c>
      <c r="CG50" s="143">
        <f t="shared" ref="CG50" si="188">CG49/CG51</f>
        <v>2.1300555114988104</v>
      </c>
      <c r="CH50" s="143">
        <f t="shared" ref="CH50" si="189">CH49/CH51</f>
        <v>1.764240506329114</v>
      </c>
      <c r="CI50" s="143">
        <f t="shared" ref="CI50" si="190">CI49/CI51</f>
        <v>1.6098334655035687</v>
      </c>
      <c r="CJ50" s="143">
        <f t="shared" ref="CJ50" si="191">CJ49/CJ51</f>
        <v>2.0340999206978587</v>
      </c>
      <c r="CK50" s="143">
        <f t="shared" ref="CK50" si="192">CK49/CK51</f>
        <v>2.2595400475812846</v>
      </c>
      <c r="CL50" s="143">
        <f t="shared" ref="CL50" si="193">CL49/CL51</f>
        <v>1.5520063441712921</v>
      </c>
      <c r="CM50" s="143"/>
      <c r="CN50" s="143"/>
      <c r="CO50" s="143"/>
      <c r="CP50" s="143"/>
      <c r="CQ50" s="143"/>
      <c r="CR50" s="143"/>
      <c r="CS50" s="143"/>
      <c r="CT50" s="143"/>
      <c r="CU50" s="13"/>
      <c r="CV50" s="156">
        <f t="shared" ref="CV50:DH50" si="194">CV49/CV51</f>
        <v>-0.58744053004874341</v>
      </c>
      <c r="CW50" s="156">
        <f t="shared" si="194"/>
        <v>-0.55544236926067692</v>
      </c>
      <c r="CX50" s="156">
        <f t="shared" si="194"/>
        <v>-0.7493488070936779</v>
      </c>
      <c r="CY50" s="156">
        <f t="shared" si="194"/>
        <v>-0.74807605689737833</v>
      </c>
      <c r="CZ50" s="156">
        <f t="shared" si="194"/>
        <v>-0.81638447577136308</v>
      </c>
      <c r="DA50" s="156">
        <f t="shared" si="194"/>
        <v>-1.5622941753866506</v>
      </c>
      <c r="DB50" s="133">
        <f t="shared" si="194"/>
        <v>-2.0220124848713792</v>
      </c>
      <c r="DC50" s="131"/>
      <c r="DD50" s="131">
        <f t="shared" si="194"/>
        <v>-1.0998806083911572</v>
      </c>
      <c r="DE50" s="131">
        <f>DE49/DE51</f>
        <v>-2.1692810134356204</v>
      </c>
      <c r="DF50" s="132">
        <f>DF49/DF51</f>
        <v>5.00088130061022</v>
      </c>
      <c r="DG50" s="132">
        <f>DG49/DG51</f>
        <v>1.9625837174660143</v>
      </c>
      <c r="DH50" s="131">
        <f t="shared" si="194"/>
        <v>3.3911692913050526</v>
      </c>
      <c r="DI50" s="131">
        <f t="shared" ref="DI50:DN50" si="195">DI49/DI51</f>
        <v>2.5871987844912288</v>
      </c>
      <c r="DJ50" s="131">
        <f t="shared" si="195"/>
        <v>2.025966509698637</v>
      </c>
      <c r="DK50" s="131">
        <f t="shared" si="195"/>
        <v>8.469684532060862</v>
      </c>
      <c r="DL50" s="131">
        <f t="shared" si="195"/>
        <v>9.8930158542374826</v>
      </c>
      <c r="DM50" s="131">
        <f t="shared" si="195"/>
        <v>10.566098272923677</v>
      </c>
      <c r="DN50" s="143">
        <f t="shared" si="195"/>
        <v>-1.0213331016907428</v>
      </c>
      <c r="DO50" s="143">
        <f t="shared" ref="DO50:DQ50" si="196">DO49/DO51</f>
        <v>-1.025188634149625</v>
      </c>
      <c r="DP50" s="143">
        <f t="shared" si="196"/>
        <v>-1.02905872124354</v>
      </c>
      <c r="DQ50" s="143">
        <f t="shared" si="196"/>
        <v>3.000747006279497</v>
      </c>
      <c r="DR50" s="143">
        <f t="shared" ref="DR50:DV50" si="197">DR49/DR51</f>
        <v>3.7854892050507587</v>
      </c>
      <c r="DS50" s="143">
        <f t="shared" si="197"/>
        <v>3.2446513433984459</v>
      </c>
      <c r="DT50" s="156">
        <f t="shared" si="197"/>
        <v>2.6933607872517089</v>
      </c>
      <c r="DU50" s="156">
        <f t="shared" si="197"/>
        <v>-0.54693495098845635</v>
      </c>
      <c r="DV50" s="156">
        <f t="shared" si="197"/>
        <v>-0.59279707337211796</v>
      </c>
      <c r="DW50" s="13"/>
      <c r="DX50" s="13"/>
      <c r="DY50" s="13"/>
      <c r="DZ50" s="13"/>
      <c r="EA50" s="13"/>
      <c r="EB50" s="13"/>
      <c r="EC50" s="13"/>
      <c r="ED50" s="13"/>
      <c r="EE50" s="13"/>
      <c r="EF50" s="13"/>
    </row>
    <row r="51" spans="2:184" s="17" customFormat="1" x14ac:dyDescent="0.2">
      <c r="B51" s="75" t="s">
        <v>21</v>
      </c>
      <c r="C51" s="82">
        <v>387.6</v>
      </c>
      <c r="D51" s="82">
        <v>412.77</v>
      </c>
      <c r="E51" s="82">
        <v>412.32</v>
      </c>
      <c r="F51" s="82">
        <v>414.78399999999999</v>
      </c>
      <c r="G51" s="82">
        <v>396.65600000000001</v>
      </c>
      <c r="H51" s="82">
        <v>460.68</v>
      </c>
      <c r="I51" s="82">
        <v>466.86399999999998</v>
      </c>
      <c r="J51" s="82">
        <v>459.94200000000001</v>
      </c>
      <c r="K51" s="82">
        <v>460.40199999999999</v>
      </c>
      <c r="L51" s="82">
        <v>461.97800000000001</v>
      </c>
      <c r="M51" s="82">
        <v>465.47399999999999</v>
      </c>
      <c r="N51" s="82">
        <v>460.2</v>
      </c>
      <c r="O51" s="82">
        <v>467.61900000000003</v>
      </c>
      <c r="P51" s="82">
        <v>472.59500000000003</v>
      </c>
      <c r="Q51" s="82">
        <v>476</v>
      </c>
      <c r="R51" s="82">
        <v>479.2</v>
      </c>
      <c r="S51" s="82">
        <v>483</v>
      </c>
      <c r="T51" s="82">
        <v>476.74599999999998</v>
      </c>
      <c r="U51" s="82">
        <v>457.43299999999999</v>
      </c>
      <c r="V51" s="82">
        <v>460.09899999999999</v>
      </c>
      <c r="W51" s="82">
        <f>481.358*2</f>
        <v>962.71600000000001</v>
      </c>
      <c r="X51" s="82">
        <v>967.928</v>
      </c>
      <c r="Y51" s="82">
        <v>959.04300000000001</v>
      </c>
      <c r="Z51" s="82">
        <v>969.274</v>
      </c>
      <c r="AA51" s="82">
        <v>968.67499999999995</v>
      </c>
      <c r="AB51" s="82">
        <v>968.06600000000003</v>
      </c>
      <c r="AC51" s="82">
        <v>962.50900000000001</v>
      </c>
      <c r="AD51" s="82">
        <v>943.52</v>
      </c>
      <c r="AE51" s="104">
        <v>943.27800000000002</v>
      </c>
      <c r="AF51" s="104">
        <v>934.50599999999997</v>
      </c>
      <c r="AG51" s="104">
        <v>932.42399999999998</v>
      </c>
      <c r="AH51" s="104">
        <v>926.31500000000005</v>
      </c>
      <c r="AI51" s="104">
        <v>927.66499999999996</v>
      </c>
      <c r="AJ51" s="104">
        <v>898.75300000000004</v>
      </c>
      <c r="AK51" s="104">
        <v>847.22799999999995</v>
      </c>
      <c r="AL51" s="104">
        <v>821.89099999999996</v>
      </c>
      <c r="AM51" s="104">
        <v>811.85699999999997</v>
      </c>
      <c r="AN51" s="104">
        <f>+AM51</f>
        <v>811.85699999999997</v>
      </c>
      <c r="AO51" s="82">
        <v>802</v>
      </c>
      <c r="AP51" s="82">
        <v>766.32600000000002</v>
      </c>
      <c r="AQ51" s="82">
        <v>777.38800000000003</v>
      </c>
      <c r="AR51" s="82">
        <v>780.50599999999997</v>
      </c>
      <c r="AS51" s="82">
        <v>792.30399999999997</v>
      </c>
      <c r="AT51" s="82">
        <v>1636.9390000000001</v>
      </c>
      <c r="AU51" s="82">
        <v>1665.06</v>
      </c>
      <c r="AV51" s="82">
        <v>1694.577</v>
      </c>
      <c r="AW51" s="82">
        <v>1691.8979999999999</v>
      </c>
      <c r="AX51" s="82">
        <v>1694</v>
      </c>
      <c r="AY51" s="82">
        <v>1679.8710000000001</v>
      </c>
      <c r="AZ51" s="82">
        <v>1664.415</v>
      </c>
      <c r="BA51" s="82">
        <v>1694</v>
      </c>
      <c r="BB51" s="82">
        <v>1597</v>
      </c>
      <c r="BC51" s="82">
        <v>1569</v>
      </c>
      <c r="BD51" s="82">
        <v>1540</v>
      </c>
      <c r="BE51" s="82">
        <v>1503</v>
      </c>
      <c r="BF51" s="82">
        <v>1472</v>
      </c>
      <c r="BG51" s="82">
        <v>1412</v>
      </c>
      <c r="BH51" s="82">
        <v>1355</v>
      </c>
      <c r="BI51" s="82">
        <v>1339</v>
      </c>
      <c r="BJ51" s="82">
        <v>1327</v>
      </c>
      <c r="BK51" s="82">
        <v>1320</v>
      </c>
      <c r="BL51" s="82">
        <v>1317</v>
      </c>
      <c r="BM51" s="82">
        <v>1319</v>
      </c>
      <c r="BN51" s="82">
        <v>1307</v>
      </c>
      <c r="BO51" s="82">
        <v>1320</v>
      </c>
      <c r="BP51" s="82">
        <v>1308</v>
      </c>
      <c r="BQ51" s="140">
        <v>1307</v>
      </c>
      <c r="BR51" s="140">
        <v>1299</v>
      </c>
      <c r="BS51" s="140">
        <v>1283</v>
      </c>
      <c r="BT51" s="82">
        <v>1277</v>
      </c>
      <c r="BU51" s="140">
        <v>1267</v>
      </c>
      <c r="BV51" s="140">
        <v>1273</v>
      </c>
      <c r="BW51" s="140">
        <v>1270</v>
      </c>
      <c r="BX51" s="140">
        <v>1255</v>
      </c>
      <c r="BY51" s="140">
        <v>1261</v>
      </c>
      <c r="BZ51" s="140">
        <v>1259</v>
      </c>
      <c r="CA51" s="140">
        <v>1262</v>
      </c>
      <c r="CB51" s="140">
        <v>1260</v>
      </c>
      <c r="CC51" s="140">
        <v>1262</v>
      </c>
      <c r="CD51" s="140">
        <v>1262</v>
      </c>
      <c r="CE51" s="140">
        <v>1262</v>
      </c>
      <c r="CF51" s="140">
        <v>1260</v>
      </c>
      <c r="CG51" s="140">
        <v>1261</v>
      </c>
      <c r="CH51" s="140">
        <v>1264</v>
      </c>
      <c r="CI51" s="140">
        <v>1261</v>
      </c>
      <c r="CJ51" s="140">
        <f t="shared" ref="CJ51:CL51" si="198">+CI51</f>
        <v>1261</v>
      </c>
      <c r="CK51" s="140">
        <f t="shared" si="198"/>
        <v>1261</v>
      </c>
      <c r="CL51" s="140">
        <f t="shared" si="198"/>
        <v>1261</v>
      </c>
      <c r="CM51" s="140"/>
      <c r="CN51" s="140"/>
      <c r="CO51" s="140"/>
      <c r="CP51" s="140"/>
      <c r="CQ51" s="140"/>
      <c r="CR51" s="140"/>
      <c r="CS51" s="140"/>
      <c r="CT51" s="140"/>
      <c r="CU51" s="79"/>
      <c r="CV51" s="79">
        <v>342.61</v>
      </c>
      <c r="CW51" s="79">
        <v>364.19799999999998</v>
      </c>
      <c r="CX51" s="79">
        <v>404.642</v>
      </c>
      <c r="CY51" s="79">
        <v>412.95400000000001</v>
      </c>
      <c r="CZ51" s="79">
        <v>402.21</v>
      </c>
      <c r="DA51" s="79">
        <v>462.01350000000002</v>
      </c>
      <c r="DB51" s="17">
        <v>473.8535</v>
      </c>
      <c r="DC51" s="82">
        <f>AVERAGE(S51:V51)*2</f>
        <v>938.63900000000001</v>
      </c>
      <c r="DD51" s="82">
        <f>AVERAGE(W51:Z51)</f>
        <v>964.74024999999995</v>
      </c>
      <c r="DE51" s="82">
        <f>AVERAGE(AA51:AD51)</f>
        <v>960.6925</v>
      </c>
      <c r="DF51" s="104">
        <f>AVERAGE(AE51:AH51)</f>
        <v>934.13075000000003</v>
      </c>
      <c r="DG51" s="104">
        <f>AVERAGE(AI51:AL51)</f>
        <v>873.88425000000007</v>
      </c>
      <c r="DH51" s="82">
        <f>AL51</f>
        <v>821.89099999999996</v>
      </c>
      <c r="DI51" s="82">
        <f>AVERAGE(AQ51:AT51)</f>
        <v>996.78424999999993</v>
      </c>
      <c r="DJ51" s="82">
        <f>AVERAGE(AU51:AX51)</f>
        <v>1686.38375</v>
      </c>
      <c r="DK51" s="82">
        <f>AVERAGE(AY51:BB51)</f>
        <v>1658.8215</v>
      </c>
      <c r="DL51" s="82">
        <f t="shared" ref="DL51:DN51" si="199">DK51</f>
        <v>1658.8215</v>
      </c>
      <c r="DM51" s="82">
        <f t="shared" si="199"/>
        <v>1658.8215</v>
      </c>
      <c r="DN51" s="140">
        <f t="shared" si="199"/>
        <v>1658.8215</v>
      </c>
      <c r="DO51" s="140">
        <f>DN51</f>
        <v>1658.8215</v>
      </c>
      <c r="DP51" s="140">
        <f>DO51</f>
        <v>1658.8215</v>
      </c>
      <c r="DQ51" s="140">
        <f>DP51</f>
        <v>1658.8215</v>
      </c>
      <c r="DR51" s="140">
        <f t="shared" ref="DR51:DV51" si="200">DQ51</f>
        <v>1658.8215</v>
      </c>
      <c r="DS51" s="140">
        <f t="shared" si="200"/>
        <v>1658.8215</v>
      </c>
      <c r="DT51" s="79">
        <f t="shared" si="200"/>
        <v>1658.8215</v>
      </c>
      <c r="DU51" s="79">
        <f t="shared" si="200"/>
        <v>1658.8215</v>
      </c>
      <c r="DV51" s="79">
        <f t="shared" si="200"/>
        <v>1658.8215</v>
      </c>
      <c r="DW51" s="79"/>
      <c r="DX51" s="79"/>
      <c r="DY51" s="79"/>
      <c r="DZ51" s="79"/>
      <c r="EA51" s="79"/>
      <c r="EB51" s="79"/>
      <c r="EC51" s="79"/>
      <c r="ED51" s="79"/>
      <c r="EE51" s="79"/>
      <c r="EF51" s="79"/>
    </row>
    <row r="52" spans="2:184" s="17" customFormat="1" x14ac:dyDescent="0.2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140"/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40"/>
      <c r="CP52" s="140"/>
      <c r="CQ52" s="140"/>
      <c r="CR52" s="140"/>
      <c r="CS52" s="140"/>
      <c r="CT52" s="140"/>
      <c r="CU52" s="79"/>
      <c r="CV52" s="79"/>
      <c r="CW52" s="79"/>
      <c r="CX52" s="79"/>
      <c r="CY52" s="79"/>
      <c r="CZ52" s="79"/>
      <c r="DA52" s="79"/>
      <c r="DC52" s="82"/>
      <c r="DD52" s="82"/>
      <c r="DE52" s="82"/>
      <c r="DF52" s="104"/>
      <c r="DG52" s="104"/>
      <c r="DH52" s="82"/>
      <c r="DI52" s="82"/>
      <c r="DJ52" s="82"/>
      <c r="DK52" s="82"/>
      <c r="DL52" s="82"/>
      <c r="DM52" s="82"/>
      <c r="DN52" s="140"/>
      <c r="DO52" s="140"/>
      <c r="DP52" s="140"/>
      <c r="DQ52" s="139"/>
      <c r="DR52" s="140"/>
      <c r="DS52" s="140"/>
      <c r="DT52" s="79"/>
      <c r="DU52" s="79"/>
      <c r="DV52" s="79"/>
      <c r="DW52" s="79"/>
      <c r="DX52" s="79"/>
      <c r="DY52" s="79"/>
      <c r="DZ52" s="79"/>
      <c r="EA52" s="79"/>
      <c r="EB52" s="79"/>
      <c r="EC52" s="79"/>
      <c r="ED52" s="79"/>
      <c r="EE52" s="79"/>
      <c r="EF52" s="79"/>
    </row>
    <row r="53" spans="2:184" s="24" customFormat="1" x14ac:dyDescent="0.2">
      <c r="B53" s="117" t="s">
        <v>589</v>
      </c>
      <c r="C53" s="78">
        <f t="shared" ref="C53:R53" si="201">(C39-C40)/C39</f>
        <v>-1.2395387762692951</v>
      </c>
      <c r="D53" s="78">
        <f t="shared" si="201"/>
        <v>-1.6299539854534659</v>
      </c>
      <c r="E53" s="78">
        <f t="shared" si="201"/>
        <v>-3.6581469648562304</v>
      </c>
      <c r="F53" s="78">
        <f t="shared" si="201"/>
        <v>-4.0005115089514067</v>
      </c>
      <c r="G53" s="78">
        <f t="shared" si="201"/>
        <v>-1.8943661971830985</v>
      </c>
      <c r="H53" s="78">
        <f t="shared" si="201"/>
        <v>-3.5637526652452025</v>
      </c>
      <c r="I53" s="78">
        <f t="shared" si="201"/>
        <v>-4.3202051282051279</v>
      </c>
      <c r="J53" s="78">
        <f t="shared" si="201"/>
        <v>-4.6163713080168778</v>
      </c>
      <c r="K53" s="78" t="e">
        <f t="shared" si="201"/>
        <v>#REF!</v>
      </c>
      <c r="L53" s="78" t="e">
        <f t="shared" si="201"/>
        <v>#REF!</v>
      </c>
      <c r="M53" s="78" t="e">
        <f t="shared" si="201"/>
        <v>#REF!</v>
      </c>
      <c r="N53" s="78" t="e">
        <f t="shared" si="201"/>
        <v>#REF!</v>
      </c>
      <c r="O53" s="78" t="e">
        <f t="shared" si="201"/>
        <v>#REF!</v>
      </c>
      <c r="P53" s="78" t="e">
        <f t="shared" si="201"/>
        <v>#REF!</v>
      </c>
      <c r="Q53" s="78" t="e">
        <f t="shared" si="201"/>
        <v>#REF!</v>
      </c>
      <c r="R53" s="78" t="e">
        <f t="shared" si="201"/>
        <v>#REF!</v>
      </c>
      <c r="S53" s="86" t="e">
        <f t="shared" ref="S53:AQ53" si="202">S41/S39</f>
        <v>#REF!</v>
      </c>
      <c r="T53" s="86" t="e">
        <f t="shared" si="202"/>
        <v>#REF!</v>
      </c>
      <c r="U53" s="86" t="e">
        <f t="shared" si="202"/>
        <v>#REF!</v>
      </c>
      <c r="V53" s="86" t="e">
        <f t="shared" si="202"/>
        <v>#REF!</v>
      </c>
      <c r="W53" s="86" t="e">
        <f t="shared" si="202"/>
        <v>#REF!</v>
      </c>
      <c r="X53" s="86" t="e">
        <f t="shared" si="202"/>
        <v>#REF!</v>
      </c>
      <c r="Y53" s="86" t="e">
        <f t="shared" si="202"/>
        <v>#REF!</v>
      </c>
      <c r="Z53" s="86" t="e">
        <f t="shared" si="202"/>
        <v>#REF!</v>
      </c>
      <c r="AA53" s="86" t="e">
        <f t="shared" si="202"/>
        <v>#REF!</v>
      </c>
      <c r="AB53" s="86" t="e">
        <f t="shared" si="202"/>
        <v>#REF!</v>
      </c>
      <c r="AC53" s="86" t="e">
        <f t="shared" si="202"/>
        <v>#REF!</v>
      </c>
      <c r="AD53" s="86" t="e">
        <f t="shared" si="202"/>
        <v>#REF!</v>
      </c>
      <c r="AE53" s="106">
        <f t="shared" si="202"/>
        <v>0.78688760242018752</v>
      </c>
      <c r="AF53" s="106">
        <f t="shared" si="202"/>
        <v>0.76906484210654125</v>
      </c>
      <c r="AG53" s="106">
        <f t="shared" si="202"/>
        <v>0.77256439336534199</v>
      </c>
      <c r="AH53" s="106">
        <f t="shared" si="202"/>
        <v>0.77777444204052615</v>
      </c>
      <c r="AI53" s="106">
        <f t="shared" si="202"/>
        <v>-0.40238087242687792</v>
      </c>
      <c r="AJ53" s="106">
        <f t="shared" si="202"/>
        <v>0.77400914475950899</v>
      </c>
      <c r="AK53" s="106">
        <f t="shared" si="202"/>
        <v>0.76264479377258387</v>
      </c>
      <c r="AL53" s="106">
        <f t="shared" si="202"/>
        <v>-6.0084880714108309</v>
      </c>
      <c r="AM53" s="106">
        <f t="shared" si="202"/>
        <v>0.75075374084142454</v>
      </c>
      <c r="AN53" s="106">
        <f t="shared" si="202"/>
        <v>0.7502106676186675</v>
      </c>
      <c r="AO53" s="86">
        <f t="shared" si="202"/>
        <v>0.74931674677221749</v>
      </c>
      <c r="AP53" s="86">
        <f t="shared" si="202"/>
        <v>0.73438790971369461</v>
      </c>
      <c r="AQ53" s="86">
        <f t="shared" si="202"/>
        <v>0.74547908847032285</v>
      </c>
      <c r="AR53" s="86">
        <f t="shared" ref="AR53:AS53" si="203">AR41/AR39</f>
        <v>0.74332754306735527</v>
      </c>
      <c r="AS53" s="86">
        <f t="shared" si="203"/>
        <v>0.75386559861402613</v>
      </c>
      <c r="AT53" s="86">
        <f t="shared" ref="AT53:AU53" si="204">AT41/AT39</f>
        <v>0.73889351443137052</v>
      </c>
      <c r="AU53" s="86">
        <f t="shared" si="204"/>
        <v>0.74939199371157383</v>
      </c>
      <c r="AV53" s="86">
        <f t="shared" ref="AV53:BE53" si="205">AV41/AV39</f>
        <v>0.76123132448794784</v>
      </c>
      <c r="AW53" s="86">
        <f t="shared" si="205"/>
        <v>0.76326966080968572</v>
      </c>
      <c r="AX53" s="86">
        <f t="shared" si="205"/>
        <v>0.75079251214651077</v>
      </c>
      <c r="AY53" s="86">
        <f t="shared" si="205"/>
        <v>0.87770786540229617</v>
      </c>
      <c r="AZ53" s="86">
        <f>AZ41/AZ39</f>
        <v>0.88936972109895418</v>
      </c>
      <c r="BA53" s="86">
        <f t="shared" si="205"/>
        <v>0.88</v>
      </c>
      <c r="BB53" s="86">
        <f t="shared" si="205"/>
        <v>0.88419469510527759</v>
      </c>
      <c r="BC53" s="86">
        <f t="shared" si="205"/>
        <v>0.91124572030550433</v>
      </c>
      <c r="BD53" s="86">
        <f t="shared" si="205"/>
        <v>0.90441533236293059</v>
      </c>
      <c r="BE53" s="86">
        <f t="shared" si="205"/>
        <v>0.87172995780590712</v>
      </c>
      <c r="BF53" s="144">
        <f t="shared" ref="BF53" si="206">BF41/BF39</f>
        <v>0.89924758993651543</v>
      </c>
      <c r="BG53" s="144">
        <f t="shared" ref="BG53:BH53" si="207">BG41/BG39</f>
        <v>0.87387734154477803</v>
      </c>
      <c r="BH53" s="144">
        <f t="shared" ref="BH53:BI53" si="208">BH41/BH39</f>
        <v>0.88888888888888884</v>
      </c>
      <c r="BI53" s="144">
        <f t="shared" si="208"/>
        <v>0.8494666666666667</v>
      </c>
      <c r="BJ53" s="144">
        <f t="shared" ref="BH52:BJ53" si="209">BJ41/BJ39</f>
        <v>0.88251366120218577</v>
      </c>
      <c r="BK53" s="144">
        <f t="shared" ref="BK53:BM53" si="210">BK41/BK39</f>
        <v>0.88578016910069179</v>
      </c>
      <c r="BL53" s="144">
        <f t="shared" si="210"/>
        <v>0.84231900294076456</v>
      </c>
      <c r="BM53" s="144">
        <f t="shared" si="210"/>
        <v>0.84152334152334152</v>
      </c>
      <c r="BN53" s="144">
        <f t="shared" ref="BN53:BO53" si="211">BN41/BN39</f>
        <v>0.83761976802824001</v>
      </c>
      <c r="BO53" s="144">
        <f t="shared" si="211"/>
        <v>0.86497641509433965</v>
      </c>
      <c r="BP53" s="144">
        <f t="shared" ref="BP53:BQ53" si="212">BP41/BP39</f>
        <v>0.84507790368271951</v>
      </c>
      <c r="BQ53" s="144">
        <f t="shared" si="212"/>
        <v>0.80593280914939247</v>
      </c>
      <c r="BR53" s="144">
        <f t="shared" ref="BR53:BT53" si="213">BR41/BR39</f>
        <v>0.78308886971527181</v>
      </c>
      <c r="BS53" s="144">
        <f t="shared" si="213"/>
        <v>0.87237265669380804</v>
      </c>
      <c r="BT53" s="144">
        <f t="shared" si="213"/>
        <v>0.87440633245382582</v>
      </c>
      <c r="BU53" s="144">
        <f t="shared" ref="BU53" si="214">BU41/BU39</f>
        <v>0.81531049250535337</v>
      </c>
      <c r="BV53" s="144">
        <f t="shared" ref="BV53:BW53" si="215">BV41/BV39</f>
        <v>0.75897261439020236</v>
      </c>
      <c r="BW53" s="144">
        <f t="shared" si="215"/>
        <v>0.87328767123287676</v>
      </c>
      <c r="BX53" s="144">
        <f t="shared" ref="BX53:BZ53" si="216">BX41/BX39</f>
        <v>0.84483764339879452</v>
      </c>
      <c r="BY53" s="144">
        <f t="shared" si="216"/>
        <v>0.86696062034362176</v>
      </c>
      <c r="BZ53" s="144">
        <f t="shared" si="216"/>
        <v>0.87629699501414904</v>
      </c>
      <c r="CA53" s="144">
        <f t="shared" ref="CA53:CE53" si="217">CA41/CA39</f>
        <v>0.86688463334890242</v>
      </c>
      <c r="CB53" s="144">
        <f t="shared" ref="CB53" si="218">CB41/CB39</f>
        <v>0.86552999839150713</v>
      </c>
      <c r="CC53" s="144">
        <f t="shared" ref="CC53" si="219">CC41/CC39</f>
        <v>0.90082199164533083</v>
      </c>
      <c r="CD53" s="144">
        <f t="shared" si="217"/>
        <v>0.70854618252105483</v>
      </c>
      <c r="CE53" s="144">
        <f t="shared" si="217"/>
        <v>0.87479131886477457</v>
      </c>
      <c r="CF53" s="144">
        <f t="shared" ref="CF53:CL53" si="220">CF41/CF39</f>
        <v>0.85848905925570995</v>
      </c>
      <c r="CG53" s="144">
        <f t="shared" si="220"/>
        <v>0.8689292814541324</v>
      </c>
      <c r="CH53" s="144">
        <f t="shared" si="220"/>
        <v>0.86899445121125996</v>
      </c>
      <c r="CI53" s="144">
        <f t="shared" si="220"/>
        <v>0.86287783375314864</v>
      </c>
      <c r="CJ53" s="144">
        <f t="shared" si="220"/>
        <v>0.85</v>
      </c>
      <c r="CK53" s="144">
        <f t="shared" si="220"/>
        <v>0.84999999999999987</v>
      </c>
      <c r="CL53" s="144">
        <f t="shared" si="220"/>
        <v>0.85</v>
      </c>
      <c r="CM53" s="144"/>
      <c r="CN53" s="144"/>
      <c r="CO53" s="144"/>
      <c r="CP53" s="144"/>
      <c r="CQ53" s="144"/>
      <c r="CR53" s="144"/>
      <c r="CS53" s="144"/>
      <c r="CT53" s="144"/>
      <c r="CU53" s="157"/>
      <c r="CV53" s="157">
        <f t="shared" ref="CV53:DC53" si="221">(CV39-CV40)/CV39</f>
        <v>1</v>
      </c>
      <c r="CW53" s="157">
        <f t="shared" si="221"/>
        <v>1</v>
      </c>
      <c r="CX53" s="157">
        <f t="shared" si="221"/>
        <v>1</v>
      </c>
      <c r="CY53" s="157">
        <f t="shared" si="221"/>
        <v>1</v>
      </c>
      <c r="CZ53" s="157">
        <f t="shared" si="221"/>
        <v>1</v>
      </c>
      <c r="DA53" s="157">
        <f t="shared" si="221"/>
        <v>1</v>
      </c>
      <c r="DB53" s="24">
        <f t="shared" si="221"/>
        <v>1</v>
      </c>
      <c r="DC53" s="78">
        <f t="shared" si="221"/>
        <v>1</v>
      </c>
      <c r="DD53" s="78">
        <f>DD41/DD39</f>
        <v>0</v>
      </c>
      <c r="DE53" s="78">
        <f t="shared" ref="DE53:DH53" si="222">(DE39-DE40)/DE39</f>
        <v>1</v>
      </c>
      <c r="DF53" s="136">
        <f t="shared" si="222"/>
        <v>0.77637888696299129</v>
      </c>
      <c r="DG53" s="136">
        <f t="shared" si="222"/>
        <v>0.45674803683715687</v>
      </c>
      <c r="DH53" s="78">
        <f t="shared" si="222"/>
        <v>0.74594373840739259</v>
      </c>
      <c r="DI53" s="78">
        <f>DI41/DI39</f>
        <v>0.74528640351776765</v>
      </c>
      <c r="DJ53" s="78">
        <f>DJ41/DJ39</f>
        <v>0.75615460812691804</v>
      </c>
      <c r="DK53" s="78">
        <f t="shared" ref="DK53:DQ53" si="223">DK41/DK39</f>
        <v>0.87999999999999989</v>
      </c>
      <c r="DL53" s="78">
        <f t="shared" si="223"/>
        <v>0.88</v>
      </c>
      <c r="DM53" s="78">
        <f t="shared" si="223"/>
        <v>0.88</v>
      </c>
      <c r="DN53" s="169" t="e">
        <f t="shared" si="223"/>
        <v>#DIV/0!</v>
      </c>
      <c r="DO53" s="169" t="e">
        <f t="shared" si="223"/>
        <v>#DIV/0!</v>
      </c>
      <c r="DP53" s="169" t="e">
        <f t="shared" si="223"/>
        <v>#DIV/0!</v>
      </c>
      <c r="DQ53" s="169">
        <f t="shared" si="223"/>
        <v>0.88</v>
      </c>
      <c r="DR53" s="169">
        <f t="shared" ref="DR53:DV53" si="224">DR41/DR39</f>
        <v>0.88</v>
      </c>
      <c r="DS53" s="169">
        <f t="shared" si="224"/>
        <v>0.88</v>
      </c>
      <c r="DT53" s="157">
        <f t="shared" si="224"/>
        <v>0.88</v>
      </c>
      <c r="DU53" s="157">
        <f t="shared" si="224"/>
        <v>0.88</v>
      </c>
      <c r="DV53" s="157">
        <f t="shared" si="224"/>
        <v>0.88</v>
      </c>
      <c r="DW53" s="157"/>
      <c r="DX53" s="157"/>
      <c r="DY53" s="157"/>
      <c r="DZ53" s="157"/>
      <c r="EA53" s="157"/>
      <c r="EB53" s="157"/>
      <c r="EC53" s="157"/>
      <c r="ED53" s="157"/>
      <c r="EE53" s="157"/>
      <c r="EF53" s="157"/>
    </row>
    <row r="54" spans="2:184" s="24" customFormat="1" x14ac:dyDescent="0.2">
      <c r="B54" s="24" t="s">
        <v>471</v>
      </c>
      <c r="C54" s="78">
        <f t="shared" ref="C54:AP54" si="225">C48/C47</f>
        <v>1.354160813620273E-2</v>
      </c>
      <c r="D54" s="78">
        <f t="shared" si="225"/>
        <v>-8.9486086175942538E-3</v>
      </c>
      <c r="E54" s="78">
        <f t="shared" si="225"/>
        <v>-7.2162378471994446E-3</v>
      </c>
      <c r="F54" s="78">
        <f t="shared" si="225"/>
        <v>-1.210076473234368E-2</v>
      </c>
      <c r="G54" s="78">
        <f t="shared" si="225"/>
        <v>-2.9383174266525272E-2</v>
      </c>
      <c r="H54" s="78">
        <f t="shared" si="225"/>
        <v>-5.2167291355558414E-2</v>
      </c>
      <c r="I54" s="78">
        <f t="shared" si="225"/>
        <v>-3.9544545314663795E-2</v>
      </c>
      <c r="J54" s="78">
        <f t="shared" si="225"/>
        <v>0.79639056679380826</v>
      </c>
      <c r="K54" s="78" t="e">
        <f t="shared" si="225"/>
        <v>#REF!</v>
      </c>
      <c r="L54" s="78" t="e">
        <f t="shared" si="225"/>
        <v>#REF!</v>
      </c>
      <c r="M54" s="78" t="e">
        <f t="shared" si="225"/>
        <v>#REF!</v>
      </c>
      <c r="N54" s="78" t="e">
        <f t="shared" si="225"/>
        <v>#REF!</v>
      </c>
      <c r="O54" s="78" t="e">
        <f t="shared" si="225"/>
        <v>#REF!</v>
      </c>
      <c r="P54" s="78" t="e">
        <f t="shared" si="225"/>
        <v>#REF!</v>
      </c>
      <c r="Q54" s="78" t="e">
        <f t="shared" si="225"/>
        <v>#REF!</v>
      </c>
      <c r="R54" s="78" t="e">
        <f t="shared" si="225"/>
        <v>#REF!</v>
      </c>
      <c r="S54" s="86" t="e">
        <f t="shared" si="225"/>
        <v>#REF!</v>
      </c>
      <c r="T54" s="86" t="e">
        <f t="shared" si="225"/>
        <v>#REF!</v>
      </c>
      <c r="U54" s="86" t="e">
        <f t="shared" si="225"/>
        <v>#REF!</v>
      </c>
      <c r="V54" s="86" t="e">
        <f t="shared" si="225"/>
        <v>#REF!</v>
      </c>
      <c r="W54" s="86" t="e">
        <f t="shared" si="225"/>
        <v>#REF!</v>
      </c>
      <c r="X54" s="86" t="e">
        <f t="shared" si="225"/>
        <v>#REF!</v>
      </c>
      <c r="Y54" s="86" t="e">
        <f t="shared" si="225"/>
        <v>#REF!</v>
      </c>
      <c r="Z54" s="86" t="e">
        <f t="shared" si="225"/>
        <v>#REF!</v>
      </c>
      <c r="AA54" s="86" t="e">
        <f t="shared" si="225"/>
        <v>#REF!</v>
      </c>
      <c r="AB54" s="86" t="e">
        <f t="shared" si="225"/>
        <v>#REF!</v>
      </c>
      <c r="AC54" s="86" t="e">
        <f t="shared" si="225"/>
        <v>#REF!</v>
      </c>
      <c r="AD54" s="86" t="e">
        <f t="shared" si="225"/>
        <v>#REF!</v>
      </c>
      <c r="AE54" s="106">
        <f t="shared" si="225"/>
        <v>-0.25929395570255515</v>
      </c>
      <c r="AF54" s="106">
        <f t="shared" si="225"/>
        <v>-0.23279568615340762</v>
      </c>
      <c r="AG54" s="106">
        <f t="shared" si="225"/>
        <v>-0.23044665424227964</v>
      </c>
      <c r="AH54" s="106">
        <f t="shared" si="225"/>
        <v>-0.24217749153256243</v>
      </c>
      <c r="AI54" s="106">
        <f t="shared" si="225"/>
        <v>0.59808503049867867</v>
      </c>
      <c r="AJ54" s="106">
        <f t="shared" si="225"/>
        <v>-0.28362672837982245</v>
      </c>
      <c r="AK54" s="106">
        <f t="shared" si="225"/>
        <v>-0.2664619929619278</v>
      </c>
      <c r="AL54" s="106">
        <f t="shared" si="225"/>
        <v>0.18964453160541223</v>
      </c>
      <c r="AM54" s="106">
        <f t="shared" si="225"/>
        <v>-0.2668484841360339</v>
      </c>
      <c r="AN54" s="106">
        <f t="shared" si="225"/>
        <v>0.24438498700881037</v>
      </c>
      <c r="AO54" s="86">
        <f t="shared" si="225"/>
        <v>-0.24336237826755505</v>
      </c>
      <c r="AP54" s="86">
        <f t="shared" si="225"/>
        <v>0.19183653032388392</v>
      </c>
      <c r="AQ54" s="86">
        <f t="shared" ref="AQ54:AV54" si="226">AQ48/AQ47</f>
        <v>0.34582727176222416</v>
      </c>
      <c r="AR54" s="86">
        <f t="shared" si="226"/>
        <v>0.27178761529250761</v>
      </c>
      <c r="AS54" s="86">
        <f t="shared" si="226"/>
        <v>0.28975477532549593</v>
      </c>
      <c r="AT54" s="86">
        <f t="shared" si="226"/>
        <v>0.25490271072315052</v>
      </c>
      <c r="AU54" s="86">
        <f t="shared" si="226"/>
        <v>0.23659891846815595</v>
      </c>
      <c r="AV54" s="86">
        <f t="shared" si="226"/>
        <v>0.26024129913654853</v>
      </c>
      <c r="AW54" s="86">
        <f t="shared" ref="AW54:BE54" si="227">AW48/AW47</f>
        <v>0.24690020781203609</v>
      </c>
      <c r="AX54" s="86">
        <f t="shared" si="227"/>
        <v>0.25557130248155174</v>
      </c>
      <c r="AY54" s="86">
        <f t="shared" si="227"/>
        <v>0.2243470316473456</v>
      </c>
      <c r="AZ54" s="86">
        <f>AZ48/AZ47</f>
        <v>0.14181925991196714</v>
      </c>
      <c r="BA54" s="86">
        <f t="shared" si="227"/>
        <v>0.25</v>
      </c>
      <c r="BB54" s="86">
        <f t="shared" si="227"/>
        <v>0.15913471835510817</v>
      </c>
      <c r="BC54" s="86">
        <f t="shared" si="227"/>
        <v>0.16380711576666065</v>
      </c>
      <c r="BD54" s="86">
        <f t="shared" si="227"/>
        <v>0.17306385869565216</v>
      </c>
      <c r="BE54" s="86">
        <f t="shared" si="227"/>
        <v>0.15935672514619884</v>
      </c>
      <c r="BF54" s="144">
        <f t="shared" ref="BF54" si="228">BF48/BF47</f>
        <v>0.13291027674951525</v>
      </c>
      <c r="BG54" s="144">
        <f t="shared" ref="BG54:BH54" si="229">BG48/BG47</f>
        <v>0.17811607992388201</v>
      </c>
      <c r="BH54" s="144">
        <f t="shared" ref="BH54:BI54" si="230">BH48/BH47</f>
        <v>0.20504660150034099</v>
      </c>
      <c r="BI54" s="144">
        <f t="shared" si="230"/>
        <v>0.22240411599625817</v>
      </c>
      <c r="BJ54" s="144">
        <f t="shared" ref="BH53:BJ54" si="231">BJ48/BJ47</f>
        <v>0.18702118071203244</v>
      </c>
      <c r="BK54" s="144">
        <f t="shared" ref="BK54:BM54" si="232">BK48/BK47</f>
        <v>0.23365679264555669</v>
      </c>
      <c r="BL54" s="144">
        <f t="shared" si="232"/>
        <v>0.25419198055893072</v>
      </c>
      <c r="BM54" s="144">
        <f t="shared" si="232"/>
        <v>0.26123672023971672</v>
      </c>
      <c r="BN54" s="144">
        <f t="shared" ref="BN54:BO54" si="233">BN48/BN47</f>
        <v>0</v>
      </c>
      <c r="BO54" s="144">
        <f t="shared" si="233"/>
        <v>0.19503546099290781</v>
      </c>
      <c r="BP54" s="144">
        <f t="shared" ref="BP54:BQ54" si="234">BP48/BP47</f>
        <v>9.3337959750173491E-2</v>
      </c>
      <c r="BQ54" s="144">
        <f t="shared" si="234"/>
        <v>0.21283783783783783</v>
      </c>
      <c r="BR54" s="144">
        <f t="shared" ref="BR54:BT54" si="235">BR48/BR47</f>
        <v>0.24262029923170239</v>
      </c>
      <c r="BS54" s="144">
        <f t="shared" si="235"/>
        <v>0.16399843811011325</v>
      </c>
      <c r="BT54" s="144">
        <f t="shared" si="235"/>
        <v>0.17887276409044886</v>
      </c>
      <c r="BU54" s="144">
        <f t="shared" ref="BU54" si="236">BU48/BU47</f>
        <v>0.22385076615589608</v>
      </c>
      <c r="BV54" s="144">
        <f t="shared" ref="BV54:BW54" si="237">BV48/BV47</f>
        <v>0.2944936086529007</v>
      </c>
      <c r="BW54" s="144">
        <f t="shared" si="237"/>
        <v>0.19252548131370328</v>
      </c>
      <c r="BX54" s="144">
        <f t="shared" ref="BX54:BZ54" si="238">BX48/BX47</f>
        <v>0.18603491271820449</v>
      </c>
      <c r="BY54" s="144">
        <f t="shared" si="238"/>
        <v>0.15894446149125499</v>
      </c>
      <c r="BZ54" s="144">
        <f t="shared" si="238"/>
        <v>0.155915622133904</v>
      </c>
      <c r="CA54" s="144">
        <f t="shared" ref="CA54" si="239">CA48/CA47</f>
        <v>9.8601398601398604E-2</v>
      </c>
      <c r="CB54" s="144">
        <f t="shared" ref="CB54" si="240">CB48/CB47</f>
        <v>0.10756543564001435</v>
      </c>
      <c r="CC54" s="144">
        <f t="shared" ref="CC54" si="241">CC48/CC47</f>
        <v>0.1764425369575584</v>
      </c>
      <c r="CD54" s="144">
        <f>CD48/CD47</f>
        <v>0.18806419257773319</v>
      </c>
      <c r="CE54" s="144">
        <f t="shared" ref="CE54:CF54" si="242">CE48/CE47</f>
        <v>0.15689981096408318</v>
      </c>
      <c r="CF54" s="144">
        <f t="shared" si="242"/>
        <v>0.13246940244780417</v>
      </c>
      <c r="CG54" s="144">
        <f t="shared" ref="CG54:CL54" si="243">CG48/CG47</f>
        <v>0.19315109642535297</v>
      </c>
      <c r="CH54" s="144">
        <f t="shared" si="243"/>
        <v>0.14917970240366271</v>
      </c>
      <c r="CI54" s="144">
        <f t="shared" si="243"/>
        <v>0.125</v>
      </c>
      <c r="CJ54" s="144">
        <f t="shared" si="243"/>
        <v>0.2</v>
      </c>
      <c r="CK54" s="144">
        <f t="shared" si="243"/>
        <v>0.2</v>
      </c>
      <c r="CL54" s="144">
        <f t="shared" si="243"/>
        <v>0.2</v>
      </c>
      <c r="CM54" s="144"/>
      <c r="CN54" s="144"/>
      <c r="CO54" s="144"/>
      <c r="CP54" s="144"/>
      <c r="CQ54" s="144"/>
      <c r="CR54" s="144"/>
      <c r="CS54" s="144"/>
      <c r="CT54" s="144"/>
      <c r="CU54" s="157"/>
      <c r="CV54" s="157">
        <f t="shared" ref="CV54:DB54" si="244">CV48/CV47</f>
        <v>-4.4316905801621963E-3</v>
      </c>
      <c r="CW54" s="157">
        <f t="shared" si="244"/>
        <v>-5.9624450500268544E-3</v>
      </c>
      <c r="CX54" s="157">
        <f t="shared" si="244"/>
        <v>-1.3825593564328295E-2</v>
      </c>
      <c r="CY54" s="157">
        <f t="shared" si="244"/>
        <v>-4.2259793707191649E-3</v>
      </c>
      <c r="CZ54" s="157">
        <f t="shared" si="244"/>
        <v>0.2253661344506096</v>
      </c>
      <c r="DA54" s="157">
        <f t="shared" si="244"/>
        <v>-0.40223603691112159</v>
      </c>
      <c r="DB54" s="24">
        <f t="shared" si="244"/>
        <v>-0.57021660467005109</v>
      </c>
      <c r="DC54" s="78">
        <v>0.32412483010798065</v>
      </c>
      <c r="DD54" s="78"/>
      <c r="DE54" s="78">
        <f>DE48/DE47</f>
        <v>-0.5683885728047201</v>
      </c>
      <c r="DF54" s="136">
        <f>DF48/DF47</f>
        <v>-0.24093652318768316</v>
      </c>
      <c r="DG54" s="136">
        <f>DG48/DG47</f>
        <v>-1.6878999359005504</v>
      </c>
      <c r="DH54" s="78">
        <v>0.26</v>
      </c>
      <c r="DI54" s="78">
        <f>DI48/DI47</f>
        <v>0.28547232523035515</v>
      </c>
      <c r="DJ54" s="78">
        <f>DJ48/DJ47</f>
        <v>0.25060927421627854</v>
      </c>
      <c r="DK54" s="78">
        <f t="shared" ref="DK54:DQ54" si="245">DK48/DK47</f>
        <v>0.18305144623444769</v>
      </c>
      <c r="DL54" s="78">
        <f t="shared" si="245"/>
        <v>0.245</v>
      </c>
      <c r="DM54" s="78">
        <f t="shared" si="245"/>
        <v>0.245</v>
      </c>
      <c r="DN54" s="169">
        <f t="shared" si="245"/>
        <v>0.245</v>
      </c>
      <c r="DO54" s="169">
        <f t="shared" si="245"/>
        <v>0.24499999999999997</v>
      </c>
      <c r="DP54" s="169">
        <f t="shared" si="245"/>
        <v>0.245</v>
      </c>
      <c r="DQ54" s="169">
        <f t="shared" si="245"/>
        <v>0.245</v>
      </c>
      <c r="DR54" s="169">
        <f t="shared" ref="DR54:DV54" si="246">DR48/DR47</f>
        <v>0.245</v>
      </c>
      <c r="DS54" s="169">
        <f t="shared" si="246"/>
        <v>0.245</v>
      </c>
      <c r="DT54" s="157">
        <f t="shared" si="246"/>
        <v>0.24500000000000002</v>
      </c>
      <c r="DU54" s="157">
        <f t="shared" si="246"/>
        <v>0.245</v>
      </c>
      <c r="DV54" s="157">
        <f t="shared" si="246"/>
        <v>0.245</v>
      </c>
      <c r="DW54" s="157"/>
      <c r="DX54" s="157"/>
      <c r="DY54" s="157"/>
      <c r="DZ54" s="170" t="s">
        <v>592</v>
      </c>
      <c r="EA54" s="171">
        <v>-0.05</v>
      </c>
      <c r="EB54" s="157"/>
      <c r="EC54" s="157"/>
      <c r="ED54" s="157"/>
      <c r="EE54" s="157"/>
      <c r="EF54" s="157"/>
    </row>
    <row r="55" spans="2:184" s="28" customFormat="1" x14ac:dyDescent="0.2"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58"/>
      <c r="CV55" s="158"/>
      <c r="CW55" s="158"/>
      <c r="CX55" s="158"/>
      <c r="CY55" s="158"/>
      <c r="CZ55" s="158"/>
      <c r="DA55" s="158"/>
      <c r="DC55" s="84"/>
      <c r="DD55" s="84"/>
      <c r="DE55" s="84"/>
      <c r="DF55" s="107"/>
      <c r="DG55" s="107"/>
      <c r="DH55" s="84"/>
      <c r="DI55" s="84"/>
      <c r="DJ55" s="84"/>
      <c r="DK55" s="84"/>
      <c r="DL55" s="84"/>
      <c r="DM55" s="137"/>
      <c r="DN55" s="145"/>
      <c r="DO55" s="145"/>
      <c r="DP55" s="145"/>
      <c r="DQ55" s="145"/>
      <c r="DR55" s="145"/>
      <c r="DS55" s="145"/>
      <c r="DT55" s="158"/>
      <c r="DU55" s="158"/>
      <c r="DV55" s="158"/>
      <c r="DW55" s="158"/>
      <c r="DX55" s="158"/>
      <c r="DY55" s="158"/>
      <c r="DZ55" s="172" t="s">
        <v>593</v>
      </c>
      <c r="EA55" s="173">
        <v>5.0000000000000001E-3</v>
      </c>
      <c r="EB55" s="158"/>
      <c r="EC55" s="158"/>
      <c r="ED55" s="158"/>
      <c r="EE55" s="158"/>
      <c r="EF55" s="158"/>
    </row>
    <row r="56" spans="2:184" s="147" customFormat="1" x14ac:dyDescent="0.2">
      <c r="B56" s="147" t="s">
        <v>699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9"/>
      <c r="AF56" s="149"/>
      <c r="AG56" s="149"/>
      <c r="AH56" s="149"/>
      <c r="AI56" s="149"/>
      <c r="AJ56" s="151">
        <f t="shared" ref="AJ56" si="247">AJ39/AF39-1</f>
        <v>0.17003196420494726</v>
      </c>
      <c r="AK56" s="151">
        <f t="shared" ref="AK56" si="248">AK39/AG39-1</f>
        <v>7.5557250543885512E-2</v>
      </c>
      <c r="AL56" s="151">
        <f t="shared" ref="AL56" si="249">AL39/AH39-1</f>
        <v>-0.96631228012843351</v>
      </c>
      <c r="AM56" s="151">
        <f t="shared" ref="AM56" si="250">AM39/AI39-1</f>
        <v>5.3876523724772492</v>
      </c>
      <c r="AN56" s="151">
        <f t="shared" ref="AN56" si="251">AN39/AJ39-1</f>
        <v>0.10898006666583648</v>
      </c>
      <c r="AO56" s="151">
        <f t="shared" ref="AO56" si="252">AO39/AK39-1</f>
        <v>9.5330728254030994E-2</v>
      </c>
      <c r="AP56" s="151">
        <f t="shared" ref="AP56" si="253">AP39/AL39-1</f>
        <v>31.146240266475765</v>
      </c>
      <c r="AQ56" s="151">
        <f t="shared" ref="AQ56" si="254">AQ39/AM39-1</f>
        <v>0.19991283680452754</v>
      </c>
      <c r="AR56" s="151">
        <f t="shared" ref="AR56" si="255">AR39/AN39-1</f>
        <v>0.12536325835078932</v>
      </c>
      <c r="AS56" s="151">
        <f t="shared" ref="AS56" si="256">AS39/AO39-1</f>
        <v>0.14343464329469424</v>
      </c>
      <c r="AT56" s="151">
        <f t="shared" ref="AT56" si="257">AT39/AP39-1</f>
        <v>0.17629107362462282</v>
      </c>
      <c r="AU56" s="151">
        <f t="shared" ref="AU56" si="258">AU39/AQ39-1</f>
        <v>0.10917483807962447</v>
      </c>
      <c r="AV56" s="151">
        <f t="shared" ref="AV56" si="259">AV39/AR39-1</f>
        <v>0.15059459018969878</v>
      </c>
      <c r="AW56" s="151">
        <f t="shared" ref="AW56" si="260">AW39/AS39-1</f>
        <v>0.14680476403786868</v>
      </c>
      <c r="AX56" s="151">
        <f t="shared" ref="AX56" si="261">AX39/AT39-1</f>
        <v>0.20536416971083171</v>
      </c>
      <c r="AY56" s="151">
        <f t="shared" ref="AY56" si="262">AY39/AU39-1</f>
        <v>0.97459586393773256</v>
      </c>
      <c r="AZ56" s="151">
        <f t="shared" ref="AZ56" si="263">AZ39/AV39-1</f>
        <v>1.3612481634346243</v>
      </c>
      <c r="BA56" s="151">
        <f t="shared" ref="BA56" si="264">BA39/AW39-1</f>
        <v>1.1711687334453775</v>
      </c>
      <c r="BB56" s="151">
        <f t="shared" ref="BB56" si="265">BB39/AX39-1</f>
        <v>1.3443615124689647</v>
      </c>
      <c r="BC56" s="151">
        <f t="shared" ref="BC56" si="266">BC39/AY39-1</f>
        <v>0.51911719166962</v>
      </c>
      <c r="BD56" s="151">
        <f t="shared" ref="BD56" si="267">BD39/AZ39-1</f>
        <v>0.26161067465870391</v>
      </c>
      <c r="BE56" s="151">
        <f t="shared" ref="BE56" si="268">BE39/BA39-1</f>
        <v>0.37288977159880843</v>
      </c>
      <c r="BF56" s="151">
        <f t="shared" ref="BF56" si="269">BF39/BB39-1</f>
        <v>0.16297511621547711</v>
      </c>
      <c r="BG56" s="151">
        <f t="shared" ref="BG56" si="270">BG39/BC39-1</f>
        <v>2.6336581511719803E-2</v>
      </c>
      <c r="BH56" s="151">
        <f t="shared" ref="BH56" si="271">BH39/BD39-1</f>
        <v>-5.6768558951965087E-2</v>
      </c>
      <c r="BI56" s="151">
        <f t="shared" ref="BI56" si="272">BI39/BE39-1</f>
        <v>-9.5840867992766698E-2</v>
      </c>
      <c r="BJ56" s="151">
        <f t="shared" ref="BJ56" si="273">BJ39/BF39-1</f>
        <v>-0.13943098988948976</v>
      </c>
      <c r="BK56" s="151">
        <f t="shared" ref="BK56" si="274">BK39/BG39-1</f>
        <v>-0.16538362843212728</v>
      </c>
      <c r="BL56" s="151">
        <f t="shared" ref="BL56" si="275">BL39/BH39-1</f>
        <v>-8.1661522633744821E-2</v>
      </c>
      <c r="BM56" s="151">
        <f t="shared" ref="BM56" si="276">BM39/BI39-1</f>
        <v>-0.13173333333333337</v>
      </c>
      <c r="BN56" s="151">
        <f t="shared" ref="BN56" si="277">BN39/BJ39-1</f>
        <v>-0.18729508196721312</v>
      </c>
      <c r="BO56" s="151">
        <f t="shared" ref="BO56" si="278">BO39/BK39-1</f>
        <v>-0.21783243658724061</v>
      </c>
      <c r="BP56" s="151">
        <f t="shared" ref="BP56" si="279">BP39/BL39-1</f>
        <v>-0.20907435933342666</v>
      </c>
      <c r="BQ56" s="151">
        <f t="shared" ref="BQ56" si="280">BQ39/BM39-1</f>
        <v>-0.14066339066339062</v>
      </c>
      <c r="BR56" s="151">
        <f t="shared" ref="BR56" si="281">BR39/BN39-1</f>
        <v>-2.5886703647671871E-2</v>
      </c>
      <c r="BS56" s="151">
        <f t="shared" ref="BS56:BT56" si="282">BS39/BO39-1</f>
        <v>3.7932389937106903E-2</v>
      </c>
      <c r="BT56" s="151">
        <f t="shared" si="282"/>
        <v>6.5509915014163589E-3</v>
      </c>
      <c r="BU56" s="151">
        <f t="shared" ref="BU56" si="283">BU39/BQ39-1</f>
        <v>1.4295925661187425E-3</v>
      </c>
      <c r="BV56" s="151">
        <f t="shared" ref="BV56" si="284">BV39/BR39-1</f>
        <v>1.4495254529766965E-2</v>
      </c>
      <c r="BW56" s="151">
        <f t="shared" ref="BW56" si="285">BW39/BS39-1</f>
        <v>5.0558606324559774E-2</v>
      </c>
      <c r="BX56" s="151">
        <f t="shared" ref="BX56" si="286">BX39/BT39-1</f>
        <v>-9.5338610378188249E-2</v>
      </c>
      <c r="BY56" s="151">
        <f t="shared" ref="BY56:CE56" si="287">BY39/BU39-1</f>
        <v>0.17362598144182728</v>
      </c>
      <c r="BZ56" s="151">
        <f t="shared" si="287"/>
        <v>0.26228950501786019</v>
      </c>
      <c r="CA56" s="151">
        <f t="shared" si="287"/>
        <v>0.15771449170872387</v>
      </c>
      <c r="CB56" s="151">
        <f t="shared" si="287"/>
        <v>0.20882753256853981</v>
      </c>
      <c r="CC56" s="151">
        <f t="shared" si="287"/>
        <v>0.12832598449140953</v>
      </c>
      <c r="CD56" s="151">
        <f t="shared" si="287"/>
        <v>-2.39859857162108E-2</v>
      </c>
      <c r="CE56" s="151">
        <f t="shared" si="287"/>
        <v>2.584462089366335E-2</v>
      </c>
      <c r="CF56" s="151">
        <f t="shared" ref="CF56" si="288">CF39/CB39-1</f>
        <v>7.0773685057101687E-3</v>
      </c>
      <c r="CG56" s="151">
        <f t="shared" ref="CG56" si="289">CG39/CC39-1</f>
        <v>-5.1071284193504929E-2</v>
      </c>
      <c r="CH56" s="151">
        <f t="shared" ref="CH56" si="290">CH39/CD39-1</f>
        <v>2.015739334529898E-2</v>
      </c>
      <c r="CI56" s="151">
        <f t="shared" ref="CI56" si="291">CI39/CE39-1</f>
        <v>-3.5969039307937489E-2</v>
      </c>
      <c r="CJ56" s="151">
        <f t="shared" ref="CJ56" si="292">CJ39/CF39-1</f>
        <v>4.8554544002555433E-2</v>
      </c>
      <c r="CK56" s="151">
        <f t="shared" ref="CK56" si="293">CK39/CG39-1</f>
        <v>-6.5322351604657491E-3</v>
      </c>
      <c r="CL56" s="151">
        <f t="shared" ref="CL56" si="294">CL39/CH39-1</f>
        <v>-4.3036946812829879E-2</v>
      </c>
      <c r="CM56" s="151"/>
      <c r="CN56" s="151"/>
      <c r="CO56" s="151"/>
      <c r="CP56" s="151"/>
      <c r="CQ56" s="151"/>
      <c r="CR56" s="151"/>
      <c r="CS56" s="150"/>
      <c r="CT56" s="150"/>
      <c r="CU56" s="159"/>
      <c r="CV56" s="159"/>
      <c r="CW56" s="159"/>
      <c r="CX56" s="159"/>
      <c r="CY56" s="159"/>
      <c r="CZ56" s="159"/>
      <c r="DA56" s="159"/>
      <c r="DC56" s="148"/>
      <c r="DD56" s="148"/>
      <c r="DE56" s="148"/>
      <c r="DF56" s="149"/>
      <c r="DG56" s="149"/>
      <c r="DH56" s="148"/>
      <c r="DI56" s="148"/>
      <c r="DJ56" s="148"/>
      <c r="DK56" s="148"/>
      <c r="DL56" s="148"/>
      <c r="DM56" s="152"/>
      <c r="DN56" s="150"/>
      <c r="DO56" s="150"/>
      <c r="DP56" s="150"/>
      <c r="DQ56" s="150"/>
      <c r="DR56" s="150"/>
      <c r="DS56" s="150"/>
      <c r="DT56" s="159"/>
      <c r="DU56" s="159"/>
      <c r="DV56" s="159"/>
      <c r="DW56" s="159"/>
      <c r="DX56" s="159"/>
      <c r="DY56" s="159"/>
      <c r="DZ56" s="153" t="s">
        <v>594</v>
      </c>
      <c r="EA56" s="171">
        <v>0.06</v>
      </c>
      <c r="EB56" s="159"/>
      <c r="EC56" s="159"/>
      <c r="ED56" s="159"/>
      <c r="EE56" s="159"/>
      <c r="EF56" s="159"/>
    </row>
    <row r="57" spans="2:184" s="147" customFormat="1" x14ac:dyDescent="0.2">
      <c r="B57" s="147" t="s">
        <v>769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50"/>
      <c r="BX57" s="150"/>
      <c r="BY57" s="151"/>
      <c r="BZ57" s="151"/>
      <c r="CA57" s="151"/>
      <c r="CB57" s="151"/>
      <c r="CC57" s="151"/>
      <c r="CD57" s="151"/>
      <c r="CE57" s="151"/>
      <c r="CF57" s="151"/>
      <c r="CG57" s="151">
        <v>0.11</v>
      </c>
      <c r="CH57" s="151">
        <v>0.09</v>
      </c>
      <c r="CI57" s="151">
        <v>0.15</v>
      </c>
      <c r="CJ57" s="151"/>
      <c r="CK57" s="151"/>
      <c r="CL57" s="151"/>
      <c r="CM57" s="151"/>
      <c r="CN57" s="151"/>
      <c r="CO57" s="151"/>
      <c r="CP57" s="151"/>
      <c r="CQ57" s="151"/>
      <c r="CR57" s="151"/>
      <c r="CS57" s="150"/>
      <c r="CT57" s="150"/>
      <c r="CU57" s="159"/>
      <c r="CV57" s="159"/>
      <c r="CW57" s="159"/>
      <c r="CX57" s="159"/>
      <c r="CY57" s="159"/>
      <c r="CZ57" s="159"/>
      <c r="DA57" s="159"/>
      <c r="DC57" s="148"/>
      <c r="DD57" s="148"/>
      <c r="DE57" s="148"/>
      <c r="DF57" s="149"/>
      <c r="DG57" s="149"/>
      <c r="DH57" s="148"/>
      <c r="DI57" s="148"/>
      <c r="DJ57" s="148"/>
      <c r="DK57" s="148"/>
      <c r="DL57" s="148"/>
      <c r="DM57" s="152"/>
      <c r="DN57" s="150"/>
      <c r="DO57" s="150"/>
      <c r="DP57" s="150"/>
      <c r="DQ57" s="150"/>
      <c r="DR57" s="150"/>
      <c r="DS57" s="150"/>
      <c r="DT57" s="159"/>
      <c r="DU57" s="159"/>
      <c r="DV57" s="159"/>
      <c r="DW57" s="159"/>
      <c r="DX57" s="159"/>
      <c r="DY57" s="159"/>
      <c r="DZ57" s="153"/>
      <c r="EA57" s="171"/>
      <c r="EB57" s="159"/>
      <c r="EC57" s="159"/>
      <c r="ED57" s="159"/>
      <c r="EE57" s="159"/>
      <c r="EF57" s="159"/>
    </row>
    <row r="58" spans="2:184" s="28" customFormat="1" x14ac:dyDescent="0.2">
      <c r="B58" s="119" t="s">
        <v>698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146"/>
      <c r="BG58" s="146"/>
      <c r="BH58" s="146"/>
      <c r="BI58" s="146"/>
      <c r="BJ58" s="146"/>
      <c r="BK58" s="146"/>
      <c r="BL58" s="146"/>
      <c r="BM58" s="146"/>
      <c r="BN58" s="146"/>
      <c r="BO58" s="146"/>
      <c r="BP58" s="146"/>
      <c r="BQ58" s="146"/>
      <c r="BR58" s="146">
        <f t="shared" ref="BR58:BT58" si="295">BR3/BN3-1</f>
        <v>0.12764205325281353</v>
      </c>
      <c r="BS58" s="146">
        <f t="shared" si="295"/>
        <v>0.13119802894979982</v>
      </c>
      <c r="BT58" s="146">
        <f t="shared" si="295"/>
        <v>0.10005364806866957</v>
      </c>
      <c r="BU58" s="146">
        <f t="shared" ref="BU58" si="296">BU3/BQ3-1</f>
        <v>0.12450436161776368</v>
      </c>
      <c r="BV58" s="146">
        <f t="shared" ref="BV58" si="297">BV3/BR3-1</f>
        <v>0.12122687439143132</v>
      </c>
      <c r="BW58" s="146">
        <f t="shared" ref="BW58" si="298">BW3/BS3-1</f>
        <v>0.13422270623468546</v>
      </c>
      <c r="BX58" s="146">
        <f t="shared" ref="BX58" si="299">BX3/BT3-1</f>
        <v>-1.560594976834917E-2</v>
      </c>
      <c r="BY58" s="146">
        <f t="shared" ref="BY58:CD58" si="300">BY3/BU3-1</f>
        <v>7.3342736248237062E-2</v>
      </c>
      <c r="BZ58" s="146">
        <f t="shared" si="300"/>
        <v>-6.7303517151541481E-2</v>
      </c>
      <c r="CA58" s="146">
        <f t="shared" si="300"/>
        <v>-0.12794047047527601</v>
      </c>
      <c r="CB58" s="146">
        <f t="shared" si="300"/>
        <v>-2.0312112955164774E-2</v>
      </c>
      <c r="CC58" s="146">
        <f t="shared" si="300"/>
        <v>-7.8405606657906302E-2</v>
      </c>
      <c r="CD58" s="146">
        <f t="shared" si="300"/>
        <v>5.2607076350093207E-2</v>
      </c>
      <c r="CE58" s="146">
        <f>CE3/CA3-1</f>
        <v>2.2570878062207589E-2</v>
      </c>
      <c r="CF58" s="146">
        <f t="shared" ref="CF58" si="301">CF3/CB3-1</f>
        <v>7.0290771175727018E-2</v>
      </c>
      <c r="CG58" s="146">
        <f t="shared" ref="CG58" si="302">CG3/CC3-1</f>
        <v>6.8678707224334667E-2</v>
      </c>
      <c r="CH58" s="146">
        <f t="shared" ref="CH58" si="303">CH3/CD3-1</f>
        <v>5.7717823971694004E-2</v>
      </c>
      <c r="CI58" s="146">
        <f t="shared" ref="CI58" si="304">CI3/CE3-1</f>
        <v>0.13055181695827733</v>
      </c>
      <c r="CJ58" s="146">
        <f t="shared" ref="CJ58" si="305">CJ3/CF3-1</f>
        <v>9.284195605953216E-2</v>
      </c>
      <c r="CK58" s="146">
        <f t="shared" ref="CK58" si="306">CK3/CG3-1</f>
        <v>3.780297976428737E-2</v>
      </c>
      <c r="CL58" s="146">
        <f t="shared" ref="CL58" si="307">CL3/CH3-1</f>
        <v>-1.8816642274723017E-2</v>
      </c>
      <c r="CM58" s="146"/>
      <c r="CN58" s="146"/>
      <c r="CO58" s="146"/>
      <c r="CP58" s="146"/>
      <c r="CQ58" s="146"/>
      <c r="CR58" s="146"/>
      <c r="CS58" s="145"/>
      <c r="CT58" s="145"/>
      <c r="CU58" s="158"/>
      <c r="CV58" s="158"/>
      <c r="CW58" s="158"/>
      <c r="CX58" s="158"/>
      <c r="CY58" s="158"/>
      <c r="CZ58" s="158"/>
      <c r="DA58" s="158"/>
      <c r="DC58" s="84"/>
      <c r="DD58" s="84"/>
      <c r="DE58" s="84"/>
      <c r="DF58" s="107"/>
      <c r="DG58" s="107"/>
      <c r="DH58" s="84"/>
      <c r="DI58" s="84"/>
      <c r="DJ58" s="84"/>
      <c r="DK58" s="84"/>
      <c r="DL58" s="84"/>
      <c r="DM58" s="137"/>
      <c r="DN58" s="145"/>
      <c r="DO58" s="145"/>
      <c r="DP58" s="145"/>
      <c r="DQ58" s="145"/>
      <c r="DR58" s="145"/>
      <c r="DS58" s="145"/>
      <c r="DT58" s="158"/>
      <c r="DU58" s="158"/>
      <c r="DV58" s="158"/>
      <c r="DW58" s="158"/>
      <c r="DX58" s="158"/>
      <c r="DY58" s="158"/>
      <c r="DZ58" s="153" t="s">
        <v>595</v>
      </c>
      <c r="EA58" s="155">
        <f>NPV(EA56,DL49:GC49)+DK49</f>
        <v>49301.705719190846</v>
      </c>
      <c r="EB58" s="158"/>
      <c r="EC58" s="158"/>
      <c r="ED58" s="158"/>
      <c r="EE58" s="158"/>
      <c r="EF58" s="158"/>
    </row>
    <row r="59" spans="2:184" s="28" customFormat="1" x14ac:dyDescent="0.2">
      <c r="B59" s="119" t="s">
        <v>700</v>
      </c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146"/>
      <c r="BS59" s="146">
        <f t="shared" ref="BS59:BT59" si="308">+BS9/BO9-1</f>
        <v>21.657142857142858</v>
      </c>
      <c r="BT59" s="146">
        <f t="shared" si="308"/>
        <v>5.0324324324324321</v>
      </c>
      <c r="BU59" s="146">
        <f t="shared" ref="BU59" si="309">+BU9/BQ9-1</f>
        <v>2.2616580310880829</v>
      </c>
      <c r="BV59" s="146">
        <f t="shared" ref="BV59" si="310">+BV9/BR9-1</f>
        <v>1.7162629757785468</v>
      </c>
      <c r="BW59" s="146">
        <f t="shared" ref="BW59" si="311">+BW9/BS9-1</f>
        <v>1.1349306431273645</v>
      </c>
      <c r="BX59" s="146">
        <f t="shared" ref="BX59" si="312">+BX9/BT9-1</f>
        <v>0.43727598566308234</v>
      </c>
      <c r="BY59" s="146">
        <f t="shared" ref="BY59:CE59" si="313">+BY9/BU9-1</f>
        <v>0.50198570293884037</v>
      </c>
      <c r="BZ59" s="146">
        <f t="shared" si="313"/>
        <v>0.31910828025477711</v>
      </c>
      <c r="CA59" s="146">
        <f t="shared" si="313"/>
        <v>7.7377436503248687E-2</v>
      </c>
      <c r="CB59" s="146">
        <f t="shared" si="313"/>
        <v>0.24314214463840389</v>
      </c>
      <c r="CC59" s="146">
        <f t="shared" si="313"/>
        <v>0.20359598096245368</v>
      </c>
      <c r="CD59" s="146">
        <f t="shared" si="313"/>
        <v>0.2216320618058909</v>
      </c>
      <c r="CE59" s="146">
        <f t="shared" si="313"/>
        <v>0.17927631578947367</v>
      </c>
      <c r="CF59" s="146">
        <f>+CF9/CB9-1</f>
        <v>0.28184553660982958</v>
      </c>
      <c r="CG59" s="146">
        <f>+CG9/CC9-1</f>
        <v>0.21528998242530761</v>
      </c>
      <c r="CH59" s="146">
        <f t="shared" ref="CH59:CL59" si="314">+CH9/CD9-1</f>
        <v>0.15335968379446641</v>
      </c>
      <c r="CI59" s="146">
        <f t="shared" si="314"/>
        <v>0.24453742445374238</v>
      </c>
      <c r="CJ59" s="146">
        <f t="shared" si="314"/>
        <v>0.16549295774647876</v>
      </c>
      <c r="CK59" s="146">
        <f t="shared" si="314"/>
        <v>0.11532899493853943</v>
      </c>
      <c r="CL59" s="146">
        <f t="shared" si="314"/>
        <v>6.5455791638108218E-2</v>
      </c>
      <c r="CM59" s="146"/>
      <c r="CN59" s="146"/>
      <c r="CO59" s="146"/>
      <c r="CP59" s="146"/>
      <c r="CQ59" s="146"/>
      <c r="CR59" s="146"/>
      <c r="CS59" s="145"/>
      <c r="CT59" s="145"/>
      <c r="CU59" s="158"/>
      <c r="CV59" s="158"/>
      <c r="CW59" s="158"/>
      <c r="CX59" s="158"/>
      <c r="CY59" s="158"/>
      <c r="CZ59" s="158"/>
      <c r="DA59" s="158"/>
      <c r="DC59" s="84"/>
      <c r="DD59" s="84"/>
      <c r="DE59" s="84"/>
      <c r="DF59" s="107"/>
      <c r="DG59" s="107"/>
      <c r="DH59" s="84"/>
      <c r="DI59" s="84"/>
      <c r="DJ59" s="84"/>
      <c r="DK59" s="84"/>
      <c r="DL59" s="84"/>
      <c r="DM59" s="137"/>
      <c r="DN59" s="145"/>
      <c r="DO59" s="145"/>
      <c r="DP59" s="145"/>
      <c r="DQ59" s="145"/>
      <c r="DR59" s="145"/>
      <c r="DS59" s="145"/>
      <c r="DT59" s="158"/>
      <c r="DU59" s="158"/>
      <c r="DV59" s="158"/>
      <c r="DW59" s="158"/>
      <c r="DX59" s="158"/>
      <c r="DY59" s="158"/>
      <c r="DZ59" s="153" t="s">
        <v>596</v>
      </c>
      <c r="EA59" s="174">
        <f>EA58/Main!J3</f>
        <v>39.600015511416608</v>
      </c>
      <c r="EB59" s="158"/>
      <c r="EC59" s="158"/>
      <c r="ED59" s="158"/>
      <c r="EE59" s="158"/>
      <c r="EF59" s="158"/>
    </row>
    <row r="60" spans="2:184" s="28" customFormat="1" x14ac:dyDescent="0.2">
      <c r="B60" s="119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84"/>
      <c r="AP60" s="84"/>
      <c r="AQ60" s="84"/>
      <c r="AR60" s="84"/>
      <c r="AS60" s="84"/>
      <c r="AT60" s="84"/>
      <c r="AU60" s="84"/>
      <c r="AV60" s="84"/>
      <c r="AW60" s="128"/>
      <c r="AX60" s="128"/>
      <c r="AY60" s="128"/>
      <c r="AZ60" s="128"/>
      <c r="BA60" s="128"/>
      <c r="BB60" s="128"/>
      <c r="BC60" s="128"/>
      <c r="BD60" s="128"/>
      <c r="BE60" s="128"/>
      <c r="BF60" s="128"/>
      <c r="BG60" s="128"/>
      <c r="BH60" s="128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46"/>
      <c r="BU60" s="146"/>
      <c r="BV60" s="146"/>
      <c r="BW60" s="146"/>
      <c r="BX60" s="146"/>
      <c r="BY60" s="146"/>
      <c r="BZ60" s="146"/>
      <c r="CA60" s="146"/>
      <c r="CB60" s="146"/>
      <c r="CC60" s="146"/>
      <c r="CD60" s="146"/>
      <c r="CE60" s="146"/>
      <c r="CF60" s="146"/>
      <c r="CG60" s="146"/>
      <c r="CH60" s="146"/>
      <c r="CI60" s="146"/>
      <c r="CJ60" s="146"/>
      <c r="CK60" s="146"/>
      <c r="CL60" s="146"/>
      <c r="CM60" s="146"/>
      <c r="CN60" s="146"/>
      <c r="CO60" s="146"/>
      <c r="CP60" s="146"/>
      <c r="CQ60" s="146"/>
      <c r="CR60" s="146"/>
      <c r="CS60" s="146"/>
      <c r="CT60" s="145"/>
      <c r="CU60" s="158"/>
      <c r="CV60" s="158"/>
      <c r="CW60" s="158"/>
      <c r="CX60" s="158"/>
      <c r="CY60" s="158"/>
      <c r="CZ60" s="158"/>
      <c r="DA60" s="158"/>
      <c r="DC60" s="84"/>
      <c r="DD60" s="128"/>
      <c r="DE60" s="128"/>
      <c r="DF60" s="128"/>
      <c r="DG60" s="128"/>
      <c r="DH60" s="128"/>
      <c r="DI60" s="128"/>
      <c r="DJ60" s="128"/>
      <c r="DK60" s="128"/>
      <c r="DL60" s="128"/>
      <c r="DM60" s="128"/>
      <c r="DN60" s="146"/>
      <c r="DO60" s="146"/>
      <c r="DP60" s="146"/>
      <c r="DQ60" s="146"/>
      <c r="DR60" s="146"/>
      <c r="DS60" s="146"/>
      <c r="DT60" s="158"/>
      <c r="DU60" s="158"/>
      <c r="DV60" s="158"/>
      <c r="DW60" s="158"/>
      <c r="DX60" s="158"/>
      <c r="DY60" s="158"/>
      <c r="DZ60" s="158"/>
      <c r="EA60" s="158"/>
      <c r="EB60" s="158"/>
      <c r="EC60" s="158"/>
      <c r="ED60" s="158"/>
      <c r="EE60" s="158"/>
      <c r="EF60" s="158"/>
    </row>
    <row r="61" spans="2:184" s="28" customFormat="1" x14ac:dyDescent="0.2">
      <c r="B61" s="119" t="s">
        <v>597</v>
      </c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2">
        <f>+AZ62-AZ82</f>
        <v>76.768000000001848</v>
      </c>
      <c r="BA61" s="82">
        <f>+AZ61+BA49</f>
        <v>3159.8140000000021</v>
      </c>
      <c r="BB61" s="82">
        <f>+BA61+BB49</f>
        <v>7085.8140000000021</v>
      </c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140"/>
      <c r="BX61" s="140"/>
      <c r="BY61" s="140"/>
      <c r="BZ61" s="140"/>
      <c r="CA61" s="140"/>
      <c r="CB61" s="140"/>
      <c r="CC61" s="140"/>
      <c r="CD61" s="140"/>
      <c r="CE61" s="140"/>
      <c r="CF61" s="140">
        <f>+CF62-CF82</f>
        <v>-19216</v>
      </c>
      <c r="CG61" s="140">
        <f>+CG62-CG82</f>
        <v>-18281</v>
      </c>
      <c r="CH61" s="140">
        <f>+CH62-CH82</f>
        <v>-17600</v>
      </c>
      <c r="CI61" s="140">
        <f>+CI62-CI82</f>
        <v>-18040</v>
      </c>
      <c r="CJ61" s="140"/>
      <c r="CK61" s="140"/>
      <c r="CL61" s="140"/>
      <c r="CM61" s="140"/>
      <c r="CN61" s="140">
        <f>+CN62-CN82</f>
        <v>-20578</v>
      </c>
      <c r="CO61" s="140"/>
      <c r="CP61" s="140"/>
      <c r="CQ61" s="140"/>
      <c r="CR61" s="140"/>
      <c r="CS61" s="140"/>
      <c r="CT61" s="145"/>
      <c r="CU61" s="158"/>
      <c r="CV61" s="158"/>
      <c r="CW61" s="158"/>
      <c r="CX61" s="158"/>
      <c r="CY61" s="158"/>
      <c r="CZ61" s="158"/>
      <c r="DA61" s="158"/>
      <c r="DC61" s="84"/>
      <c r="DD61" s="84"/>
      <c r="DE61" s="84"/>
      <c r="DF61" s="107"/>
      <c r="DG61" s="107"/>
      <c r="DH61" s="84"/>
      <c r="DI61" s="84"/>
      <c r="DJ61" s="83"/>
      <c r="DK61" s="83">
        <f>+BB61</f>
        <v>7085.8140000000021</v>
      </c>
      <c r="DL61" s="83">
        <f t="shared" ref="DL61:DV61" si="315">+DK61+DL49</f>
        <v>23496.561398850004</v>
      </c>
      <c r="DM61" s="83">
        <f t="shared" si="315"/>
        <v>41023.832385088666</v>
      </c>
      <c r="DN61" s="142">
        <f t="shared" si="315"/>
        <v>39329.623077342374</v>
      </c>
      <c r="DO61" s="142">
        <f t="shared" si="315"/>
        <v>37629.018129459342</v>
      </c>
      <c r="DP61" s="142">
        <f t="shared" si="315"/>
        <v>35921.993397898048</v>
      </c>
      <c r="DQ61" s="142">
        <f t="shared" si="315"/>
        <v>40899.697047975111</v>
      </c>
      <c r="DR61" s="142">
        <f t="shared" si="315"/>
        <v>47179.147929331215</v>
      </c>
      <c r="DS61" s="142">
        <f t="shared" si="315"/>
        <v>52561.445337764439</v>
      </c>
      <c r="DT61" s="142">
        <f t="shared" si="315"/>
        <v>57029.250118914497</v>
      </c>
      <c r="DU61" s="142">
        <f t="shared" si="315"/>
        <v>56121.982663113398</v>
      </c>
      <c r="DV61" s="142">
        <f t="shared" si="315"/>
        <v>55138.638132666652</v>
      </c>
      <c r="DW61" s="158"/>
      <c r="DX61" s="158"/>
      <c r="DY61" s="158"/>
      <c r="DZ61" s="158"/>
      <c r="EA61" s="158"/>
      <c r="EB61" s="158"/>
      <c r="EC61" s="158"/>
      <c r="ED61" s="158"/>
      <c r="EE61" s="158"/>
      <c r="EF61" s="158"/>
    </row>
    <row r="62" spans="2:184" s="75" customFormat="1" x14ac:dyDescent="0.2">
      <c r="B62" s="100" t="s">
        <v>46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83">
        <f>909.4+1347.8+3225</f>
        <v>5482.2</v>
      </c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>
        <f>8730.522+68.546+782.315</f>
        <v>9581.3830000000016</v>
      </c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142"/>
      <c r="BX62" s="142"/>
      <c r="BY62" s="142"/>
      <c r="BZ62" s="142"/>
      <c r="CA62" s="142"/>
      <c r="CB62" s="142"/>
      <c r="CC62" s="142"/>
      <c r="CD62" s="142"/>
      <c r="CE62" s="142"/>
      <c r="CF62" s="142">
        <f>4739+924+1337</f>
        <v>7000</v>
      </c>
      <c r="CG62" s="142">
        <f>4699+961+1282</f>
        <v>6942</v>
      </c>
      <c r="CH62" s="142">
        <f>5412+973+1245</f>
        <v>7630</v>
      </c>
      <c r="CI62" s="142">
        <f>4936+936+1327</f>
        <v>7199</v>
      </c>
      <c r="CJ62" s="142"/>
      <c r="CK62" s="142"/>
      <c r="CL62" s="142"/>
      <c r="CM62" s="142"/>
      <c r="CN62" s="142">
        <v>2772</v>
      </c>
      <c r="CO62" s="142"/>
      <c r="CP62" s="142"/>
      <c r="CQ62" s="142"/>
      <c r="CR62" s="142"/>
      <c r="CS62" s="142"/>
      <c r="CT62" s="142"/>
      <c r="CU62" s="155"/>
      <c r="CV62" s="155"/>
      <c r="CW62" s="155"/>
      <c r="CX62" s="155"/>
      <c r="CY62" s="155"/>
      <c r="CZ62" s="155"/>
      <c r="DA62" s="155"/>
      <c r="DC62" s="83"/>
      <c r="DD62" s="83"/>
      <c r="DE62" s="83"/>
      <c r="DF62" s="105"/>
      <c r="DG62" s="105"/>
      <c r="DH62" s="83"/>
      <c r="DI62" s="83"/>
      <c r="DJ62" s="83"/>
      <c r="DK62" s="83"/>
      <c r="DL62" s="83"/>
      <c r="DM62" s="83"/>
      <c r="DN62" s="142"/>
      <c r="DO62" s="142"/>
      <c r="DP62" s="142"/>
      <c r="DQ62" s="142"/>
      <c r="DR62" s="142"/>
      <c r="DS62" s="142"/>
      <c r="DT62" s="155"/>
      <c r="DU62" s="155"/>
      <c r="DV62" s="155"/>
      <c r="DW62" s="155"/>
      <c r="DX62" s="155"/>
      <c r="DY62" s="155"/>
      <c r="DZ62" s="155"/>
      <c r="EA62" s="155"/>
      <c r="EB62" s="155"/>
      <c r="EC62" s="155"/>
      <c r="ED62" s="155"/>
      <c r="EE62" s="155"/>
      <c r="EF62" s="155"/>
    </row>
    <row r="63" spans="2:184" s="75" customFormat="1" x14ac:dyDescent="0.2">
      <c r="B63" s="75" t="s">
        <v>441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>
        <v>1867.1</v>
      </c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>
        <v>3436.7109999999998</v>
      </c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142"/>
      <c r="BX63" s="142"/>
      <c r="BY63" s="142"/>
      <c r="BZ63" s="142"/>
      <c r="CA63" s="142"/>
      <c r="CB63" s="142"/>
      <c r="CC63" s="142"/>
      <c r="CD63" s="142"/>
      <c r="CE63" s="142"/>
      <c r="CF63" s="142">
        <v>4118</v>
      </c>
      <c r="CG63" s="142">
        <v>4354</v>
      </c>
      <c r="CH63" s="142">
        <v>4777</v>
      </c>
      <c r="CI63" s="142">
        <v>4162</v>
      </c>
      <c r="CJ63" s="142"/>
      <c r="CK63" s="142"/>
      <c r="CL63" s="142"/>
      <c r="CM63" s="142"/>
      <c r="CN63" s="142">
        <v>4663</v>
      </c>
      <c r="CO63" s="142"/>
      <c r="CP63" s="142"/>
      <c r="CQ63" s="142"/>
      <c r="CR63" s="142"/>
      <c r="CS63" s="142"/>
      <c r="CT63" s="142"/>
      <c r="CU63" s="155"/>
      <c r="CV63" s="155"/>
      <c r="CW63" s="155"/>
      <c r="CX63" s="155"/>
      <c r="CY63" s="155"/>
      <c r="CZ63" s="155"/>
      <c r="DA63" s="155"/>
      <c r="DC63" s="83"/>
      <c r="DD63" s="83"/>
      <c r="DE63" s="83"/>
      <c r="DF63" s="105"/>
      <c r="DG63" s="105"/>
      <c r="DH63" s="83"/>
      <c r="DI63" s="83"/>
      <c r="DJ63" s="83"/>
      <c r="DK63" s="83"/>
      <c r="DL63" s="83"/>
      <c r="DM63" s="83"/>
      <c r="DN63" s="142"/>
      <c r="DO63" s="142"/>
      <c r="DP63" s="142"/>
      <c r="DQ63" s="142"/>
      <c r="DR63" s="142"/>
      <c r="DS63" s="142"/>
      <c r="DT63" s="155"/>
      <c r="DU63" s="155"/>
      <c r="DV63" s="155"/>
      <c r="DW63" s="155"/>
      <c r="DX63" s="155"/>
      <c r="DY63" s="155"/>
      <c r="DZ63" s="155"/>
      <c r="EA63" s="155"/>
      <c r="EB63" s="155"/>
      <c r="EC63" s="155"/>
      <c r="ED63" s="155"/>
      <c r="EE63" s="155"/>
      <c r="EF63" s="155"/>
    </row>
    <row r="64" spans="2:184" s="75" customFormat="1" x14ac:dyDescent="0.2">
      <c r="B64" s="75" t="s">
        <v>440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>
        <v>1337.8</v>
      </c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>
        <v>2068.7530000000002</v>
      </c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142"/>
      <c r="BX64" s="142"/>
      <c r="BY64" s="142"/>
      <c r="BZ64" s="142"/>
      <c r="CA64" s="142"/>
      <c r="CB64" s="142"/>
      <c r="CC64" s="142"/>
      <c r="CD64" s="142"/>
      <c r="CE64" s="142"/>
      <c r="CF64" s="142">
        <v>1494</v>
      </c>
      <c r="CG64" s="142">
        <v>1463</v>
      </c>
      <c r="CH64" s="142">
        <v>1507</v>
      </c>
      <c r="CI64" s="142">
        <v>1576</v>
      </c>
      <c r="CJ64" s="142"/>
      <c r="CK64" s="142"/>
      <c r="CL64" s="142"/>
      <c r="CM64" s="142"/>
      <c r="CN64" s="142">
        <v>2026</v>
      </c>
      <c r="CO64" s="142"/>
      <c r="CP64" s="142"/>
      <c r="CQ64" s="142"/>
      <c r="CR64" s="142"/>
      <c r="CS64" s="142"/>
      <c r="CT64" s="142"/>
      <c r="CU64" s="155"/>
      <c r="CV64" s="155"/>
      <c r="CW64" s="155"/>
      <c r="CX64" s="155"/>
      <c r="CY64" s="155"/>
      <c r="CZ64" s="155"/>
      <c r="DA64" s="155"/>
      <c r="DC64" s="83"/>
      <c r="DD64" s="83"/>
      <c r="DE64" s="83"/>
      <c r="DF64" s="105"/>
      <c r="DG64" s="105"/>
      <c r="DH64" s="83"/>
      <c r="DI64" s="83"/>
      <c r="DJ64" s="83"/>
      <c r="DK64" s="83"/>
      <c r="DL64" s="83"/>
      <c r="DM64" s="83"/>
      <c r="DN64" s="142"/>
      <c r="DO64" s="142"/>
      <c r="DP64" s="142"/>
      <c r="DQ64" s="142"/>
      <c r="DR64" s="142"/>
      <c r="DS64" s="142"/>
      <c r="DT64" s="155"/>
      <c r="DU64" s="155"/>
      <c r="DV64" s="155"/>
      <c r="DW64" s="155"/>
      <c r="DX64" s="155"/>
      <c r="DY64" s="155"/>
      <c r="DZ64" s="155"/>
      <c r="EA64" s="155"/>
      <c r="EB64" s="155"/>
      <c r="EC64" s="155"/>
      <c r="ED64" s="155"/>
      <c r="EE64" s="155"/>
      <c r="EF64" s="155"/>
    </row>
    <row r="65" spans="2:136" s="75" customFormat="1" x14ac:dyDescent="0.2">
      <c r="B65" s="75" t="s">
        <v>439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>
        <f>283.9</f>
        <v>283.89999999999998</v>
      </c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>
        <v>386.58</v>
      </c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142"/>
      <c r="BX65" s="142"/>
      <c r="BY65" s="142"/>
      <c r="BZ65" s="142"/>
      <c r="CA65" s="142"/>
      <c r="CB65" s="142"/>
      <c r="CC65" s="142"/>
      <c r="CD65" s="142"/>
      <c r="CE65" s="142"/>
      <c r="CF65" s="142">
        <v>0</v>
      </c>
      <c r="CG65" s="142"/>
      <c r="CH65" s="142">
        <v>1774</v>
      </c>
      <c r="CI65" s="142">
        <v>1846</v>
      </c>
      <c r="CJ65" s="142"/>
      <c r="CK65" s="142"/>
      <c r="CL65" s="142"/>
      <c r="CM65" s="142"/>
      <c r="CN65" s="142"/>
      <c r="CO65" s="142"/>
      <c r="CP65" s="142"/>
      <c r="CQ65" s="142"/>
      <c r="CR65" s="142"/>
      <c r="CS65" s="142"/>
      <c r="CT65" s="142"/>
      <c r="CU65" s="155"/>
      <c r="CV65" s="155"/>
      <c r="CW65" s="155"/>
      <c r="CX65" s="155"/>
      <c r="CY65" s="155"/>
      <c r="CZ65" s="155"/>
      <c r="DA65" s="155"/>
      <c r="DC65" s="83"/>
      <c r="DD65" s="83"/>
      <c r="DE65" s="83"/>
      <c r="DF65" s="105"/>
      <c r="DG65" s="105"/>
      <c r="DH65" s="83"/>
      <c r="DI65" s="83"/>
      <c r="DJ65" s="83"/>
      <c r="DK65" s="83"/>
      <c r="DL65" s="83"/>
      <c r="DM65" s="83"/>
      <c r="DN65" s="142"/>
      <c r="DO65" s="142"/>
      <c r="DP65" s="142"/>
      <c r="DQ65" s="142"/>
      <c r="DR65" s="142"/>
      <c r="DS65" s="142"/>
      <c r="DT65" s="155"/>
      <c r="DU65" s="155"/>
      <c r="DV65" s="155"/>
      <c r="DW65" s="155"/>
      <c r="DX65" s="155"/>
      <c r="DY65" s="155"/>
      <c r="DZ65" s="155"/>
      <c r="EA65" s="155"/>
      <c r="EB65" s="155"/>
      <c r="EC65" s="155"/>
      <c r="ED65" s="155"/>
      <c r="EE65" s="155"/>
      <c r="EF65" s="155"/>
    </row>
    <row r="66" spans="2:136" s="75" customFormat="1" x14ac:dyDescent="0.2">
      <c r="B66" s="75" t="s">
        <v>438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>
        <v>195</v>
      </c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>
        <v>376.71600000000001</v>
      </c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142"/>
      <c r="BX66" s="142"/>
      <c r="BY66" s="142"/>
      <c r="BZ66" s="142"/>
      <c r="CA66" s="142"/>
      <c r="CB66" s="142"/>
      <c r="CC66" s="142"/>
      <c r="CD66" s="142"/>
      <c r="CE66" s="142"/>
      <c r="CF66" s="142">
        <v>0</v>
      </c>
      <c r="CG66" s="142"/>
      <c r="CH66" s="142">
        <v>0</v>
      </c>
      <c r="CI66" s="142">
        <v>0</v>
      </c>
      <c r="CJ66" s="142"/>
      <c r="CK66" s="142"/>
      <c r="CL66" s="142"/>
      <c r="CM66" s="142"/>
      <c r="CN66" s="142"/>
      <c r="CO66" s="142"/>
      <c r="CP66" s="142"/>
      <c r="CQ66" s="142"/>
      <c r="CR66" s="142"/>
      <c r="CS66" s="142"/>
      <c r="CT66" s="142"/>
      <c r="CU66" s="155"/>
      <c r="CV66" s="155"/>
      <c r="CW66" s="155"/>
      <c r="CX66" s="155"/>
      <c r="CY66" s="155"/>
      <c r="CZ66" s="155"/>
      <c r="DA66" s="155"/>
      <c r="DC66" s="83"/>
      <c r="DD66" s="83"/>
      <c r="DE66" s="83"/>
      <c r="DF66" s="105"/>
      <c r="DG66" s="105"/>
      <c r="DH66" s="83"/>
      <c r="DI66" s="83"/>
      <c r="DJ66" s="83"/>
      <c r="DK66" s="83"/>
      <c r="DL66" s="83"/>
      <c r="DM66" s="83"/>
      <c r="DN66" s="142"/>
      <c r="DO66" s="142"/>
      <c r="DP66" s="142"/>
      <c r="DQ66" s="142"/>
      <c r="DR66" s="142"/>
      <c r="DS66" s="142"/>
      <c r="DT66" s="155"/>
      <c r="DU66" s="155"/>
      <c r="DV66" s="155"/>
      <c r="DW66" s="155"/>
      <c r="DX66" s="155"/>
      <c r="DY66" s="155"/>
      <c r="DZ66" s="155"/>
      <c r="EA66" s="155"/>
      <c r="EB66" s="155"/>
      <c r="EC66" s="155"/>
      <c r="ED66" s="155"/>
      <c r="EE66" s="155"/>
      <c r="EF66" s="155"/>
    </row>
    <row r="67" spans="2:136" s="75" customFormat="1" x14ac:dyDescent="0.2">
      <c r="B67" s="75" t="s">
        <v>437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>
        <v>90.8</v>
      </c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>
        <v>232.15100000000001</v>
      </c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142"/>
      <c r="BX67" s="142"/>
      <c r="BY67" s="142"/>
      <c r="BZ67" s="142"/>
      <c r="CA67" s="142"/>
      <c r="CB67" s="142"/>
      <c r="CC67" s="142"/>
      <c r="CD67" s="142"/>
      <c r="CE67" s="142"/>
      <c r="CF67" s="142">
        <v>1900</v>
      </c>
      <c r="CG67" s="142">
        <v>2077</v>
      </c>
      <c r="CH67" s="142">
        <v>0</v>
      </c>
      <c r="CI67" s="142">
        <v>0</v>
      </c>
      <c r="CJ67" s="142"/>
      <c r="CK67" s="142"/>
      <c r="CL67" s="142"/>
      <c r="CM67" s="142"/>
      <c r="CN67" s="142">
        <v>2856</v>
      </c>
      <c r="CO67" s="142"/>
      <c r="CP67" s="142"/>
      <c r="CQ67" s="142"/>
      <c r="CR67" s="142"/>
      <c r="CS67" s="142"/>
      <c r="CT67" s="142"/>
      <c r="CU67" s="155"/>
      <c r="CV67" s="155"/>
      <c r="CW67" s="155"/>
      <c r="CX67" s="155"/>
      <c r="CY67" s="155"/>
      <c r="CZ67" s="155"/>
      <c r="DA67" s="155"/>
      <c r="DC67" s="83"/>
      <c r="DD67" s="83"/>
      <c r="DE67" s="83"/>
      <c r="DF67" s="105"/>
      <c r="DG67" s="105"/>
      <c r="DH67" s="83"/>
      <c r="DI67" s="83"/>
      <c r="DJ67" s="83"/>
      <c r="DK67" s="83"/>
      <c r="DL67" s="83"/>
      <c r="DM67" s="83"/>
      <c r="DN67" s="142"/>
      <c r="DO67" s="142"/>
      <c r="DP67" s="142"/>
      <c r="DQ67" s="142"/>
      <c r="DR67" s="142"/>
      <c r="DS67" s="142"/>
      <c r="DT67" s="155"/>
      <c r="DU67" s="155"/>
      <c r="DV67" s="155"/>
      <c r="DW67" s="155"/>
      <c r="DX67" s="155"/>
      <c r="DY67" s="155"/>
      <c r="DZ67" s="155"/>
      <c r="EA67" s="155"/>
      <c r="EB67" s="155"/>
      <c r="EC67" s="155"/>
      <c r="ED67" s="155"/>
      <c r="EE67" s="155"/>
      <c r="EF67" s="155"/>
    </row>
    <row r="68" spans="2:136" s="75" customFormat="1" x14ac:dyDescent="0.2">
      <c r="B68" s="75" t="s">
        <v>436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>
        <v>115.6</v>
      </c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>
        <v>199.36</v>
      </c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142"/>
      <c r="BX68" s="142"/>
      <c r="BY68" s="142"/>
      <c r="BZ68" s="142"/>
      <c r="CA68" s="142"/>
      <c r="CB68" s="142"/>
      <c r="CC68" s="142"/>
      <c r="CD68" s="142"/>
      <c r="CE68" s="142"/>
      <c r="CF68" s="142">
        <v>0</v>
      </c>
      <c r="CG68" s="142"/>
      <c r="CH68" s="142">
        <v>0</v>
      </c>
      <c r="CI68" s="142">
        <v>0</v>
      </c>
      <c r="CJ68" s="142"/>
      <c r="CK68" s="142"/>
      <c r="CL68" s="142"/>
      <c r="CM68" s="142"/>
      <c r="CN68" s="142"/>
      <c r="CO68" s="142"/>
      <c r="CP68" s="142"/>
      <c r="CQ68" s="142"/>
      <c r="CR68" s="142"/>
      <c r="CS68" s="142"/>
      <c r="CT68" s="142"/>
      <c r="CU68" s="155"/>
      <c r="CV68" s="155"/>
      <c r="CW68" s="155"/>
      <c r="CX68" s="155"/>
      <c r="CY68" s="155"/>
      <c r="CZ68" s="155"/>
      <c r="DA68" s="155"/>
      <c r="DC68" s="83"/>
      <c r="DD68" s="83"/>
      <c r="DE68" s="83"/>
      <c r="DF68" s="105"/>
      <c r="DG68" s="105"/>
      <c r="DH68" s="83"/>
      <c r="DI68" s="83"/>
      <c r="DJ68" s="83"/>
      <c r="DK68" s="83"/>
      <c r="DL68" s="83"/>
      <c r="DM68" s="83"/>
      <c r="DN68" s="142"/>
      <c r="DO68" s="142"/>
      <c r="DP68" s="142"/>
      <c r="DQ68" s="142"/>
      <c r="DR68" s="142"/>
      <c r="DS68" s="142"/>
      <c r="DT68" s="155"/>
      <c r="DU68" s="155"/>
      <c r="DV68" s="155"/>
      <c r="DW68" s="155"/>
      <c r="DX68" s="155"/>
      <c r="DY68" s="155"/>
      <c r="DZ68" s="155"/>
      <c r="EA68" s="155"/>
      <c r="EB68" s="155"/>
      <c r="EC68" s="155"/>
      <c r="ED68" s="155"/>
      <c r="EE68" s="155"/>
      <c r="EF68" s="155"/>
    </row>
    <row r="69" spans="2:136" s="75" customFormat="1" x14ac:dyDescent="0.2">
      <c r="B69" s="75" t="s">
        <v>435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>
        <v>761.2</v>
      </c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>
        <v>1380.7760000000001</v>
      </c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142"/>
      <c r="BX69" s="142"/>
      <c r="BY69" s="142"/>
      <c r="BZ69" s="142"/>
      <c r="CA69" s="142"/>
      <c r="CB69" s="142"/>
      <c r="CC69" s="142"/>
      <c r="CD69" s="142"/>
      <c r="CE69" s="142"/>
      <c r="CF69" s="142">
        <v>5299</v>
      </c>
      <c r="CG69" s="142">
        <v>5349</v>
      </c>
      <c r="CH69" s="142">
        <v>5475</v>
      </c>
      <c r="CI69" s="142">
        <v>5479</v>
      </c>
      <c r="CJ69" s="142"/>
      <c r="CK69" s="142"/>
      <c r="CL69" s="142"/>
      <c r="CM69" s="142"/>
      <c r="CN69" s="142">
        <v>5346</v>
      </c>
      <c r="CO69" s="142"/>
      <c r="CP69" s="142"/>
      <c r="CQ69" s="142"/>
      <c r="CR69" s="142"/>
      <c r="CS69" s="142"/>
      <c r="CT69" s="142"/>
      <c r="CU69" s="155"/>
      <c r="CV69" s="155"/>
      <c r="CW69" s="155"/>
      <c r="CX69" s="155"/>
      <c r="CY69" s="155"/>
      <c r="CZ69" s="155"/>
      <c r="DA69" s="155"/>
      <c r="DC69" s="83"/>
      <c r="DD69" s="83"/>
      <c r="DE69" s="83"/>
      <c r="DF69" s="105"/>
      <c r="DG69" s="105"/>
      <c r="DH69" s="83"/>
      <c r="DI69" s="83"/>
      <c r="DJ69" s="83"/>
      <c r="DK69" s="83"/>
      <c r="DL69" s="83"/>
      <c r="DM69" s="83"/>
      <c r="DN69" s="142"/>
      <c r="DO69" s="142"/>
      <c r="DP69" s="142"/>
      <c r="DQ69" s="142"/>
      <c r="DR69" s="142"/>
      <c r="DS69" s="142"/>
      <c r="DT69" s="155"/>
      <c r="DU69" s="155"/>
      <c r="DV69" s="155"/>
      <c r="DW69" s="155"/>
      <c r="DX69" s="155"/>
      <c r="DY69" s="155"/>
      <c r="DZ69" s="155"/>
      <c r="EA69" s="155"/>
      <c r="EB69" s="155"/>
      <c r="EC69" s="155"/>
      <c r="ED69" s="155"/>
      <c r="EE69" s="155"/>
      <c r="EF69" s="155"/>
    </row>
    <row r="70" spans="2:136" s="75" customFormat="1" x14ac:dyDescent="0.2">
      <c r="B70" s="75" t="s">
        <v>434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>
        <v>181.1</v>
      </c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>
        <v>497.50200000000001</v>
      </c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142"/>
      <c r="BX70" s="142"/>
      <c r="BY70" s="142"/>
      <c r="BZ70" s="142"/>
      <c r="CA70" s="142"/>
      <c r="CB70" s="142"/>
      <c r="CC70" s="142"/>
      <c r="CD70" s="142"/>
      <c r="CE70" s="142"/>
      <c r="CF70" s="142">
        <v>0</v>
      </c>
      <c r="CG70" s="142"/>
      <c r="CH70" s="142">
        <v>0</v>
      </c>
      <c r="CI70" s="142">
        <v>0</v>
      </c>
      <c r="CJ70" s="142"/>
      <c r="CK70" s="142"/>
      <c r="CL70" s="142"/>
      <c r="CM70" s="142"/>
      <c r="CN70" s="142"/>
      <c r="CO70" s="142"/>
      <c r="CP70" s="142"/>
      <c r="CQ70" s="142"/>
      <c r="CR70" s="142"/>
      <c r="CS70" s="142"/>
      <c r="CT70" s="142"/>
      <c r="CU70" s="155"/>
      <c r="CV70" s="155"/>
      <c r="CW70" s="155"/>
      <c r="CX70" s="155"/>
      <c r="CY70" s="155"/>
      <c r="CZ70" s="155"/>
      <c r="DA70" s="155"/>
      <c r="DC70" s="83"/>
      <c r="DD70" s="83"/>
      <c r="DE70" s="83"/>
      <c r="DF70" s="105"/>
      <c r="DG70" s="105"/>
      <c r="DH70" s="83"/>
      <c r="DI70" s="83"/>
      <c r="DJ70" s="83"/>
      <c r="DK70" s="83"/>
      <c r="DL70" s="83"/>
      <c r="DM70" s="83"/>
      <c r="DN70" s="142"/>
      <c r="DO70" s="142"/>
      <c r="DP70" s="142"/>
      <c r="DQ70" s="142"/>
      <c r="DR70" s="142"/>
      <c r="DS70" s="142"/>
      <c r="DT70" s="155"/>
      <c r="DU70" s="155"/>
      <c r="DV70" s="155"/>
      <c r="DW70" s="155"/>
      <c r="DX70" s="155"/>
      <c r="DY70" s="155"/>
      <c r="DZ70" s="155"/>
      <c r="EA70" s="155"/>
      <c r="EB70" s="155"/>
      <c r="EC70" s="155"/>
      <c r="ED70" s="155"/>
      <c r="EE70" s="155"/>
      <c r="EF70" s="155"/>
    </row>
    <row r="71" spans="2:136" s="75" customFormat="1" x14ac:dyDescent="0.2">
      <c r="B71" s="75" t="s">
        <v>433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>
        <v>82.7</v>
      </c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>
        <v>153.55199999999999</v>
      </c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142"/>
      <c r="BX71" s="142"/>
      <c r="BY71" s="142"/>
      <c r="BZ71" s="142"/>
      <c r="CA71" s="142"/>
      <c r="CB71" s="142"/>
      <c r="CC71" s="142"/>
      <c r="CD71" s="142"/>
      <c r="CE71" s="142"/>
      <c r="CF71" s="142">
        <v>0</v>
      </c>
      <c r="CG71" s="142"/>
      <c r="CH71" s="142">
        <v>0</v>
      </c>
      <c r="CI71" s="142">
        <v>0</v>
      </c>
      <c r="CJ71" s="142"/>
      <c r="CK71" s="142"/>
      <c r="CL71" s="142"/>
      <c r="CM71" s="142"/>
      <c r="CN71" s="142"/>
      <c r="CO71" s="142"/>
      <c r="CP71" s="142"/>
      <c r="CQ71" s="142"/>
      <c r="CR71" s="142"/>
      <c r="CS71" s="142"/>
      <c r="CT71" s="142"/>
      <c r="CU71" s="155"/>
      <c r="CV71" s="155"/>
      <c r="CW71" s="155"/>
      <c r="CX71" s="155"/>
      <c r="CY71" s="155"/>
      <c r="CZ71" s="155"/>
      <c r="DA71" s="155"/>
      <c r="DC71" s="83"/>
      <c r="DD71" s="83"/>
      <c r="DE71" s="83"/>
      <c r="DF71" s="105"/>
      <c r="DG71" s="105"/>
      <c r="DH71" s="83"/>
      <c r="DI71" s="83"/>
      <c r="DJ71" s="83"/>
      <c r="DK71" s="83"/>
      <c r="DL71" s="83"/>
      <c r="DM71" s="83"/>
      <c r="DN71" s="142"/>
      <c r="DO71" s="142"/>
      <c r="DP71" s="142"/>
      <c r="DQ71" s="142"/>
      <c r="DR71" s="142"/>
      <c r="DS71" s="142"/>
      <c r="DT71" s="155"/>
      <c r="DU71" s="155"/>
      <c r="DV71" s="155"/>
      <c r="DW71" s="155"/>
      <c r="DX71" s="155"/>
      <c r="DY71" s="155"/>
      <c r="DZ71" s="155"/>
      <c r="EA71" s="155"/>
      <c r="EB71" s="155"/>
      <c r="EC71" s="155"/>
      <c r="ED71" s="155"/>
      <c r="EE71" s="155"/>
      <c r="EF71" s="155"/>
    </row>
    <row r="72" spans="2:136" s="75" customFormat="1" x14ac:dyDescent="0.2">
      <c r="B72" s="75" t="s">
        <v>432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>
        <v>2111</v>
      </c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>
        <f>11508.319+1171.561</f>
        <v>12679.88</v>
      </c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142"/>
      <c r="BX72" s="142"/>
      <c r="BY72" s="142"/>
      <c r="BZ72" s="142"/>
      <c r="CA72" s="142"/>
      <c r="CB72" s="142"/>
      <c r="CC72" s="142"/>
      <c r="CD72" s="142"/>
      <c r="CE72" s="142"/>
      <c r="CF72" s="142">
        <f>8314+29885</f>
        <v>38199</v>
      </c>
      <c r="CG72" s="142">
        <f>29440+8314</f>
        <v>37754</v>
      </c>
      <c r="CH72" s="142">
        <f>28894+8314</f>
        <v>37208</v>
      </c>
      <c r="CI72" s="142">
        <f>28348+8314</f>
        <v>36662</v>
      </c>
      <c r="CJ72" s="142"/>
      <c r="CK72" s="142"/>
      <c r="CL72" s="142"/>
      <c r="CM72" s="142"/>
      <c r="CN72" s="142">
        <f>22832+8314</f>
        <v>31146</v>
      </c>
      <c r="CO72" s="142"/>
      <c r="CP72" s="142"/>
      <c r="CQ72" s="142"/>
      <c r="CR72" s="142"/>
      <c r="CS72" s="142"/>
      <c r="CT72" s="142"/>
      <c r="CU72" s="155"/>
      <c r="CV72" s="155"/>
      <c r="CW72" s="155"/>
      <c r="CX72" s="155"/>
      <c r="CY72" s="155"/>
      <c r="CZ72" s="155"/>
      <c r="DA72" s="155"/>
      <c r="DC72" s="83"/>
      <c r="DD72" s="83"/>
      <c r="DE72" s="83"/>
      <c r="DF72" s="105"/>
      <c r="DG72" s="105"/>
      <c r="DH72" s="83"/>
      <c r="DI72" s="83"/>
      <c r="DJ72" s="83"/>
      <c r="DK72" s="83"/>
      <c r="DL72" s="83"/>
      <c r="DM72" s="83"/>
      <c r="DN72" s="142"/>
      <c r="DO72" s="142"/>
      <c r="DP72" s="142"/>
      <c r="DQ72" s="142"/>
      <c r="DR72" s="142"/>
      <c r="DS72" s="142"/>
      <c r="DT72" s="155"/>
      <c r="DU72" s="155"/>
      <c r="DV72" s="155"/>
      <c r="DW72" s="155"/>
      <c r="DX72" s="155"/>
      <c r="DY72" s="155"/>
      <c r="DZ72" s="155"/>
      <c r="EA72" s="155"/>
      <c r="EB72" s="155"/>
      <c r="EC72" s="155"/>
      <c r="ED72" s="155"/>
      <c r="EE72" s="155"/>
      <c r="EF72" s="155"/>
    </row>
    <row r="73" spans="2:136" s="75" customFormat="1" x14ac:dyDescent="0.2">
      <c r="B73" s="75" t="s">
        <v>16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>
        <v>131.6</v>
      </c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>
        <v>212.8</v>
      </c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142"/>
      <c r="BX73" s="142"/>
      <c r="BY73" s="142"/>
      <c r="BZ73" s="142"/>
      <c r="CA73" s="142"/>
      <c r="CB73" s="142"/>
      <c r="CC73" s="142"/>
      <c r="CD73" s="142"/>
      <c r="CE73" s="142"/>
      <c r="CF73" s="142">
        <v>4860</v>
      </c>
      <c r="CG73" s="142">
        <v>4618</v>
      </c>
      <c r="CH73" s="142">
        <v>4800</v>
      </c>
      <c r="CI73" s="142">
        <v>4952</v>
      </c>
      <c r="CJ73" s="142"/>
      <c r="CK73" s="142"/>
      <c r="CL73" s="142"/>
      <c r="CM73" s="142"/>
      <c r="CN73" s="142">
        <v>4770</v>
      </c>
      <c r="CO73" s="142"/>
      <c r="CP73" s="142"/>
      <c r="CQ73" s="142"/>
      <c r="CR73" s="142"/>
      <c r="CS73" s="142"/>
      <c r="CT73" s="142"/>
      <c r="CU73" s="155"/>
      <c r="CV73" s="155"/>
      <c r="CW73" s="155"/>
      <c r="CX73" s="155"/>
      <c r="CY73" s="155"/>
      <c r="CZ73" s="155"/>
      <c r="DA73" s="155"/>
      <c r="DC73" s="83"/>
      <c r="DD73" s="83"/>
      <c r="DE73" s="83"/>
      <c r="DF73" s="105"/>
      <c r="DG73" s="105"/>
      <c r="DH73" s="83"/>
      <c r="DI73" s="83"/>
      <c r="DJ73" s="83"/>
      <c r="DK73" s="83"/>
      <c r="DL73" s="83"/>
      <c r="DM73" s="83"/>
      <c r="DN73" s="142"/>
      <c r="DO73" s="142"/>
      <c r="DP73" s="142"/>
      <c r="DQ73" s="142"/>
      <c r="DR73" s="142"/>
      <c r="DS73" s="142"/>
      <c r="DT73" s="155"/>
      <c r="DU73" s="155"/>
      <c r="DV73" s="155"/>
      <c r="DW73" s="155"/>
      <c r="DX73" s="155"/>
      <c r="DY73" s="155"/>
      <c r="DZ73" s="155"/>
      <c r="EA73" s="155"/>
      <c r="EB73" s="155"/>
      <c r="EC73" s="155"/>
      <c r="ED73" s="155"/>
      <c r="EE73" s="155"/>
      <c r="EF73" s="155"/>
    </row>
    <row r="74" spans="2:136" s="75" customFormat="1" x14ac:dyDescent="0.2">
      <c r="B74" s="75" t="s">
        <v>431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>
        <f>SUM(AI62:AI73)</f>
        <v>0</v>
      </c>
      <c r="AJ74" s="83">
        <f>SUM(AJ62:AJ73)</f>
        <v>0</v>
      </c>
      <c r="AK74" s="83">
        <f>SUM(AK62:AK73)</f>
        <v>0</v>
      </c>
      <c r="AL74" s="83"/>
      <c r="AM74" s="83">
        <f>SUM(AM62:AM73)</f>
        <v>0</v>
      </c>
      <c r="AN74" s="83">
        <f t="shared" ref="AN74:AO74" si="316">SUM(AN62:AN73)</f>
        <v>0</v>
      </c>
      <c r="AO74" s="83">
        <f t="shared" si="316"/>
        <v>12640</v>
      </c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>
        <f>SUM(AZ62:AZ73)</f>
        <v>31206.164000000001</v>
      </c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142"/>
      <c r="BX74" s="142"/>
      <c r="BY74" s="142"/>
      <c r="BZ74" s="142"/>
      <c r="CA74" s="142"/>
      <c r="CB74" s="142"/>
      <c r="CC74" s="142"/>
      <c r="CD74" s="142"/>
      <c r="CE74" s="142"/>
      <c r="CF74" s="142">
        <f>SUM(CF62:CF73)</f>
        <v>62870</v>
      </c>
      <c r="CG74" s="142">
        <f>SUM(CG62:CG73)</f>
        <v>62557</v>
      </c>
      <c r="CH74" s="142">
        <f>SUM(CH62:CH73)</f>
        <v>63171</v>
      </c>
      <c r="CI74" s="142">
        <f>SUM(CI62:CI73)</f>
        <v>61876</v>
      </c>
      <c r="CJ74" s="142">
        <f t="shared" ref="CJ74:CN74" si="317">SUM(CJ62:CJ73)</f>
        <v>0</v>
      </c>
      <c r="CK74" s="142">
        <f t="shared" si="317"/>
        <v>0</v>
      </c>
      <c r="CL74" s="142">
        <f t="shared" si="317"/>
        <v>0</v>
      </c>
      <c r="CM74" s="142">
        <f t="shared" si="317"/>
        <v>0</v>
      </c>
      <c r="CN74" s="142">
        <f t="shared" si="317"/>
        <v>53579</v>
      </c>
      <c r="CO74" s="142"/>
      <c r="CP74" s="142"/>
      <c r="CQ74" s="142"/>
      <c r="CR74" s="142"/>
      <c r="CS74" s="142"/>
      <c r="CT74" s="142"/>
      <c r="CU74" s="155"/>
      <c r="CV74" s="155"/>
      <c r="CW74" s="155"/>
      <c r="CX74" s="155"/>
      <c r="CY74" s="155"/>
      <c r="CZ74" s="155"/>
      <c r="DA74" s="155"/>
      <c r="DC74" s="83"/>
      <c r="DD74" s="83"/>
      <c r="DE74" s="83"/>
      <c r="DF74" s="105"/>
      <c r="DG74" s="105"/>
      <c r="DH74" s="83"/>
      <c r="DI74" s="83"/>
      <c r="DJ74" s="83"/>
      <c r="DK74" s="83"/>
      <c r="DL74" s="83"/>
      <c r="DM74" s="83"/>
      <c r="DN74" s="142"/>
      <c r="DO74" s="142"/>
      <c r="DP74" s="142"/>
      <c r="DQ74" s="142"/>
      <c r="DR74" s="142"/>
      <c r="DS74" s="142"/>
      <c r="DT74" s="155"/>
      <c r="DU74" s="155"/>
      <c r="DV74" s="155"/>
      <c r="DW74" s="155"/>
      <c r="DX74" s="155"/>
      <c r="DY74" s="155"/>
      <c r="DZ74" s="155"/>
      <c r="EA74" s="155"/>
      <c r="EB74" s="155"/>
      <c r="EC74" s="155"/>
      <c r="ED74" s="155"/>
      <c r="EE74" s="155"/>
      <c r="EF74" s="155"/>
    </row>
    <row r="75" spans="2:136" s="75" customFormat="1" x14ac:dyDescent="0.2"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142"/>
      <c r="BX75" s="142"/>
      <c r="BY75" s="142"/>
      <c r="BZ75" s="142"/>
      <c r="CA75" s="142"/>
      <c r="CB75" s="142"/>
      <c r="CC75" s="142"/>
      <c r="CD75" s="142"/>
      <c r="CE75" s="142"/>
      <c r="CF75" s="142"/>
      <c r="CG75" s="142"/>
      <c r="CH75" s="142"/>
      <c r="CI75" s="142"/>
      <c r="CJ75" s="142"/>
      <c r="CK75" s="142"/>
      <c r="CL75" s="142"/>
      <c r="CM75" s="142"/>
      <c r="CN75" s="142"/>
      <c r="CO75" s="142"/>
      <c r="CP75" s="142"/>
      <c r="CQ75" s="142"/>
      <c r="CR75" s="142"/>
      <c r="CS75" s="142"/>
      <c r="CT75" s="142"/>
      <c r="CU75" s="155"/>
      <c r="CV75" s="155"/>
      <c r="CW75" s="155"/>
      <c r="CX75" s="155"/>
      <c r="CY75" s="155"/>
      <c r="CZ75" s="155"/>
      <c r="DA75" s="155"/>
      <c r="DC75" s="83"/>
      <c r="DD75" s="83"/>
      <c r="DE75" s="83"/>
      <c r="DF75" s="105"/>
      <c r="DG75" s="105"/>
      <c r="DH75" s="83"/>
      <c r="DI75" s="83"/>
      <c r="DJ75" s="83"/>
      <c r="DK75" s="83"/>
      <c r="DL75" s="83"/>
      <c r="DM75" s="83"/>
      <c r="DN75" s="142"/>
      <c r="DO75" s="142"/>
      <c r="DP75" s="142"/>
      <c r="DQ75" s="142"/>
      <c r="DR75" s="142"/>
      <c r="DS75" s="142"/>
      <c r="DT75" s="155"/>
      <c r="DU75" s="155"/>
      <c r="DV75" s="155"/>
      <c r="DW75" s="155"/>
      <c r="DX75" s="155"/>
      <c r="DY75" s="155"/>
      <c r="DZ75" s="155"/>
      <c r="EA75" s="155"/>
      <c r="EB75" s="155"/>
      <c r="EC75" s="155"/>
      <c r="ED75" s="155"/>
      <c r="EE75" s="155"/>
      <c r="EF75" s="155"/>
    </row>
    <row r="76" spans="2:136" s="75" customFormat="1" x14ac:dyDescent="0.2">
      <c r="B76" s="75" t="s">
        <v>430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>
        <v>1063.7</v>
      </c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>
        <v>1162.307</v>
      </c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142"/>
      <c r="BX76" s="142"/>
      <c r="BY76" s="142"/>
      <c r="BZ76" s="142"/>
      <c r="CA76" s="142"/>
      <c r="CB76" s="142"/>
      <c r="CC76" s="142"/>
      <c r="CD76" s="142"/>
      <c r="CE76" s="142"/>
      <c r="CF76" s="142">
        <v>565</v>
      </c>
      <c r="CG76" s="142">
        <v>614</v>
      </c>
      <c r="CH76" s="142">
        <v>905</v>
      </c>
      <c r="CI76" s="142">
        <v>627</v>
      </c>
      <c r="CJ76" s="142"/>
      <c r="CK76" s="142"/>
      <c r="CL76" s="142"/>
      <c r="CM76" s="142"/>
      <c r="CN76" s="142">
        <v>537</v>
      </c>
      <c r="CO76" s="142"/>
      <c r="CP76" s="142"/>
      <c r="CQ76" s="142"/>
      <c r="CR76" s="142"/>
      <c r="CS76" s="142"/>
      <c r="CT76" s="142"/>
      <c r="CU76" s="155"/>
      <c r="CV76" s="155"/>
      <c r="CW76" s="155"/>
      <c r="CX76" s="155"/>
      <c r="CY76" s="155"/>
      <c r="CZ76" s="155"/>
      <c r="DA76" s="155"/>
      <c r="DC76" s="83"/>
      <c r="DD76" s="83"/>
      <c r="DE76" s="83"/>
      <c r="DF76" s="105"/>
      <c r="DG76" s="105"/>
      <c r="DH76" s="83"/>
      <c r="DI76" s="83"/>
      <c r="DJ76" s="83"/>
      <c r="DK76" s="83"/>
      <c r="DL76" s="83"/>
      <c r="DM76" s="83"/>
      <c r="DN76" s="142"/>
      <c r="DO76" s="142"/>
      <c r="DP76" s="142"/>
      <c r="DQ76" s="142"/>
      <c r="DR76" s="142"/>
      <c r="DS76" s="142"/>
      <c r="DT76" s="155"/>
      <c r="DU76" s="155"/>
      <c r="DV76" s="155"/>
      <c r="DW76" s="155"/>
      <c r="DX76" s="155"/>
      <c r="DY76" s="155"/>
      <c r="DZ76" s="155"/>
      <c r="EA76" s="155"/>
      <c r="EB76" s="155"/>
      <c r="EC76" s="155"/>
      <c r="ED76" s="155"/>
      <c r="EE76" s="155"/>
      <c r="EF76" s="155"/>
    </row>
    <row r="77" spans="2:136" s="75" customFormat="1" x14ac:dyDescent="0.2">
      <c r="B77" s="75" t="s">
        <v>429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>
        <v>412.4</v>
      </c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>
        <v>1606.5550000000001</v>
      </c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142"/>
      <c r="BX77" s="142"/>
      <c r="BY77" s="142"/>
      <c r="BZ77" s="142"/>
      <c r="CA77" s="142"/>
      <c r="CB77" s="142"/>
      <c r="CC77" s="142"/>
      <c r="CD77" s="142"/>
      <c r="CE77" s="142"/>
      <c r="CF77" s="142">
        <v>3519</v>
      </c>
      <c r="CG77" s="142">
        <v>3674</v>
      </c>
      <c r="CH77" s="142">
        <v>3479</v>
      </c>
      <c r="CI77" s="142">
        <v>3477</v>
      </c>
      <c r="CJ77" s="142"/>
      <c r="CK77" s="142"/>
      <c r="CL77" s="142"/>
      <c r="CM77" s="142"/>
      <c r="CN77" s="142">
        <v>3923</v>
      </c>
      <c r="CO77" s="142"/>
      <c r="CP77" s="142"/>
      <c r="CQ77" s="142"/>
      <c r="CR77" s="142"/>
      <c r="CS77" s="142"/>
      <c r="CT77" s="142"/>
      <c r="CU77" s="155"/>
      <c r="CV77" s="155"/>
      <c r="CW77" s="155"/>
      <c r="CX77" s="155"/>
      <c r="CY77" s="155"/>
      <c r="CZ77" s="155"/>
      <c r="DA77" s="155"/>
      <c r="DC77" s="83"/>
      <c r="DD77" s="83"/>
      <c r="DE77" s="83"/>
      <c r="DF77" s="105"/>
      <c r="DG77" s="105"/>
      <c r="DH77" s="83"/>
      <c r="DI77" s="83"/>
      <c r="DJ77" s="83"/>
      <c r="DK77" s="83"/>
      <c r="DL77" s="83"/>
      <c r="DM77" s="83"/>
      <c r="DN77" s="142"/>
      <c r="DO77" s="142"/>
      <c r="DP77" s="142"/>
      <c r="DQ77" s="142"/>
      <c r="DR77" s="142"/>
      <c r="DS77" s="142"/>
      <c r="DT77" s="155"/>
      <c r="DU77" s="155"/>
      <c r="DV77" s="155"/>
      <c r="DW77" s="155"/>
      <c r="DX77" s="155"/>
      <c r="DY77" s="155"/>
      <c r="DZ77" s="155"/>
      <c r="EA77" s="155"/>
      <c r="EB77" s="155"/>
      <c r="EC77" s="155"/>
      <c r="ED77" s="155"/>
      <c r="EE77" s="155"/>
      <c r="EF77" s="155"/>
    </row>
    <row r="78" spans="2:136" s="75" customFormat="1" x14ac:dyDescent="0.2">
      <c r="B78" s="75" t="s">
        <v>428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>
        <v>149.1</v>
      </c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>
        <v>220.09299999999999</v>
      </c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142"/>
      <c r="BX78" s="142"/>
      <c r="BY78" s="142"/>
      <c r="BZ78" s="142"/>
      <c r="CA78" s="142"/>
      <c r="CB78" s="142"/>
      <c r="CC78" s="142"/>
      <c r="CD78" s="142"/>
      <c r="CE78" s="142"/>
      <c r="CF78" s="142"/>
      <c r="CG78" s="142"/>
      <c r="CH78" s="142"/>
      <c r="CI78" s="142"/>
      <c r="CJ78" s="142"/>
      <c r="CK78" s="142"/>
      <c r="CL78" s="142"/>
      <c r="CM78" s="142"/>
      <c r="CN78" s="142"/>
      <c r="CO78" s="142"/>
      <c r="CP78" s="142"/>
      <c r="CQ78" s="142"/>
      <c r="CR78" s="142"/>
      <c r="CS78" s="142"/>
      <c r="CT78" s="142"/>
      <c r="CU78" s="155"/>
      <c r="CV78" s="155"/>
      <c r="CW78" s="155"/>
      <c r="CX78" s="155"/>
      <c r="CY78" s="155"/>
      <c r="CZ78" s="155"/>
      <c r="DA78" s="155"/>
      <c r="DC78" s="83"/>
      <c r="DD78" s="83"/>
      <c r="DE78" s="83"/>
      <c r="DF78" s="105"/>
      <c r="DG78" s="105"/>
      <c r="DH78" s="83"/>
      <c r="DI78" s="83"/>
      <c r="DJ78" s="83"/>
      <c r="DK78" s="83"/>
      <c r="DL78" s="83"/>
      <c r="DM78" s="83"/>
      <c r="DN78" s="142"/>
      <c r="DO78" s="142"/>
      <c r="DP78" s="142"/>
      <c r="DQ78" s="142"/>
      <c r="DR78" s="142"/>
      <c r="DS78" s="142"/>
      <c r="DT78" s="155"/>
      <c r="DU78" s="155"/>
      <c r="DV78" s="155"/>
      <c r="DW78" s="155"/>
      <c r="DX78" s="155"/>
      <c r="DY78" s="155"/>
      <c r="DZ78" s="155"/>
      <c r="EA78" s="155"/>
      <c r="EB78" s="155"/>
      <c r="EC78" s="155"/>
      <c r="ED78" s="155"/>
      <c r="EE78" s="155"/>
      <c r="EF78" s="155"/>
    </row>
    <row r="79" spans="2:136" s="75" customFormat="1" x14ac:dyDescent="0.2">
      <c r="B79" s="75" t="s">
        <v>425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>
        <v>33.700000000000003</v>
      </c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>
        <v>97.302000000000007</v>
      </c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142"/>
      <c r="BX79" s="142"/>
      <c r="BY79" s="142"/>
      <c r="BZ79" s="142"/>
      <c r="CA79" s="142"/>
      <c r="CB79" s="142"/>
      <c r="CC79" s="142"/>
      <c r="CD79" s="142"/>
      <c r="CE79" s="142"/>
      <c r="CF79" s="142"/>
      <c r="CG79" s="142"/>
      <c r="CH79" s="142"/>
      <c r="CI79" s="142"/>
      <c r="CJ79" s="142"/>
      <c r="CK79" s="142"/>
      <c r="CL79" s="142"/>
      <c r="CM79" s="142"/>
      <c r="CN79" s="142"/>
      <c r="CO79" s="142"/>
      <c r="CP79" s="142"/>
      <c r="CQ79" s="142"/>
      <c r="CR79" s="142"/>
      <c r="CS79" s="142"/>
      <c r="CT79" s="142"/>
      <c r="CU79" s="155"/>
      <c r="CV79" s="155"/>
      <c r="CW79" s="155"/>
      <c r="CX79" s="155"/>
      <c r="CY79" s="155"/>
      <c r="CZ79" s="155"/>
      <c r="DA79" s="155"/>
      <c r="DC79" s="83"/>
      <c r="DD79" s="83"/>
      <c r="DE79" s="83"/>
      <c r="DF79" s="105"/>
      <c r="DG79" s="105"/>
      <c r="DH79" s="83"/>
      <c r="DI79" s="83"/>
      <c r="DJ79" s="83"/>
      <c r="DK79" s="83"/>
      <c r="DL79" s="83"/>
      <c r="DM79" s="83"/>
      <c r="DN79" s="142"/>
      <c r="DO79" s="142"/>
      <c r="DP79" s="142"/>
      <c r="DQ79" s="142"/>
      <c r="DR79" s="142"/>
      <c r="DS79" s="142"/>
      <c r="DT79" s="155"/>
      <c r="DU79" s="155"/>
      <c r="DV79" s="155"/>
      <c r="DW79" s="155"/>
      <c r="DX79" s="155"/>
      <c r="DY79" s="155"/>
      <c r="DZ79" s="155"/>
      <c r="EA79" s="155"/>
      <c r="EB79" s="155"/>
      <c r="EC79" s="155"/>
      <c r="ED79" s="155"/>
      <c r="EE79" s="155"/>
      <c r="EF79" s="155"/>
    </row>
    <row r="80" spans="2:136" s="75" customFormat="1" x14ac:dyDescent="0.2">
      <c r="B80" s="75" t="s">
        <v>427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>
        <v>495.3</v>
      </c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>
        <v>1443.377</v>
      </c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142"/>
      <c r="BX80" s="142"/>
      <c r="BY80" s="142"/>
      <c r="BZ80" s="142"/>
      <c r="CA80" s="142"/>
      <c r="CB80" s="142"/>
      <c r="CC80" s="142"/>
      <c r="CD80" s="142"/>
      <c r="CE80" s="142"/>
      <c r="CF80" s="142">
        <v>4115</v>
      </c>
      <c r="CG80" s="142">
        <v>3865</v>
      </c>
      <c r="CH80" s="142">
        <v>4580</v>
      </c>
      <c r="CI80" s="142">
        <v>4140</v>
      </c>
      <c r="CJ80" s="142"/>
      <c r="CK80" s="142"/>
      <c r="CL80" s="142"/>
      <c r="CM80" s="142"/>
      <c r="CN80" s="142">
        <v>4510</v>
      </c>
      <c r="CO80" s="142"/>
      <c r="CP80" s="142"/>
      <c r="CQ80" s="142"/>
      <c r="CR80" s="142"/>
      <c r="CS80" s="142"/>
      <c r="CT80" s="142"/>
      <c r="CU80" s="155"/>
      <c r="CV80" s="155"/>
      <c r="CW80" s="155"/>
      <c r="CX80" s="155"/>
      <c r="CY80" s="155"/>
      <c r="CZ80" s="155"/>
      <c r="DA80" s="155"/>
      <c r="DC80" s="83"/>
      <c r="DD80" s="83"/>
      <c r="DE80" s="83"/>
      <c r="DF80" s="105"/>
      <c r="DG80" s="105"/>
      <c r="DH80" s="83"/>
      <c r="DI80" s="83"/>
      <c r="DJ80" s="83"/>
      <c r="DK80" s="83"/>
      <c r="DL80" s="83"/>
      <c r="DM80" s="83"/>
      <c r="DN80" s="142"/>
      <c r="DO80" s="142"/>
      <c r="DP80" s="142"/>
      <c r="DQ80" s="142"/>
      <c r="DR80" s="142"/>
      <c r="DS80" s="142"/>
      <c r="DT80" s="155"/>
      <c r="DU80" s="155"/>
      <c r="DV80" s="155"/>
      <c r="DW80" s="155"/>
      <c r="DX80" s="155"/>
      <c r="DY80" s="155"/>
      <c r="DZ80" s="155"/>
      <c r="EA80" s="155"/>
      <c r="EB80" s="155"/>
      <c r="EC80" s="155"/>
      <c r="ED80" s="155"/>
      <c r="EE80" s="155"/>
      <c r="EF80" s="155"/>
    </row>
    <row r="81" spans="2:136" s="75" customFormat="1" x14ac:dyDescent="0.2">
      <c r="B81" s="75" t="s">
        <v>426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>
        <f>68.7+34.7</f>
        <v>103.4</v>
      </c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>
        <v>126.28400000000001</v>
      </c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142"/>
      <c r="BX81" s="142"/>
      <c r="BY81" s="142"/>
      <c r="BZ81" s="142"/>
      <c r="CA81" s="142"/>
      <c r="CB81" s="142"/>
      <c r="CC81" s="142"/>
      <c r="CD81" s="142"/>
      <c r="CE81" s="142"/>
      <c r="CF81" s="142"/>
      <c r="CG81" s="142"/>
      <c r="CH81" s="142"/>
      <c r="CI81" s="142"/>
      <c r="CJ81" s="142"/>
      <c r="CK81" s="142"/>
      <c r="CL81" s="142"/>
      <c r="CM81" s="142"/>
      <c r="CN81" s="142"/>
      <c r="CO81" s="142"/>
      <c r="CP81" s="142"/>
      <c r="CQ81" s="142"/>
      <c r="CR81" s="142"/>
      <c r="CS81" s="142"/>
      <c r="CT81" s="142"/>
      <c r="CU81" s="155"/>
      <c r="CV81" s="155"/>
      <c r="CW81" s="155"/>
      <c r="CX81" s="155"/>
      <c r="CY81" s="155"/>
      <c r="CZ81" s="155"/>
      <c r="DA81" s="155"/>
      <c r="DC81" s="83"/>
      <c r="DD81" s="83"/>
      <c r="DE81" s="83"/>
      <c r="DF81" s="105"/>
      <c r="DG81" s="105"/>
      <c r="DH81" s="83"/>
      <c r="DI81" s="83"/>
      <c r="DJ81" s="83"/>
      <c r="DK81" s="83"/>
      <c r="DL81" s="83"/>
      <c r="DM81" s="83"/>
      <c r="DN81" s="142"/>
      <c r="DO81" s="142"/>
      <c r="DP81" s="142"/>
      <c r="DQ81" s="142"/>
      <c r="DR81" s="142"/>
      <c r="DS81" s="142"/>
      <c r="DT81" s="155"/>
      <c r="DU81" s="155"/>
      <c r="DV81" s="155"/>
      <c r="DW81" s="155"/>
      <c r="DX81" s="155"/>
      <c r="DY81" s="155"/>
      <c r="DZ81" s="155"/>
      <c r="EA81" s="155"/>
      <c r="EB81" s="155"/>
      <c r="EC81" s="155"/>
      <c r="ED81" s="155"/>
      <c r="EE81" s="155"/>
      <c r="EF81" s="155"/>
    </row>
    <row r="82" spans="2:136" s="75" customFormat="1" x14ac:dyDescent="0.2">
      <c r="B82" s="75" t="s">
        <v>208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>
        <v>3891.8</v>
      </c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>
        <f>1572.079+7932.536</f>
        <v>9504.6149999999998</v>
      </c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142"/>
      <c r="BX82" s="142"/>
      <c r="BY82" s="142"/>
      <c r="BZ82" s="142"/>
      <c r="CA82" s="142"/>
      <c r="CB82" s="142"/>
      <c r="CC82" s="142"/>
      <c r="CD82" s="142"/>
      <c r="CE82" s="142"/>
      <c r="CF82" s="142">
        <f>1021+25195</f>
        <v>26216</v>
      </c>
      <c r="CG82" s="142">
        <f>2270+22953</f>
        <v>25223</v>
      </c>
      <c r="CH82" s="142">
        <f>22957+2273</f>
        <v>25230</v>
      </c>
      <c r="CI82" s="142">
        <f>2283+22956</f>
        <v>25239</v>
      </c>
      <c r="CJ82" s="142"/>
      <c r="CK82" s="142"/>
      <c r="CL82" s="142"/>
      <c r="CM82" s="142"/>
      <c r="CN82" s="142">
        <f>1810+21540</f>
        <v>23350</v>
      </c>
      <c r="CO82" s="142"/>
      <c r="CP82" s="142"/>
      <c r="CQ82" s="142"/>
      <c r="CR82" s="142"/>
      <c r="CS82" s="142"/>
      <c r="CT82" s="142"/>
      <c r="CU82" s="155"/>
      <c r="CV82" s="155"/>
      <c r="CW82" s="155"/>
      <c r="CX82" s="155"/>
      <c r="CY82" s="155"/>
      <c r="CZ82" s="155"/>
      <c r="DA82" s="155"/>
      <c r="DC82" s="83"/>
      <c r="DD82" s="83"/>
      <c r="DE82" s="83"/>
      <c r="DF82" s="105"/>
      <c r="DG82" s="105"/>
      <c r="DH82" s="83"/>
      <c r="DI82" s="83"/>
      <c r="DJ82" s="83"/>
      <c r="DK82" s="83"/>
      <c r="DL82" s="83"/>
      <c r="DM82" s="83"/>
      <c r="DN82" s="142"/>
      <c r="DO82" s="142"/>
      <c r="DP82" s="142"/>
      <c r="DQ82" s="142"/>
      <c r="DR82" s="142"/>
      <c r="DS82" s="142"/>
      <c r="DT82" s="155"/>
      <c r="DU82" s="155"/>
      <c r="DV82" s="155"/>
      <c r="DW82" s="155"/>
      <c r="DX82" s="155"/>
      <c r="DY82" s="155"/>
      <c r="DZ82" s="155"/>
      <c r="EA82" s="155"/>
      <c r="EB82" s="155"/>
      <c r="EC82" s="155"/>
      <c r="ED82" s="155"/>
      <c r="EE82" s="155"/>
      <c r="EF82" s="155"/>
    </row>
    <row r="83" spans="2:136" s="75" customFormat="1" x14ac:dyDescent="0.2">
      <c r="B83" s="75" t="s">
        <v>425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>
        <v>117</v>
      </c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>
        <f>338.238+67.98</f>
        <v>406.21800000000002</v>
      </c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142"/>
      <c r="BX83" s="142"/>
      <c r="BY83" s="142"/>
      <c r="BZ83" s="142"/>
      <c r="CA83" s="142"/>
      <c r="CB83" s="142"/>
      <c r="CC83" s="142"/>
      <c r="CD83" s="142"/>
      <c r="CE83" s="142"/>
      <c r="CF83" s="142">
        <f>3888+3364</f>
        <v>7252</v>
      </c>
      <c r="CG83" s="142">
        <f>3982+3036</f>
        <v>7018</v>
      </c>
      <c r="CH83" s="142">
        <f>2673+3916</f>
        <v>6589</v>
      </c>
      <c r="CI83" s="142">
        <f>3775+2401</f>
        <v>6176</v>
      </c>
      <c r="CJ83" s="142"/>
      <c r="CK83" s="142"/>
      <c r="CL83" s="142"/>
      <c r="CM83" s="142"/>
      <c r="CN83" s="142">
        <v>738</v>
      </c>
      <c r="CO83" s="142"/>
      <c r="CP83" s="142"/>
      <c r="CQ83" s="142"/>
      <c r="CR83" s="142"/>
      <c r="CS83" s="142"/>
      <c r="CT83" s="142"/>
      <c r="CU83" s="155"/>
      <c r="CV83" s="155"/>
      <c r="CW83" s="155"/>
      <c r="CX83" s="155"/>
      <c r="CY83" s="155"/>
      <c r="CZ83" s="155"/>
      <c r="DA83" s="155"/>
      <c r="DC83" s="83"/>
      <c r="DD83" s="83"/>
      <c r="DE83" s="83"/>
      <c r="DF83" s="105"/>
      <c r="DG83" s="105"/>
      <c r="DH83" s="83"/>
      <c r="DI83" s="83"/>
      <c r="DJ83" s="83"/>
      <c r="DK83" s="83"/>
      <c r="DL83" s="83"/>
      <c r="DM83" s="83"/>
      <c r="DN83" s="142"/>
      <c r="DO83" s="142"/>
      <c r="DP83" s="142"/>
      <c r="DQ83" s="142"/>
      <c r="DR83" s="142"/>
      <c r="DS83" s="142"/>
      <c r="DT83" s="155"/>
      <c r="DU83" s="155"/>
      <c r="DV83" s="155"/>
      <c r="DW83" s="155"/>
      <c r="DX83" s="155"/>
      <c r="DY83" s="155"/>
      <c r="DZ83" s="155"/>
      <c r="EA83" s="155"/>
      <c r="EB83" s="155"/>
      <c r="EC83" s="155"/>
      <c r="ED83" s="155"/>
      <c r="EE83" s="155"/>
      <c r="EF83" s="155"/>
    </row>
    <row r="84" spans="2:136" s="75" customFormat="1" x14ac:dyDescent="0.2">
      <c r="B84" s="75" t="s">
        <v>424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>
        <v>138.80000000000001</v>
      </c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>
        <v>174.196</v>
      </c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142"/>
      <c r="BX84" s="142"/>
      <c r="BY84" s="142"/>
      <c r="BZ84" s="142"/>
      <c r="CA84" s="142"/>
      <c r="CB84" s="142"/>
      <c r="CC84" s="142"/>
      <c r="CD84" s="142"/>
      <c r="CE84" s="142"/>
      <c r="CF84" s="142">
        <v>988</v>
      </c>
      <c r="CG84" s="142">
        <v>1106</v>
      </c>
      <c r="CH84" s="142">
        <v>1179</v>
      </c>
      <c r="CI84" s="142">
        <v>1277</v>
      </c>
      <c r="CJ84" s="142"/>
      <c r="CK84" s="142"/>
      <c r="CL84" s="142"/>
      <c r="CM84" s="142"/>
      <c r="CN84" s="142">
        <f>907+1418</f>
        <v>2325</v>
      </c>
      <c r="CO84" s="142"/>
      <c r="CP84" s="142"/>
      <c r="CQ84" s="142"/>
      <c r="CR84" s="142"/>
      <c r="CS84" s="142"/>
      <c r="CT84" s="142"/>
      <c r="CU84" s="155"/>
      <c r="CV84" s="155"/>
      <c r="CW84" s="155"/>
      <c r="CX84" s="155"/>
      <c r="CY84" s="155"/>
      <c r="CZ84" s="155"/>
      <c r="DA84" s="155"/>
      <c r="DC84" s="83"/>
      <c r="DD84" s="83"/>
      <c r="DE84" s="83"/>
      <c r="DF84" s="105"/>
      <c r="DG84" s="105"/>
      <c r="DH84" s="83"/>
      <c r="DI84" s="83"/>
      <c r="DJ84" s="83"/>
      <c r="DK84" s="83"/>
      <c r="DL84" s="83"/>
      <c r="DM84" s="83"/>
      <c r="DN84" s="142"/>
      <c r="DO84" s="142"/>
      <c r="DP84" s="142"/>
      <c r="DQ84" s="142"/>
      <c r="DR84" s="142"/>
      <c r="DS84" s="142"/>
      <c r="DT84" s="155"/>
      <c r="DU84" s="155"/>
      <c r="DV84" s="155"/>
      <c r="DW84" s="155"/>
      <c r="DX84" s="155"/>
      <c r="DY84" s="155"/>
      <c r="DZ84" s="155"/>
      <c r="EA84" s="155"/>
      <c r="EB84" s="155"/>
      <c r="EC84" s="155"/>
      <c r="ED84" s="155"/>
      <c r="EE84" s="155"/>
      <c r="EF84" s="155"/>
    </row>
    <row r="85" spans="2:136" s="75" customFormat="1" x14ac:dyDescent="0.2">
      <c r="B85" s="100" t="s">
        <v>508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>
        <f>SUM(AI76:AI84)</f>
        <v>0</v>
      </c>
      <c r="AJ85" s="83">
        <f t="shared" ref="AJ85:AO85" si="318">SUM(AJ76:AJ84)</f>
        <v>0</v>
      </c>
      <c r="AK85" s="83">
        <f t="shared" si="318"/>
        <v>0</v>
      </c>
      <c r="AL85" s="83">
        <f t="shared" si="318"/>
        <v>0</v>
      </c>
      <c r="AM85" s="83">
        <f t="shared" si="318"/>
        <v>0</v>
      </c>
      <c r="AN85" s="83">
        <f t="shared" si="318"/>
        <v>0</v>
      </c>
      <c r="AO85" s="83">
        <f t="shared" si="318"/>
        <v>6405.2</v>
      </c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>
        <f>SUM(AZ76:AZ84)</f>
        <v>14740.947</v>
      </c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142"/>
      <c r="BX85" s="142"/>
      <c r="BY85" s="142"/>
      <c r="BZ85" s="142"/>
      <c r="CA85" s="142"/>
      <c r="CB85" s="142"/>
      <c r="CC85" s="142"/>
      <c r="CD85" s="142"/>
      <c r="CE85" s="142"/>
      <c r="CF85" s="142"/>
      <c r="CG85" s="142"/>
      <c r="CH85" s="142"/>
      <c r="CI85" s="142"/>
      <c r="CJ85" s="142"/>
      <c r="CK85" s="142"/>
      <c r="CL85" s="142"/>
      <c r="CM85" s="142"/>
      <c r="CN85" s="142"/>
      <c r="CO85" s="142"/>
      <c r="CP85" s="142"/>
      <c r="CQ85" s="142"/>
      <c r="CR85" s="142"/>
      <c r="CS85" s="142"/>
      <c r="CT85" s="142"/>
      <c r="CU85" s="155"/>
      <c r="CV85" s="155"/>
      <c r="CW85" s="155"/>
      <c r="CX85" s="155"/>
      <c r="CY85" s="155"/>
      <c r="CZ85" s="155"/>
      <c r="DA85" s="155"/>
      <c r="DC85" s="83"/>
      <c r="DD85" s="83"/>
      <c r="DE85" s="83"/>
      <c r="DF85" s="105"/>
      <c r="DG85" s="105"/>
      <c r="DH85" s="83"/>
      <c r="DI85" s="83"/>
      <c r="DJ85" s="83"/>
      <c r="DK85" s="83"/>
      <c r="DL85" s="83"/>
      <c r="DM85" s="83"/>
      <c r="DN85" s="142"/>
      <c r="DO85" s="142"/>
      <c r="DP85" s="142"/>
      <c r="DQ85" s="142"/>
      <c r="DR85" s="142"/>
      <c r="DS85" s="142"/>
      <c r="DT85" s="155"/>
      <c r="DU85" s="155"/>
      <c r="DV85" s="155"/>
      <c r="DW85" s="155"/>
      <c r="DX85" s="155"/>
      <c r="DY85" s="155"/>
      <c r="DZ85" s="155"/>
      <c r="EA85" s="155"/>
      <c r="EB85" s="155"/>
      <c r="EC85" s="155"/>
      <c r="ED85" s="155"/>
      <c r="EE85" s="155"/>
      <c r="EF85" s="155"/>
    </row>
    <row r="86" spans="2:136" s="75" customFormat="1" x14ac:dyDescent="0.2">
      <c r="B86" s="100" t="s">
        <v>509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>
        <v>0.8</v>
      </c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142"/>
      <c r="BX86" s="142"/>
      <c r="BY86" s="142"/>
      <c r="BZ86" s="142"/>
      <c r="CA86" s="142"/>
      <c r="CB86" s="142"/>
      <c r="CC86" s="142"/>
      <c r="CD86" s="142"/>
      <c r="CE86" s="142"/>
      <c r="CF86" s="142"/>
      <c r="CG86" s="142"/>
      <c r="CH86" s="142"/>
      <c r="CI86" s="142"/>
      <c r="CJ86" s="142"/>
      <c r="CK86" s="142"/>
      <c r="CL86" s="142"/>
      <c r="CM86" s="142"/>
      <c r="CN86" s="142"/>
      <c r="CO86" s="142"/>
      <c r="CP86" s="142"/>
      <c r="CQ86" s="142"/>
      <c r="CR86" s="142"/>
      <c r="CS86" s="142"/>
      <c r="CT86" s="142"/>
      <c r="CU86" s="155"/>
      <c r="CV86" s="155"/>
      <c r="CW86" s="155"/>
      <c r="CX86" s="155"/>
      <c r="CY86" s="155"/>
      <c r="CZ86" s="155"/>
      <c r="DA86" s="155"/>
      <c r="DC86" s="83"/>
      <c r="DD86" s="83"/>
      <c r="DE86" s="83"/>
      <c r="DF86" s="105"/>
      <c r="DG86" s="105"/>
      <c r="DH86" s="83"/>
      <c r="DI86" s="83"/>
      <c r="DJ86" s="83"/>
      <c r="DK86" s="83"/>
      <c r="DL86" s="83"/>
      <c r="DM86" s="83"/>
      <c r="DN86" s="142"/>
      <c r="DO86" s="142"/>
      <c r="DP86" s="142"/>
      <c r="DQ86" s="142"/>
      <c r="DR86" s="142"/>
      <c r="DS86" s="142"/>
      <c r="DT86" s="155"/>
      <c r="DU86" s="155"/>
      <c r="DV86" s="155"/>
      <c r="DW86" s="155"/>
      <c r="DX86" s="155"/>
      <c r="DY86" s="155"/>
      <c r="DZ86" s="155"/>
      <c r="EA86" s="155"/>
      <c r="EB86" s="155"/>
      <c r="EC86" s="155"/>
      <c r="ED86" s="155"/>
      <c r="EE86" s="155"/>
      <c r="EF86" s="155"/>
    </row>
    <row r="87" spans="2:136" s="75" customFormat="1" x14ac:dyDescent="0.2">
      <c r="B87" s="100" t="s">
        <v>510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>
        <v>4809.8</v>
      </c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142"/>
      <c r="BX87" s="142"/>
      <c r="BY87" s="142"/>
      <c r="BZ87" s="142"/>
      <c r="CA87" s="142"/>
      <c r="CB87" s="142"/>
      <c r="CC87" s="142"/>
      <c r="CD87" s="142"/>
      <c r="CE87" s="142"/>
      <c r="CF87" s="142"/>
      <c r="CG87" s="142"/>
      <c r="CH87" s="142"/>
      <c r="CI87" s="142"/>
      <c r="CJ87" s="142"/>
      <c r="CK87" s="142"/>
      <c r="CL87" s="142"/>
      <c r="CM87" s="142"/>
      <c r="CN87" s="142"/>
      <c r="CO87" s="142"/>
      <c r="CP87" s="142"/>
      <c r="CQ87" s="142"/>
      <c r="CR87" s="142"/>
      <c r="CS87" s="142"/>
      <c r="CT87" s="142"/>
      <c r="CU87" s="155"/>
      <c r="CV87" s="155"/>
      <c r="CW87" s="155"/>
      <c r="CX87" s="155"/>
      <c r="CY87" s="155"/>
      <c r="CZ87" s="155"/>
      <c r="DA87" s="155"/>
      <c r="DC87" s="83"/>
      <c r="DD87" s="83"/>
      <c r="DE87" s="83"/>
      <c r="DF87" s="105"/>
      <c r="DG87" s="105"/>
      <c r="DH87" s="83"/>
      <c r="DI87" s="83"/>
      <c r="DJ87" s="83"/>
      <c r="DK87" s="83"/>
      <c r="DL87" s="83"/>
      <c r="DM87" s="83"/>
      <c r="DN87" s="142"/>
      <c r="DO87" s="142"/>
      <c r="DP87" s="142"/>
      <c r="DQ87" s="142"/>
      <c r="DR87" s="142"/>
      <c r="DS87" s="142"/>
      <c r="DT87" s="155"/>
      <c r="DU87" s="155"/>
      <c r="DV87" s="155"/>
      <c r="DW87" s="155"/>
      <c r="DX87" s="155"/>
      <c r="DY87" s="155"/>
      <c r="DZ87" s="155"/>
      <c r="EA87" s="155"/>
      <c r="EB87" s="155"/>
      <c r="EC87" s="155"/>
      <c r="ED87" s="155"/>
      <c r="EE87" s="155"/>
      <c r="EF87" s="155"/>
    </row>
    <row r="88" spans="2:136" s="75" customFormat="1" x14ac:dyDescent="0.2">
      <c r="B88" s="100" t="s">
        <v>511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>
        <v>-15</v>
      </c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142"/>
      <c r="BX88" s="142"/>
      <c r="BY88" s="142"/>
      <c r="BZ88" s="142"/>
      <c r="CA88" s="142"/>
      <c r="CB88" s="142"/>
      <c r="CC88" s="142"/>
      <c r="CD88" s="142"/>
      <c r="CE88" s="142"/>
      <c r="CF88" s="142"/>
      <c r="CG88" s="142"/>
      <c r="CH88" s="142"/>
      <c r="CI88" s="142"/>
      <c r="CJ88" s="142"/>
      <c r="CK88" s="142"/>
      <c r="CL88" s="142"/>
      <c r="CM88" s="142"/>
      <c r="CN88" s="142"/>
      <c r="CO88" s="142"/>
      <c r="CP88" s="142"/>
      <c r="CQ88" s="142"/>
      <c r="CR88" s="142"/>
      <c r="CS88" s="142"/>
      <c r="CT88" s="142"/>
      <c r="CU88" s="155"/>
      <c r="CV88" s="155"/>
      <c r="CW88" s="155"/>
      <c r="CX88" s="155"/>
      <c r="CY88" s="155"/>
      <c r="CZ88" s="155"/>
      <c r="DA88" s="155"/>
      <c r="DC88" s="83"/>
      <c r="DD88" s="83"/>
      <c r="DE88" s="83"/>
      <c r="DF88" s="105"/>
      <c r="DG88" s="105"/>
      <c r="DH88" s="83"/>
      <c r="DI88" s="83"/>
      <c r="DJ88" s="83"/>
      <c r="DK88" s="83"/>
      <c r="DL88" s="83"/>
      <c r="DM88" s="83"/>
      <c r="DN88" s="142"/>
      <c r="DO88" s="142"/>
      <c r="DP88" s="142"/>
      <c r="DQ88" s="142"/>
      <c r="DR88" s="142"/>
      <c r="DS88" s="142"/>
      <c r="DT88" s="155"/>
      <c r="DU88" s="155"/>
      <c r="DV88" s="155"/>
      <c r="DW88" s="155"/>
      <c r="DX88" s="155"/>
      <c r="DY88" s="155"/>
      <c r="DZ88" s="155"/>
      <c r="EA88" s="155"/>
      <c r="EB88" s="155"/>
      <c r="EC88" s="155"/>
      <c r="ED88" s="155"/>
      <c r="EE88" s="155"/>
      <c r="EF88" s="155"/>
    </row>
    <row r="89" spans="2:136" s="75" customFormat="1" x14ac:dyDescent="0.2">
      <c r="B89" s="100" t="s">
        <v>512</v>
      </c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>
        <v>1321.8</v>
      </c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142"/>
      <c r="BX89" s="142"/>
      <c r="BY89" s="142"/>
      <c r="BZ89" s="142"/>
      <c r="CA89" s="142"/>
      <c r="CB89" s="142"/>
      <c r="CC89" s="142"/>
      <c r="CD89" s="142"/>
      <c r="CE89" s="142"/>
      <c r="CF89" s="142"/>
      <c r="CG89" s="142"/>
      <c r="CH89" s="142"/>
      <c r="CI89" s="142"/>
      <c r="CJ89" s="142"/>
      <c r="CK89" s="142"/>
      <c r="CL89" s="142"/>
      <c r="CM89" s="142"/>
      <c r="CN89" s="142"/>
      <c r="CO89" s="142"/>
      <c r="CP89" s="142"/>
      <c r="CQ89" s="142"/>
      <c r="CR89" s="142"/>
      <c r="CS89" s="142"/>
      <c r="CT89" s="142"/>
      <c r="CU89" s="155"/>
      <c r="CV89" s="155"/>
      <c r="CW89" s="155"/>
      <c r="CX89" s="155"/>
      <c r="CY89" s="155"/>
      <c r="CZ89" s="155"/>
      <c r="DA89" s="155"/>
      <c r="DC89" s="83"/>
      <c r="DD89" s="83"/>
      <c r="DE89" s="83"/>
      <c r="DF89" s="105"/>
      <c r="DG89" s="105"/>
      <c r="DH89" s="83"/>
      <c r="DI89" s="83"/>
      <c r="DJ89" s="83"/>
      <c r="DK89" s="83"/>
      <c r="DL89" s="83"/>
      <c r="DM89" s="83"/>
      <c r="DN89" s="142"/>
      <c r="DO89" s="142"/>
      <c r="DP89" s="142"/>
      <c r="DQ89" s="142"/>
      <c r="DR89" s="142"/>
      <c r="DS89" s="142"/>
      <c r="DT89" s="155"/>
      <c r="DU89" s="155"/>
      <c r="DV89" s="155"/>
      <c r="DW89" s="155"/>
      <c r="DX89" s="155"/>
      <c r="DY89" s="155"/>
      <c r="DZ89" s="155"/>
      <c r="EA89" s="155"/>
      <c r="EB89" s="155"/>
      <c r="EC89" s="155"/>
      <c r="ED89" s="155"/>
      <c r="EE89" s="155"/>
      <c r="EF89" s="155"/>
    </row>
    <row r="90" spans="2:136" s="17" customFormat="1" x14ac:dyDescent="0.2">
      <c r="B90" s="75" t="s">
        <v>422</v>
      </c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3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>
        <f>SUM(AI86:AI89)</f>
        <v>0</v>
      </c>
      <c r="AJ90" s="82">
        <f t="shared" ref="AJ90:AO90" si="319">SUM(AJ86:AJ89)</f>
        <v>0</v>
      </c>
      <c r="AK90" s="82">
        <f t="shared" si="319"/>
        <v>0</v>
      </c>
      <c r="AL90" s="82">
        <f t="shared" si="319"/>
        <v>0</v>
      </c>
      <c r="AM90" s="82">
        <f t="shared" si="319"/>
        <v>0</v>
      </c>
      <c r="AN90" s="82">
        <f t="shared" si="319"/>
        <v>0</v>
      </c>
      <c r="AO90" s="82">
        <f t="shared" si="319"/>
        <v>6117.4000000000005</v>
      </c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140"/>
      <c r="BX90" s="140"/>
      <c r="BY90" s="140"/>
      <c r="BZ90" s="140"/>
      <c r="CA90" s="140"/>
      <c r="CB90" s="140"/>
      <c r="CC90" s="140"/>
      <c r="CD90" s="140"/>
      <c r="CE90" s="140"/>
      <c r="CF90" s="140">
        <v>20215</v>
      </c>
      <c r="CG90" s="140">
        <v>21057</v>
      </c>
      <c r="CH90" s="140">
        <v>21209</v>
      </c>
      <c r="CI90" s="140">
        <v>20939</v>
      </c>
      <c r="CJ90" s="140"/>
      <c r="CK90" s="140"/>
      <c r="CL90" s="140"/>
      <c r="CM90" s="140"/>
      <c r="CN90" s="140">
        <v>18197</v>
      </c>
      <c r="CO90" s="140"/>
      <c r="CP90" s="140"/>
      <c r="CQ90" s="140"/>
      <c r="CR90" s="140"/>
      <c r="CS90" s="140"/>
      <c r="CT90" s="140"/>
      <c r="CU90" s="79"/>
      <c r="CV90" s="79"/>
      <c r="CW90" s="79"/>
      <c r="CX90" s="79"/>
      <c r="CY90" s="79"/>
      <c r="CZ90" s="79"/>
      <c r="DA90" s="79"/>
      <c r="DC90" s="82"/>
      <c r="DD90" s="82"/>
      <c r="DE90" s="82"/>
      <c r="DF90" s="104"/>
      <c r="DG90" s="104"/>
      <c r="DH90" s="82"/>
      <c r="DI90" s="82"/>
      <c r="DJ90" s="82"/>
      <c r="DK90" s="82"/>
      <c r="DL90" s="82"/>
      <c r="DM90" s="82"/>
      <c r="DN90" s="140"/>
      <c r="DO90" s="140"/>
      <c r="DP90" s="140"/>
      <c r="DQ90" s="140"/>
      <c r="DR90" s="140"/>
      <c r="DS90" s="140"/>
      <c r="DT90" s="79"/>
      <c r="DU90" s="79"/>
      <c r="DV90" s="79"/>
      <c r="DW90" s="79"/>
      <c r="DX90" s="79"/>
      <c r="DY90" s="79"/>
      <c r="DZ90" s="79"/>
      <c r="EA90" s="79"/>
      <c r="EB90" s="79"/>
      <c r="EC90" s="79"/>
      <c r="ED90" s="79"/>
      <c r="EE90" s="79"/>
      <c r="EF90" s="79"/>
    </row>
    <row r="91" spans="2:136" s="17" customFormat="1" x14ac:dyDescent="0.2">
      <c r="B91" s="75" t="s">
        <v>423</v>
      </c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3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>
        <f>AI90+AI85</f>
        <v>0</v>
      </c>
      <c r="AJ91" s="82">
        <f t="shared" ref="AJ91:AO91" si="320">AJ90+AJ85</f>
        <v>0</v>
      </c>
      <c r="AK91" s="82">
        <f t="shared" si="320"/>
        <v>0</v>
      </c>
      <c r="AL91" s="82">
        <f t="shared" si="320"/>
        <v>0</v>
      </c>
      <c r="AM91" s="82">
        <f t="shared" si="320"/>
        <v>0</v>
      </c>
      <c r="AN91" s="82">
        <f t="shared" si="320"/>
        <v>0</v>
      </c>
      <c r="AO91" s="82">
        <f t="shared" si="320"/>
        <v>12522.6</v>
      </c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140"/>
      <c r="BX91" s="140"/>
      <c r="BY91" s="140"/>
      <c r="BZ91" s="140"/>
      <c r="CA91" s="140"/>
      <c r="CB91" s="140"/>
      <c r="CC91" s="140"/>
      <c r="CD91" s="140"/>
      <c r="CE91" s="140"/>
      <c r="CF91" s="140">
        <f>SUM(CF76:CF90)</f>
        <v>62870</v>
      </c>
      <c r="CG91" s="140">
        <f>SUM(CG76:CG90)</f>
        <v>62557</v>
      </c>
      <c r="CH91" s="140">
        <f>SUM(CH76:CH90)</f>
        <v>63171</v>
      </c>
      <c r="CI91" s="140">
        <f>SUM(CI76:CI90)</f>
        <v>61875</v>
      </c>
      <c r="CJ91" s="140"/>
      <c r="CK91" s="140"/>
      <c r="CL91" s="140"/>
      <c r="CM91" s="140"/>
      <c r="CN91" s="140">
        <f>SUM(CN76:CN90)</f>
        <v>53580</v>
      </c>
      <c r="CO91" s="140"/>
      <c r="CP91" s="140"/>
      <c r="CQ91" s="140"/>
      <c r="CR91" s="140"/>
      <c r="CS91" s="140"/>
      <c r="CT91" s="140"/>
      <c r="CU91" s="79"/>
      <c r="CV91" s="79"/>
      <c r="CW91" s="79"/>
      <c r="CX91" s="79"/>
      <c r="CY91" s="79"/>
      <c r="CZ91" s="79"/>
      <c r="DA91" s="79"/>
      <c r="DC91" s="82"/>
      <c r="DD91" s="82"/>
      <c r="DE91" s="82"/>
      <c r="DF91" s="104"/>
      <c r="DG91" s="104"/>
      <c r="DH91" s="82"/>
      <c r="DI91" s="82"/>
      <c r="DJ91" s="82"/>
      <c r="DK91" s="82"/>
      <c r="DL91" s="82"/>
      <c r="DM91" s="82"/>
      <c r="DN91" s="140"/>
      <c r="DO91" s="140"/>
      <c r="DP91" s="140"/>
      <c r="DQ91" s="140"/>
      <c r="DR91" s="140"/>
      <c r="DS91" s="140"/>
      <c r="DT91" s="79"/>
      <c r="DU91" s="79"/>
      <c r="DV91" s="79"/>
      <c r="DW91" s="79"/>
      <c r="DX91" s="79"/>
      <c r="DY91" s="79"/>
      <c r="DZ91" s="79"/>
      <c r="EA91" s="79"/>
      <c r="EB91" s="79"/>
      <c r="EC91" s="79"/>
      <c r="ED91" s="79"/>
      <c r="EE91" s="79"/>
      <c r="EF91" s="79"/>
    </row>
    <row r="92" spans="2:136" s="17" customFormat="1" x14ac:dyDescent="0.2">
      <c r="B92" s="75" t="s">
        <v>21</v>
      </c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3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140"/>
      <c r="BX92" s="140"/>
      <c r="BY92" s="140"/>
      <c r="BZ92" s="140"/>
      <c r="CA92" s="140"/>
      <c r="CB92" s="140"/>
      <c r="CC92" s="140"/>
      <c r="CD92" s="140"/>
      <c r="CE92" s="140"/>
      <c r="CF92" s="140">
        <v>1254</v>
      </c>
      <c r="CG92" s="140">
        <v>1254</v>
      </c>
      <c r="CH92" s="140">
        <v>1247</v>
      </c>
      <c r="CI92" s="140">
        <v>1248</v>
      </c>
      <c r="CJ92" s="140"/>
      <c r="CK92" s="140"/>
      <c r="CL92" s="140"/>
      <c r="CM92" s="140"/>
      <c r="CN92" s="140"/>
      <c r="CO92" s="140"/>
      <c r="CP92" s="140"/>
      <c r="CQ92" s="140"/>
      <c r="CR92" s="140"/>
      <c r="CS92" s="140"/>
      <c r="CT92" s="140"/>
      <c r="CU92" s="79"/>
      <c r="CV92" s="79"/>
      <c r="CW92" s="79"/>
      <c r="CX92" s="79"/>
      <c r="CY92" s="79"/>
      <c r="CZ92" s="79"/>
      <c r="DA92" s="79"/>
      <c r="DC92" s="82"/>
      <c r="DD92" s="82"/>
      <c r="DE92" s="82"/>
      <c r="DF92" s="104"/>
      <c r="DG92" s="104"/>
      <c r="DH92" s="82"/>
      <c r="DI92" s="82"/>
      <c r="DJ92" s="82"/>
      <c r="DK92" s="82"/>
      <c r="DL92" s="82"/>
      <c r="DM92" s="82"/>
      <c r="DN92" s="140"/>
      <c r="DO92" s="140"/>
      <c r="DP92" s="140"/>
      <c r="DQ92" s="140"/>
      <c r="DR92" s="140"/>
      <c r="DS92" s="140"/>
      <c r="DT92" s="79"/>
      <c r="DU92" s="79"/>
      <c r="DV92" s="79"/>
      <c r="DW92" s="79"/>
      <c r="DX92" s="79"/>
      <c r="DY92" s="79"/>
      <c r="DZ92" s="79"/>
      <c r="EA92" s="79"/>
      <c r="EB92" s="79"/>
      <c r="EC92" s="79"/>
      <c r="ED92" s="79"/>
      <c r="EE92" s="79"/>
      <c r="EF92" s="79"/>
    </row>
    <row r="93" spans="2:136" s="17" customFormat="1" x14ac:dyDescent="0.2">
      <c r="B93" s="75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3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140"/>
      <c r="BX93" s="140"/>
      <c r="BY93" s="140"/>
      <c r="BZ93" s="140"/>
      <c r="CA93" s="140"/>
      <c r="CB93" s="140"/>
      <c r="CC93" s="140"/>
      <c r="CD93" s="140"/>
      <c r="CE93" s="140"/>
      <c r="CF93" s="140"/>
      <c r="CG93" s="140"/>
      <c r="CH93" s="140"/>
      <c r="CI93" s="140"/>
      <c r="CJ93" s="140"/>
      <c r="CK93" s="140"/>
      <c r="CL93" s="140"/>
      <c r="CM93" s="140"/>
      <c r="CN93" s="140"/>
      <c r="CO93" s="140"/>
      <c r="CP93" s="140"/>
      <c r="CQ93" s="140"/>
      <c r="CR93" s="140"/>
      <c r="CS93" s="140"/>
      <c r="CT93" s="140"/>
      <c r="CU93" s="79"/>
      <c r="CV93" s="79"/>
      <c r="CW93" s="79"/>
      <c r="CX93" s="79"/>
      <c r="CY93" s="79"/>
      <c r="CZ93" s="79"/>
      <c r="DA93" s="79"/>
      <c r="DC93" s="82"/>
      <c r="DD93" s="82"/>
      <c r="DE93" s="82"/>
      <c r="DF93" s="104"/>
      <c r="DG93" s="104"/>
      <c r="DH93" s="82"/>
      <c r="DI93" s="82"/>
      <c r="DJ93" s="82"/>
      <c r="DK93" s="82"/>
      <c r="DL93" s="82"/>
      <c r="DM93" s="82"/>
      <c r="DN93" s="140"/>
      <c r="DO93" s="140"/>
      <c r="DP93" s="140"/>
      <c r="DQ93" s="140"/>
      <c r="DR93" s="140"/>
      <c r="DS93" s="140"/>
      <c r="DT93" s="79"/>
      <c r="DU93" s="79"/>
      <c r="DV93" s="79"/>
      <c r="DW93" s="79"/>
      <c r="DX93" s="79"/>
      <c r="DY93" s="79"/>
      <c r="DZ93" s="79"/>
      <c r="EA93" s="79"/>
      <c r="EB93" s="79"/>
      <c r="EC93" s="79"/>
      <c r="ED93" s="79"/>
      <c r="EE93" s="79"/>
      <c r="EF93" s="79"/>
    </row>
    <row r="94" spans="2:136" s="17" customFormat="1" x14ac:dyDescent="0.2">
      <c r="B94" s="75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3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140"/>
      <c r="BX94" s="140"/>
      <c r="BY94" s="140"/>
      <c r="BZ94" s="140"/>
      <c r="CA94" s="140"/>
      <c r="CB94" s="140"/>
      <c r="CC94" s="140"/>
      <c r="CD94" s="140"/>
      <c r="CE94" s="140"/>
      <c r="CF94" s="140"/>
      <c r="CG94" s="140"/>
      <c r="CH94" s="140"/>
      <c r="CI94" s="140"/>
      <c r="CJ94" s="140"/>
      <c r="CK94" s="140"/>
      <c r="CL94" s="140"/>
      <c r="CM94" s="140"/>
      <c r="CN94" s="140"/>
      <c r="CO94" s="140"/>
      <c r="CP94" s="140"/>
      <c r="CQ94" s="140"/>
      <c r="CR94" s="140"/>
      <c r="CS94" s="140"/>
      <c r="CT94" s="140"/>
      <c r="CU94" s="79"/>
      <c r="CV94" s="79"/>
      <c r="CW94" s="79"/>
      <c r="CX94" s="79"/>
      <c r="CY94" s="79"/>
      <c r="CZ94" s="79"/>
      <c r="DA94" s="79"/>
      <c r="DC94" s="82"/>
      <c r="DD94" s="82"/>
      <c r="DE94" s="82"/>
      <c r="DF94" s="104"/>
      <c r="DG94" s="104"/>
      <c r="DH94" s="82"/>
      <c r="DI94" s="82"/>
      <c r="DJ94" s="82"/>
      <c r="DK94" s="82"/>
      <c r="DL94" s="82"/>
      <c r="DM94" s="82"/>
      <c r="DN94" s="140"/>
      <c r="DO94" s="140"/>
      <c r="DP94" s="140"/>
      <c r="DQ94" s="140"/>
      <c r="DR94" s="140"/>
      <c r="DS94" s="140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  <c r="EF94" s="79"/>
    </row>
    <row r="95" spans="2:136" s="17" customFormat="1" x14ac:dyDescent="0.2">
      <c r="B95" s="75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3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140"/>
      <c r="BX95" s="140"/>
      <c r="BY95" s="140"/>
      <c r="BZ95" s="140"/>
      <c r="CA95" s="140"/>
      <c r="CB95" s="140"/>
      <c r="CC95" s="140"/>
      <c r="CD95" s="140"/>
      <c r="CE95" s="140"/>
      <c r="CF95" s="140"/>
      <c r="CG95" s="140"/>
      <c r="CH95" s="140"/>
      <c r="CI95" s="140"/>
      <c r="CJ95" s="140"/>
      <c r="CK95" s="140"/>
      <c r="CL95" s="140"/>
      <c r="CM95" s="140"/>
      <c r="CN95" s="140"/>
      <c r="CO95" s="140"/>
      <c r="CP95" s="140"/>
      <c r="CQ95" s="140"/>
      <c r="CR95" s="140"/>
      <c r="CS95" s="140"/>
      <c r="CT95" s="140"/>
      <c r="CU95" s="79"/>
      <c r="CV95" s="79"/>
      <c r="CW95" s="79"/>
      <c r="CX95" s="79"/>
      <c r="CY95" s="79"/>
      <c r="CZ95" s="79"/>
      <c r="DA95" s="79"/>
      <c r="DC95" s="82"/>
      <c r="DD95" s="82"/>
      <c r="DE95" s="82"/>
      <c r="DF95" s="104"/>
      <c r="DG95" s="104"/>
      <c r="DH95" s="82"/>
      <c r="DI95" s="82"/>
      <c r="DJ95" s="82"/>
      <c r="DK95" s="82"/>
      <c r="DL95" s="82"/>
      <c r="DM95" s="82"/>
      <c r="DN95" s="140"/>
      <c r="DO95" s="140"/>
      <c r="DP95" s="140"/>
      <c r="DQ95" s="140"/>
      <c r="DR95" s="140"/>
      <c r="DS95" s="140"/>
      <c r="DT95" s="79"/>
      <c r="DU95" s="79"/>
      <c r="DV95" s="79"/>
      <c r="DW95" s="79"/>
      <c r="DX95" s="79"/>
      <c r="DY95" s="79"/>
      <c r="DZ95" s="79"/>
      <c r="EA95" s="79"/>
      <c r="EB95" s="79"/>
      <c r="EC95" s="79"/>
      <c r="ED95" s="79"/>
      <c r="EE95" s="79"/>
      <c r="EF95" s="79"/>
    </row>
    <row r="96" spans="2:136" s="17" customFormat="1" x14ac:dyDescent="0.2">
      <c r="B96" s="75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3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140"/>
      <c r="BX96" s="140"/>
      <c r="BY96" s="140"/>
      <c r="BZ96" s="140"/>
      <c r="CA96" s="140"/>
      <c r="CB96" s="140"/>
      <c r="CC96" s="140"/>
      <c r="CD96" s="140"/>
      <c r="CE96" s="140"/>
      <c r="CF96" s="140"/>
      <c r="CG96" s="140"/>
      <c r="CH96" s="140"/>
      <c r="CI96" s="140"/>
      <c r="CJ96" s="140"/>
      <c r="CK96" s="140"/>
      <c r="CL96" s="140"/>
      <c r="CM96" s="140"/>
      <c r="CN96" s="140"/>
      <c r="CO96" s="140"/>
      <c r="CP96" s="140"/>
      <c r="CQ96" s="140"/>
      <c r="CR96" s="140"/>
      <c r="CS96" s="140"/>
      <c r="CT96" s="140"/>
      <c r="CU96" s="79"/>
      <c r="CV96" s="79"/>
      <c r="CW96" s="79"/>
      <c r="CX96" s="79"/>
      <c r="CY96" s="79"/>
      <c r="CZ96" s="79"/>
      <c r="DA96" s="79"/>
      <c r="DC96" s="82"/>
      <c r="DD96" s="82"/>
      <c r="DE96" s="82"/>
      <c r="DF96" s="104"/>
      <c r="DG96" s="104"/>
      <c r="DH96" s="82"/>
      <c r="DI96" s="82"/>
      <c r="DJ96" s="82"/>
      <c r="DK96" s="82"/>
      <c r="DL96" s="82"/>
      <c r="DM96" s="82"/>
      <c r="DN96" s="140"/>
      <c r="DO96" s="140"/>
      <c r="DP96" s="140"/>
      <c r="DQ96" s="140"/>
      <c r="DR96" s="140"/>
      <c r="DS96" s="140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</row>
    <row r="97" spans="2:136" s="17" customFormat="1" x14ac:dyDescent="0.2">
      <c r="B97" s="75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3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140"/>
      <c r="BX97" s="140"/>
      <c r="BY97" s="140"/>
      <c r="BZ97" s="140"/>
      <c r="CA97" s="140"/>
      <c r="CB97" s="140"/>
      <c r="CC97" s="140"/>
      <c r="CD97" s="140"/>
      <c r="CE97" s="140"/>
      <c r="CF97" s="140"/>
      <c r="CG97" s="140"/>
      <c r="CH97" s="140"/>
      <c r="CI97" s="140"/>
      <c r="CJ97" s="140"/>
      <c r="CK97" s="140"/>
      <c r="CL97" s="140"/>
      <c r="CM97" s="140"/>
      <c r="CN97" s="140"/>
      <c r="CO97" s="140"/>
      <c r="CP97" s="140"/>
      <c r="CQ97" s="140"/>
      <c r="CR97" s="140"/>
      <c r="CS97" s="140"/>
      <c r="CT97" s="140"/>
      <c r="CU97" s="79"/>
      <c r="CV97" s="79"/>
      <c r="CW97" s="79"/>
      <c r="CX97" s="79"/>
      <c r="CY97" s="79"/>
      <c r="CZ97" s="79"/>
      <c r="DA97" s="79"/>
      <c r="DC97" s="82"/>
      <c r="DD97" s="82"/>
      <c r="DE97" s="82"/>
      <c r="DF97" s="104"/>
      <c r="DG97" s="104"/>
      <c r="DH97" s="82"/>
      <c r="DI97" s="82"/>
      <c r="DJ97" s="82"/>
      <c r="DK97" s="82"/>
      <c r="DL97" s="82"/>
      <c r="DM97" s="82"/>
      <c r="DN97" s="140"/>
      <c r="DO97" s="140"/>
      <c r="DP97" s="140"/>
      <c r="DQ97" s="140"/>
      <c r="DR97" s="140"/>
      <c r="DS97" s="140"/>
      <c r="DT97" s="79"/>
      <c r="DU97" s="79"/>
      <c r="DV97" s="79"/>
      <c r="DW97" s="79"/>
      <c r="DX97" s="79"/>
      <c r="DY97" s="79"/>
      <c r="DZ97" s="79"/>
      <c r="EA97" s="79"/>
      <c r="EB97" s="79"/>
      <c r="EC97" s="79"/>
      <c r="ED97" s="79"/>
      <c r="EE97" s="79"/>
      <c r="EF97" s="79"/>
    </row>
    <row r="98" spans="2:136" s="17" customFormat="1" x14ac:dyDescent="0.2">
      <c r="B98" s="75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3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140"/>
      <c r="BX98" s="140"/>
      <c r="BY98" s="140"/>
      <c r="BZ98" s="140"/>
      <c r="CA98" s="140"/>
      <c r="CB98" s="140"/>
      <c r="CC98" s="140"/>
      <c r="CD98" s="140"/>
      <c r="CE98" s="140"/>
      <c r="CF98" s="140"/>
      <c r="CG98" s="140"/>
      <c r="CH98" s="140"/>
      <c r="CI98" s="140"/>
      <c r="CJ98" s="140"/>
      <c r="CK98" s="140"/>
      <c r="CL98" s="140"/>
      <c r="CM98" s="140"/>
      <c r="CN98" s="140"/>
      <c r="CO98" s="140"/>
      <c r="CP98" s="140"/>
      <c r="CQ98" s="140"/>
      <c r="CR98" s="140"/>
      <c r="CS98" s="140"/>
      <c r="CT98" s="140"/>
      <c r="CU98" s="79"/>
      <c r="CV98" s="79"/>
      <c r="CW98" s="79"/>
      <c r="CX98" s="79"/>
      <c r="CY98" s="79"/>
      <c r="CZ98" s="79"/>
      <c r="DA98" s="79"/>
      <c r="DC98" s="82"/>
      <c r="DD98" s="82"/>
      <c r="DE98" s="82"/>
      <c r="DF98" s="104"/>
      <c r="DG98" s="104"/>
      <c r="DH98" s="82"/>
      <c r="DI98" s="82"/>
      <c r="DJ98" s="82"/>
      <c r="DK98" s="82"/>
      <c r="DL98" s="82"/>
      <c r="DM98" s="82"/>
      <c r="DN98" s="140"/>
      <c r="DO98" s="140"/>
      <c r="DP98" s="140"/>
      <c r="DQ98" s="140"/>
      <c r="DR98" s="140"/>
      <c r="DS98" s="140"/>
      <c r="DT98" s="79"/>
      <c r="DU98" s="79"/>
      <c r="DV98" s="79"/>
      <c r="DW98" s="79"/>
      <c r="DX98" s="79"/>
      <c r="DY98" s="79"/>
      <c r="DZ98" s="79"/>
      <c r="EA98" s="79"/>
      <c r="EB98" s="79"/>
      <c r="EC98" s="79"/>
      <c r="ED98" s="79"/>
      <c r="EE98" s="79"/>
      <c r="EF98" s="79"/>
    </row>
    <row r="99" spans="2:136" s="17" customFormat="1" x14ac:dyDescent="0.2">
      <c r="B99" s="100" t="s">
        <v>637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128">
        <f>(AZ49*4)/(AZ74-AZ72)</f>
        <v>0.85121311969523961</v>
      </c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2"/>
      <c r="BP99" s="82"/>
      <c r="BQ99" s="82"/>
      <c r="BR99" s="82"/>
      <c r="BS99" s="82"/>
      <c r="BT99" s="82"/>
      <c r="BU99" s="82"/>
      <c r="BV99" s="82"/>
      <c r="BW99" s="140"/>
      <c r="BX99" s="140"/>
      <c r="BY99" s="140"/>
      <c r="BZ99" s="140"/>
      <c r="CA99" s="140"/>
      <c r="CB99" s="140"/>
      <c r="CC99" s="140"/>
      <c r="CD99" s="140"/>
      <c r="CE99" s="140"/>
      <c r="CF99" s="140"/>
      <c r="CG99" s="140"/>
      <c r="CH99" s="140"/>
      <c r="CI99" s="140"/>
      <c r="CJ99" s="140"/>
      <c r="CK99" s="140"/>
      <c r="CL99" s="140"/>
      <c r="CM99" s="140"/>
      <c r="CN99" s="140"/>
      <c r="CO99" s="140"/>
      <c r="CP99" s="140"/>
      <c r="CQ99" s="140"/>
      <c r="CR99" s="140"/>
      <c r="CS99" s="140"/>
      <c r="CT99" s="140"/>
      <c r="CU99" s="79"/>
      <c r="CV99" s="79"/>
      <c r="CW99" s="79"/>
      <c r="CX99" s="79"/>
      <c r="CY99" s="79"/>
      <c r="CZ99" s="79"/>
      <c r="DA99" s="79"/>
      <c r="DC99" s="82"/>
      <c r="DD99" s="82"/>
      <c r="DE99" s="82"/>
      <c r="DF99" s="104"/>
      <c r="DG99" s="104"/>
      <c r="DH99" s="82"/>
      <c r="DI99" s="82"/>
      <c r="DJ99" s="82"/>
      <c r="DK99" s="82"/>
      <c r="DL99" s="82"/>
      <c r="DM99" s="82"/>
      <c r="DN99" s="140"/>
      <c r="DO99" s="140"/>
      <c r="DP99" s="140"/>
      <c r="DQ99" s="140"/>
      <c r="DR99" s="140"/>
      <c r="DS99" s="140"/>
      <c r="DT99" s="79"/>
      <c r="DU99" s="79"/>
      <c r="DV99" s="79"/>
      <c r="DW99" s="79"/>
      <c r="DX99" s="79"/>
      <c r="DY99" s="79"/>
      <c r="DZ99" s="79"/>
      <c r="EA99" s="79"/>
      <c r="EB99" s="79"/>
      <c r="EC99" s="79"/>
      <c r="ED99" s="79"/>
      <c r="EE99" s="79"/>
      <c r="EF99" s="79"/>
    </row>
    <row r="100" spans="2:136" x14ac:dyDescent="0.2">
      <c r="B100" s="92" t="s">
        <v>638</v>
      </c>
      <c r="AZ100" s="128">
        <f>(AZ49*4)/AZ74</f>
        <v>0.50534298287992085</v>
      </c>
    </row>
    <row r="101" spans="2:136" x14ac:dyDescent="0.2">
      <c r="B101" s="92" t="s">
        <v>639</v>
      </c>
      <c r="AZ101" s="128">
        <f>(AZ49*4)/(AZ74-AZ85)</f>
        <v>0.9577654518613391</v>
      </c>
    </row>
    <row r="102" spans="2:136" x14ac:dyDescent="0.2">
      <c r="B102" s="92" t="s">
        <v>640</v>
      </c>
      <c r="AZ102" s="128">
        <f>(AZ49*4)/(AZ74-AZ72-AZ85)</f>
        <v>4.1660269614039658</v>
      </c>
    </row>
  </sheetData>
  <customSheetViews>
    <customSheetView guid="{242E8787-30C2-4AAB-B25A-4ABD2B9A9CA6}" scale="90" showRuler="0">
      <pane xSplit="1" ySplit="1" topLeftCell="B53" activePane="bottomRight" state="frozen"/>
      <selection pane="bottomRight" activeCell="C66" sqref="C66"/>
      <pageMargins left="0.75" right="0.75" top="1" bottom="1" header="0.5" footer="0.5"/>
      <pageSetup orientation="portrait" horizontalDpi="200" verticalDpi="200"/>
      <headerFooter alignWithMargins="0"/>
    </customSheetView>
    <customSheetView guid="{4186580B-64C2-4B0C-BB3D-D214EFB8989E}" scale="90" showRuler="0">
      <pane xSplit="1" ySplit="1" topLeftCell="J2" activePane="bottomRight" state="frozen"/>
      <selection pane="bottomRight" activeCell="T5" sqref="T5"/>
      <pageMargins left="0.75" right="0.75" top="1" bottom="1" header="0.5" footer="0.5"/>
      <pageSetup orientation="portrait" horizontalDpi="200" verticalDpi="200"/>
      <headerFooter alignWithMargins="0"/>
    </customSheetView>
  </customSheetViews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workbookViewId="0"/>
  </sheetViews>
  <sheetFormatPr defaultColWidth="8.85546875" defaultRowHeight="12.75" x14ac:dyDescent="0.2"/>
  <cols>
    <col min="1" max="1" width="5" bestFit="1" customWidth="1"/>
    <col min="2" max="2" width="10.28515625" bestFit="1" customWidth="1"/>
  </cols>
  <sheetData>
    <row r="1" spans="1:4" x14ac:dyDescent="0.2">
      <c r="A1" s="33" t="s">
        <v>139</v>
      </c>
    </row>
    <row r="3" spans="1:4" x14ac:dyDescent="0.2">
      <c r="B3" t="s">
        <v>2</v>
      </c>
      <c r="C3" t="s">
        <v>27</v>
      </c>
    </row>
    <row r="4" spans="1:4" x14ac:dyDescent="0.2">
      <c r="C4" t="s">
        <v>29</v>
      </c>
    </row>
    <row r="5" spans="1:4" x14ac:dyDescent="0.2">
      <c r="D5" t="s">
        <v>28</v>
      </c>
    </row>
    <row r="6" spans="1:4" x14ac:dyDescent="0.2">
      <c r="D6" t="s">
        <v>30</v>
      </c>
    </row>
    <row r="7" spans="1:4" x14ac:dyDescent="0.2">
      <c r="D7" t="s">
        <v>31</v>
      </c>
    </row>
  </sheetData>
  <customSheetViews>
    <customSheetView guid="{242E8787-30C2-4AAB-B25A-4ABD2B9A9CA6}" showRuler="0">
      <pageMargins left="0.75" right="0.75" top="1" bottom="1" header="0.5" footer="0.5"/>
      <headerFooter alignWithMargins="0"/>
    </customSheetView>
    <customSheetView guid="{4186580B-64C2-4B0C-BB3D-D214EFB8989E}" showRuler="0"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A95C-2A09-4F92-8F72-BC79C155E6E2}">
  <dimension ref="A1:C5"/>
  <sheetViews>
    <sheetView zoomScale="220" zoomScaleNormal="220" workbookViewId="0">
      <selection activeCell="C6" sqref="C6"/>
    </sheetView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644</v>
      </c>
    </row>
    <row r="3" spans="1:3" x14ac:dyDescent="0.2">
      <c r="B3" s="95" t="s">
        <v>53</v>
      </c>
      <c r="C3" s="95" t="s">
        <v>704</v>
      </c>
    </row>
    <row r="4" spans="1:3" x14ac:dyDescent="0.2">
      <c r="B4" t="s">
        <v>4</v>
      </c>
      <c r="C4" t="s">
        <v>718</v>
      </c>
    </row>
    <row r="5" spans="1:3" x14ac:dyDescent="0.2">
      <c r="C5" t="s">
        <v>719</v>
      </c>
    </row>
  </sheetData>
  <hyperlinks>
    <hyperlink ref="A1" location="Main!A1" display="Main" xr:uid="{8571E7D2-C96C-439C-AB86-5662CFC212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D35E-3A1B-4873-B282-519AB4BBAE00}">
  <dimension ref="A1:C7"/>
  <sheetViews>
    <sheetView zoomScale="250" zoomScaleNormal="250" workbookViewId="0">
      <selection activeCell="B3" sqref="B3"/>
    </sheetView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677</v>
      </c>
    </row>
    <row r="3" spans="1:3" x14ac:dyDescent="0.2">
      <c r="B3" s="95" t="s">
        <v>53</v>
      </c>
      <c r="C3" s="95" t="s">
        <v>726</v>
      </c>
    </row>
    <row r="4" spans="1:3" x14ac:dyDescent="0.2">
      <c r="B4" s="95" t="s">
        <v>1</v>
      </c>
      <c r="C4" s="95" t="s">
        <v>6</v>
      </c>
    </row>
    <row r="5" spans="1:3" x14ac:dyDescent="0.2">
      <c r="B5" s="95" t="s">
        <v>4</v>
      </c>
      <c r="C5" s="95" t="s">
        <v>728</v>
      </c>
    </row>
    <row r="6" spans="1:3" x14ac:dyDescent="0.2">
      <c r="B6" s="95"/>
      <c r="C6" s="95" t="s">
        <v>729</v>
      </c>
    </row>
    <row r="7" spans="1:3" x14ac:dyDescent="0.2">
      <c r="C7" s="95" t="s">
        <v>727</v>
      </c>
    </row>
  </sheetData>
  <hyperlinks>
    <hyperlink ref="A1" location="Main!A1" display="Main" xr:uid="{47C489B0-0569-4987-B66C-4767481D506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7CFB-F5C5-4DC6-9E91-4C434B1DFD7E}">
  <dimension ref="A1:C5"/>
  <sheetViews>
    <sheetView zoomScale="205" zoomScaleNormal="205" workbookViewId="0"/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678</v>
      </c>
    </row>
    <row r="3" spans="1:3" x14ac:dyDescent="0.2">
      <c r="B3" s="95" t="s">
        <v>53</v>
      </c>
      <c r="C3" s="95" t="s">
        <v>731</v>
      </c>
    </row>
    <row r="4" spans="1:3" x14ac:dyDescent="0.2">
      <c r="B4" s="95" t="s">
        <v>1</v>
      </c>
      <c r="C4" s="95" t="s">
        <v>6</v>
      </c>
    </row>
    <row r="5" spans="1:3" x14ac:dyDescent="0.2">
      <c r="B5" s="95" t="s">
        <v>4</v>
      </c>
      <c r="C5" s="95" t="s">
        <v>732</v>
      </c>
    </row>
  </sheetData>
  <hyperlinks>
    <hyperlink ref="A1" location="Main!A1" display="Main" xr:uid="{920C47ED-A133-4769-8773-5459ADC0CD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CD3B-EC56-4834-9085-3B9EB2ECBC5E}">
  <dimension ref="A1:C11"/>
  <sheetViews>
    <sheetView zoomScale="235" zoomScaleNormal="235" workbookViewId="0">
      <selection activeCell="C7" sqref="C7"/>
    </sheetView>
  </sheetViews>
  <sheetFormatPr defaultColWidth="8.85546875" defaultRowHeight="12.75" x14ac:dyDescent="0.2"/>
  <cols>
    <col min="1" max="1" width="5" bestFit="1" customWidth="1"/>
    <col min="2" max="2" width="12" bestFit="1" customWidth="1"/>
    <col min="3" max="3" width="11.140625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681</v>
      </c>
    </row>
    <row r="3" spans="1:3" x14ac:dyDescent="0.2">
      <c r="B3" s="95" t="s">
        <v>53</v>
      </c>
      <c r="C3" s="95" t="s">
        <v>743</v>
      </c>
    </row>
    <row r="4" spans="1:3" x14ac:dyDescent="0.2">
      <c r="B4" s="95" t="s">
        <v>1</v>
      </c>
      <c r="C4" s="95" t="s">
        <v>741</v>
      </c>
    </row>
    <row r="5" spans="1:3" x14ac:dyDescent="0.2">
      <c r="B5" s="95" t="s">
        <v>142</v>
      </c>
    </row>
    <row r="6" spans="1:3" x14ac:dyDescent="0.2">
      <c r="C6" s="121" t="s">
        <v>747</v>
      </c>
    </row>
    <row r="7" spans="1:3" x14ac:dyDescent="0.2">
      <c r="C7" s="95" t="s">
        <v>744</v>
      </c>
    </row>
    <row r="8" spans="1:3" x14ac:dyDescent="0.2">
      <c r="C8" s="95" t="s">
        <v>746</v>
      </c>
    </row>
    <row r="10" spans="1:3" x14ac:dyDescent="0.2">
      <c r="C10" s="121" t="s">
        <v>745</v>
      </c>
    </row>
    <row r="11" spans="1:3" x14ac:dyDescent="0.2">
      <c r="C11" s="95" t="s">
        <v>746</v>
      </c>
    </row>
  </sheetData>
  <hyperlinks>
    <hyperlink ref="A1" location="Main!A1" display="Main" xr:uid="{5D7658F1-8E88-4870-9C0C-C334C30492B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2" t="s">
        <v>139</v>
      </c>
    </row>
    <row r="2" spans="1:3" x14ac:dyDescent="0.2">
      <c r="B2" t="s">
        <v>140</v>
      </c>
      <c r="C2" t="s">
        <v>586</v>
      </c>
    </row>
    <row r="4" spans="1:3" x14ac:dyDescent="0.2">
      <c r="C4" s="95" t="s">
        <v>476</v>
      </c>
    </row>
    <row r="5" spans="1:3" x14ac:dyDescent="0.2">
      <c r="C5" s="95" t="s">
        <v>477</v>
      </c>
    </row>
    <row r="6" spans="1:3" x14ac:dyDescent="0.2">
      <c r="C6" s="95" t="s">
        <v>478</v>
      </c>
    </row>
    <row r="7" spans="1:3" x14ac:dyDescent="0.2">
      <c r="C7" s="95" t="s">
        <v>479</v>
      </c>
    </row>
    <row r="8" spans="1:3" x14ac:dyDescent="0.2">
      <c r="C8" s="95" t="s">
        <v>480</v>
      </c>
    </row>
    <row r="9" spans="1:3" x14ac:dyDescent="0.2">
      <c r="C9" s="95" t="s">
        <v>481</v>
      </c>
    </row>
    <row r="10" spans="1:3" x14ac:dyDescent="0.2">
      <c r="C10" s="95" t="s">
        <v>482</v>
      </c>
    </row>
    <row r="11" spans="1:3" x14ac:dyDescent="0.2">
      <c r="C11" s="95" t="s">
        <v>483</v>
      </c>
    </row>
    <row r="12" spans="1:3" x14ac:dyDescent="0.2">
      <c r="C12" s="95" t="s">
        <v>484</v>
      </c>
    </row>
    <row r="13" spans="1:3" x14ac:dyDescent="0.2">
      <c r="C13" s="95" t="s">
        <v>485</v>
      </c>
    </row>
    <row r="14" spans="1:3" x14ac:dyDescent="0.2">
      <c r="C14" s="95" t="s">
        <v>486</v>
      </c>
    </row>
  </sheetData>
  <hyperlinks>
    <hyperlink ref="A1" location="Main!A1" display="Main" xr:uid="{00000000-0004-0000-03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5528-C78F-4A94-BD43-BF07C73FFBC3}">
  <dimension ref="A1:C6"/>
  <sheetViews>
    <sheetView zoomScale="250" zoomScaleNormal="250" workbookViewId="0"/>
  </sheetViews>
  <sheetFormatPr defaultColWidth="8.85546875" defaultRowHeight="12.75" x14ac:dyDescent="0.2"/>
  <cols>
    <col min="1" max="1" width="5" bestFit="1" customWidth="1"/>
    <col min="2" max="2" width="10.28515625" bestFit="1" customWidth="1"/>
  </cols>
  <sheetData>
    <row r="1" spans="1:3" x14ac:dyDescent="0.2">
      <c r="A1" s="33" t="s">
        <v>139</v>
      </c>
    </row>
    <row r="2" spans="1:3" x14ac:dyDescent="0.2">
      <c r="B2" s="95" t="s">
        <v>54</v>
      </c>
      <c r="C2" s="95" t="s">
        <v>684</v>
      </c>
    </row>
    <row r="3" spans="1:3" x14ac:dyDescent="0.2">
      <c r="B3" s="95" t="s">
        <v>53</v>
      </c>
      <c r="C3" s="95" t="s">
        <v>757</v>
      </c>
    </row>
    <row r="4" spans="1:3" x14ac:dyDescent="0.2">
      <c r="B4" s="95" t="s">
        <v>1</v>
      </c>
      <c r="C4" s="95" t="s">
        <v>756</v>
      </c>
    </row>
    <row r="5" spans="1:3" x14ac:dyDescent="0.2">
      <c r="B5" s="95" t="s">
        <v>711</v>
      </c>
    </row>
    <row r="6" spans="1:3" x14ac:dyDescent="0.2">
      <c r="B6" s="95" t="s">
        <v>2</v>
      </c>
      <c r="C6" s="95" t="s">
        <v>758</v>
      </c>
    </row>
  </sheetData>
  <hyperlinks>
    <hyperlink ref="A1" location="Main!A1" display="Main" xr:uid="{DBB9E137-2E5E-4270-BA8B-0A458D09794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71E67-9052-4CCB-BDDB-16EF0A4B87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672048-E020-437C-ACF6-FF8D6888F70E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70FACA6-4FE8-43C1-9C92-1CB4DFD99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</vt:lpstr>
      <vt:lpstr>Main</vt:lpstr>
      <vt:lpstr>Model</vt:lpstr>
      <vt:lpstr>Biktarvy</vt:lpstr>
      <vt:lpstr>Descovy</vt:lpstr>
      <vt:lpstr>Genvoya</vt:lpstr>
      <vt:lpstr>Veklury</vt:lpstr>
      <vt:lpstr>Stribild</vt:lpstr>
      <vt:lpstr>Trodelvy</vt:lpstr>
      <vt:lpstr>Truvada</vt:lpstr>
      <vt:lpstr>Viread</vt:lpstr>
      <vt:lpstr>Ranexa</vt:lpstr>
      <vt:lpstr>Atripla</vt:lpstr>
      <vt:lpstr>Harvoni</vt:lpstr>
      <vt:lpstr>IMS Monthly</vt:lpstr>
      <vt:lpstr>IMS</vt:lpstr>
      <vt:lpstr>Rx</vt:lpstr>
      <vt:lpstr>HBV</vt:lpstr>
      <vt:lpstr>darusentan</vt:lpstr>
      <vt:lpstr>Letairis</vt:lpstr>
      <vt:lpstr>Hepsera</vt:lpstr>
      <vt:lpstr>HIV</vt:lpstr>
      <vt:lpstr>GS 9137</vt:lpstr>
      <vt:lpstr>GS 9132</vt:lpstr>
      <vt:lpstr>GS9190</vt:lpstr>
      <vt:lpstr>sofosbuvir</vt:lpstr>
      <vt:lpstr>idelasilib</vt:lpstr>
      <vt:lpstr>GS 9451</vt:lpstr>
      <vt:lpstr>Cayston</vt:lpstr>
      <vt:lpstr>Tamiflu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Zheng</dc:creator>
  <cp:lastModifiedBy>Martin Shkreli</cp:lastModifiedBy>
  <cp:lastPrinted>2011-01-02T20:01:21Z</cp:lastPrinted>
  <dcterms:created xsi:type="dcterms:W3CDTF">2006-04-10T21:49:36Z</dcterms:created>
  <dcterms:modified xsi:type="dcterms:W3CDTF">2024-10-19T00:58:03Z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