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E58F8B9-7EED-4F47-9CA6-76300A9C1F31}" xr6:coauthVersionLast="47" xr6:coauthVersionMax="47" xr10:uidLastSave="{00000000-0000-0000-0000-000000000000}"/>
  <bookViews>
    <workbookView xWindow="-49860" yWindow="1155" windowWidth="22605" windowHeight="18300" activeTab="2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donanemab" sheetId="35" r:id="rId8"/>
    <sheet name="Jayprica" sheetId="28" r:id="rId9"/>
    <sheet name="Verzenio" sheetId="31" r:id="rId10"/>
    <sheet name="Alimta" sheetId="10" r:id="rId11"/>
    <sheet name="Cymbalta" sheetId="4" r:id="rId12"/>
    <sheet name="Jardiance" sheetId="32" r:id="rId13"/>
    <sheet name="Forteo" sheetId="6" r:id="rId14"/>
    <sheet name="Strattera" sheetId="5" r:id="rId15"/>
    <sheet name="Cialis" sheetId="9" r:id="rId16"/>
    <sheet name="Evista" sheetId="7" r:id="rId17"/>
    <sheet name="Gemzar" sheetId="23" r:id="rId18"/>
    <sheet name="Zyprexa" sheetId="3" r:id="rId19"/>
    <sheet name="Exenatide" sheetId="11" r:id="rId20"/>
    <sheet name="Effient" sheetId="14" r:id="rId21"/>
    <sheet name="Enzastaurin" sheetId="15" r:id="rId22"/>
    <sheet name="Arzoxifene" sheetId="16" r:id="rId23"/>
    <sheet name="LY2062430" sheetId="26" r:id="rId24"/>
    <sheet name="LY2140023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2" l="1"/>
  <c r="F46" i="2"/>
  <c r="F36" i="2"/>
  <c r="F14" i="2"/>
  <c r="F47" i="2"/>
  <c r="F44" i="2"/>
  <c r="AW17" i="2"/>
  <c r="AV17" i="2"/>
  <c r="AU17" i="2"/>
  <c r="AT17" i="2"/>
  <c r="AS17" i="2"/>
  <c r="AR17" i="2"/>
  <c r="E62" i="2"/>
  <c r="D62" i="2"/>
  <c r="C62" i="2"/>
  <c r="J45" i="2"/>
  <c r="J52" i="2"/>
  <c r="J14" i="2"/>
  <c r="J41" i="2"/>
  <c r="J47" i="2"/>
  <c r="J44" i="2"/>
  <c r="I62" i="2"/>
  <c r="H62" i="2"/>
  <c r="G62" i="2"/>
  <c r="N47" i="2"/>
  <c r="N45" i="2"/>
  <c r="N14" i="2"/>
  <c r="N41" i="2"/>
  <c r="N52" i="2"/>
  <c r="N44" i="2"/>
  <c r="N25" i="2"/>
  <c r="M62" i="2"/>
  <c r="L62" i="2"/>
  <c r="R56" i="2"/>
  <c r="R41" i="2"/>
  <c r="R52" i="2"/>
  <c r="R12" i="2"/>
  <c r="R44" i="2"/>
  <c r="R25" i="2"/>
  <c r="O47" i="2"/>
  <c r="O62" i="2" s="1"/>
  <c r="Q14" i="2"/>
  <c r="P14" i="2"/>
  <c r="Q62" i="2"/>
  <c r="P62" i="2"/>
  <c r="V47" i="2"/>
  <c r="V56" i="2"/>
  <c r="V52" i="2"/>
  <c r="V44" i="2"/>
  <c r="V41" i="2"/>
  <c r="V12" i="2"/>
  <c r="V14" i="2"/>
  <c r="V25" i="2"/>
  <c r="U62" i="2"/>
  <c r="T62" i="2"/>
  <c r="S62" i="2"/>
  <c r="Z44" i="2"/>
  <c r="Z14" i="2"/>
  <c r="Z12" i="2"/>
  <c r="AH14" i="2"/>
  <c r="AH12" i="2"/>
  <c r="AH56" i="2"/>
  <c r="AH55" i="2"/>
  <c r="AH52" i="2"/>
  <c r="AH44" i="2"/>
  <c r="AH41" i="2"/>
  <c r="AH25" i="2"/>
  <c r="AD12" i="2"/>
  <c r="AD14" i="2"/>
  <c r="AD56" i="2"/>
  <c r="AD52" i="2"/>
  <c r="AD41" i="2"/>
  <c r="AD25" i="2"/>
  <c r="AA44" i="2"/>
  <c r="AA62" i="2" s="1"/>
  <c r="Z56" i="2"/>
  <c r="Z52" i="2"/>
  <c r="Z41" i="2"/>
  <c r="Z25" i="2"/>
  <c r="Y62" i="2"/>
  <c r="X62" i="2"/>
  <c r="W62" i="2"/>
  <c r="AC62" i="2"/>
  <c r="AB62" i="2"/>
  <c r="AG62" i="2"/>
  <c r="AF62" i="2"/>
  <c r="AE62" i="2"/>
  <c r="DB145" i="2"/>
  <c r="DC145" i="2"/>
  <c r="DD145" i="2"/>
  <c r="DE145" i="2"/>
  <c r="DF145" i="2"/>
  <c r="DG145" i="2"/>
  <c r="DH145" i="2"/>
  <c r="DI145" i="2"/>
  <c r="DJ145" i="2"/>
  <c r="DK145" i="2"/>
  <c r="DL145" i="2"/>
  <c r="DN145" i="2"/>
  <c r="DO145" i="2"/>
  <c r="DP145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76" i="2"/>
  <c r="EH76" i="2"/>
  <c r="EH45" i="2"/>
  <c r="EI76" i="2"/>
  <c r="EJ67" i="2"/>
  <c r="EJ64" i="2"/>
  <c r="EJ68" i="2" s="1"/>
  <c r="EJ70" i="2" s="1"/>
  <c r="EJ72" i="2" s="1"/>
  <c r="EJ73" i="2" s="1"/>
  <c r="F62" i="2" l="1"/>
  <c r="R14" i="2"/>
  <c r="J62" i="2"/>
  <c r="N62" i="2"/>
  <c r="R47" i="2"/>
  <c r="K62" i="2"/>
  <c r="R62" i="2"/>
  <c r="V62" i="2"/>
  <c r="AD44" i="2"/>
  <c r="AD62" i="2" s="1"/>
  <c r="Z62" i="2"/>
  <c r="AH62" i="2"/>
  <c r="EJ76" i="2"/>
  <c r="EK76" i="2"/>
  <c r="EN76" i="2"/>
  <c r="EM76" i="2"/>
  <c r="EL76" i="2"/>
  <c r="EM67" i="2"/>
  <c r="EL67" i="2"/>
  <c r="EK67" i="2"/>
  <c r="EN64" i="2"/>
  <c r="EM64" i="2"/>
  <c r="EM68" i="2" s="1"/>
  <c r="EM70" i="2" s="1"/>
  <c r="EM72" i="2" s="1"/>
  <c r="EM73" i="2" s="1"/>
  <c r="EL64" i="2"/>
  <c r="EL68" i="2" s="1"/>
  <c r="EL70" i="2" s="1"/>
  <c r="EL72" i="2" s="1"/>
  <c r="EL73" i="2" s="1"/>
  <c r="EK64" i="2"/>
  <c r="EK68" i="2" s="1"/>
  <c r="EK70" i="2" s="1"/>
  <c r="EK72" i="2" s="1"/>
  <c r="EK73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1" i="2" s="1"/>
  <c r="FD9" i="2"/>
  <c r="FE80" i="2" s="1"/>
  <c r="FF114" i="2"/>
  <c r="FF112" i="2"/>
  <c r="FF111" i="2"/>
  <c r="FF110" i="2"/>
  <c r="FF109" i="2"/>
  <c r="FF108" i="2"/>
  <c r="FF107" i="2"/>
  <c r="FF106" i="2"/>
  <c r="FF101" i="2"/>
  <c r="FF100" i="2"/>
  <c r="FF99" i="2"/>
  <c r="FF97" i="2"/>
  <c r="FF96" i="2"/>
  <c r="FF95" i="2"/>
  <c r="FF94" i="2"/>
  <c r="FF93" i="2"/>
  <c r="FG115" i="2"/>
  <c r="FG114" i="2"/>
  <c r="FG112" i="2"/>
  <c r="FG111" i="2"/>
  <c r="FG110" i="2"/>
  <c r="FG109" i="2"/>
  <c r="FG108" i="2"/>
  <c r="FG107" i="2"/>
  <c r="FG106" i="2"/>
  <c r="FG102" i="2"/>
  <c r="FG101" i="2"/>
  <c r="FG100" i="2"/>
  <c r="FG99" i="2"/>
  <c r="FG97" i="2"/>
  <c r="FG96" i="2"/>
  <c r="FG95" i="2"/>
  <c r="FG94" i="2"/>
  <c r="FG93" i="2"/>
  <c r="FF74" i="2"/>
  <c r="FF71" i="2"/>
  <c r="FF69" i="2"/>
  <c r="FF66" i="2"/>
  <c r="FF65" i="2"/>
  <c r="FF63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1" i="2" s="1"/>
  <c r="FF9" i="2"/>
  <c r="FF80" i="2" s="1"/>
  <c r="FF5" i="2"/>
  <c r="FF3" i="2" s="1"/>
  <c r="CX20" i="2"/>
  <c r="FF20" i="2" s="1"/>
  <c r="CX21" i="2"/>
  <c r="FF21" i="2" s="1"/>
  <c r="CX29" i="2"/>
  <c r="FF29" i="2" s="1"/>
  <c r="CX24" i="2"/>
  <c r="FF24" i="2" s="1"/>
  <c r="CX115" i="2"/>
  <c r="FF115" i="2" s="1"/>
  <c r="CX113" i="2"/>
  <c r="FF113" i="2" s="1"/>
  <c r="CX105" i="2"/>
  <c r="FF105" i="2" s="1"/>
  <c r="CX92" i="2"/>
  <c r="CX102" i="2"/>
  <c r="FF102" i="2" s="1"/>
  <c r="CX98" i="2"/>
  <c r="FF98" i="2" s="1"/>
  <c r="CX35" i="2"/>
  <c r="FF35" i="2" s="1"/>
  <c r="CX25" i="2"/>
  <c r="FF25" i="2" s="1"/>
  <c r="CX28" i="2"/>
  <c r="FF28" i="2" s="1"/>
  <c r="CX27" i="2"/>
  <c r="FF27" i="2" s="1"/>
  <c r="CX17" i="2"/>
  <c r="FF17" i="2" s="1"/>
  <c r="CW22" i="2"/>
  <c r="CW114" i="2"/>
  <c r="CW113" i="2"/>
  <c r="CW105" i="2"/>
  <c r="CW92" i="2"/>
  <c r="CW98" i="2"/>
  <c r="CV22" i="2"/>
  <c r="CV140" i="2"/>
  <c r="CV138" i="2"/>
  <c r="CV137" i="2"/>
  <c r="CV135" i="2"/>
  <c r="CW135" i="2" s="1"/>
  <c r="CV132" i="2"/>
  <c r="CW132" i="2" s="1"/>
  <c r="CX132" i="2" s="1"/>
  <c r="FF132" i="2" s="1"/>
  <c r="CV129" i="2"/>
  <c r="CW129" i="2" s="1"/>
  <c r="CX129" i="2" s="1"/>
  <c r="CV126" i="2"/>
  <c r="CW126" i="2" s="1"/>
  <c r="CX126" i="2" s="1"/>
  <c r="FF126" i="2" s="1"/>
  <c r="CV125" i="2"/>
  <c r="CW125" i="2" s="1"/>
  <c r="CV124" i="2"/>
  <c r="CW124" i="2" s="1"/>
  <c r="CX124" i="2" s="1"/>
  <c r="FF124" i="2" s="1"/>
  <c r="CV123" i="2"/>
  <c r="CW123" i="2" s="1"/>
  <c r="CX123" i="2" s="1"/>
  <c r="FF123" i="2" s="1"/>
  <c r="CV122" i="2"/>
  <c r="CV121" i="2"/>
  <c r="CV120" i="2"/>
  <c r="CV119" i="2"/>
  <c r="CW119" i="2" s="1"/>
  <c r="CX119" i="2" s="1"/>
  <c r="CV114" i="2"/>
  <c r="CV113" i="2"/>
  <c r="CV105" i="2"/>
  <c r="CV98" i="2"/>
  <c r="CV92" i="2"/>
  <c r="CQ22" i="2"/>
  <c r="CU22" i="2"/>
  <c r="CU136" i="2"/>
  <c r="CU131" i="2"/>
  <c r="CV131" i="2" s="1"/>
  <c r="CW131" i="2" s="1"/>
  <c r="CU130" i="2"/>
  <c r="CV130" i="2" s="1"/>
  <c r="CU127" i="2"/>
  <c r="CU114" i="2"/>
  <c r="CU113" i="2"/>
  <c r="CU105" i="2"/>
  <c r="CU98" i="2"/>
  <c r="CU92" i="2"/>
  <c r="DB113" i="2"/>
  <c r="DB105" i="2"/>
  <c r="FG105" i="2" s="1"/>
  <c r="DB98" i="2"/>
  <c r="FG98" i="2" s="1"/>
  <c r="DB92" i="2"/>
  <c r="FG92" i="2" s="1"/>
  <c r="FG74" i="2"/>
  <c r="FG71" i="2"/>
  <c r="FG69" i="2"/>
  <c r="DA113" i="2"/>
  <c r="DA105" i="2"/>
  <c r="DA98" i="2"/>
  <c r="DA92" i="2"/>
  <c r="CZ140" i="2"/>
  <c r="DA140" i="2" s="1"/>
  <c r="DB140" i="2" s="1"/>
  <c r="FG140" i="2" s="1"/>
  <c r="CZ138" i="2"/>
  <c r="DA138" i="2" s="1"/>
  <c r="DB138" i="2" s="1"/>
  <c r="CZ137" i="2"/>
  <c r="DA137" i="2" s="1"/>
  <c r="CZ135" i="2"/>
  <c r="DA135" i="2" s="1"/>
  <c r="DB135" i="2" s="1"/>
  <c r="CZ132" i="2"/>
  <c r="DA132" i="2" s="1"/>
  <c r="DB132" i="2" s="1"/>
  <c r="CZ129" i="2"/>
  <c r="DA129" i="2" s="1"/>
  <c r="CZ126" i="2"/>
  <c r="DA126" i="2" s="1"/>
  <c r="CZ125" i="2"/>
  <c r="DA125" i="2" s="1"/>
  <c r="DB125" i="2" s="1"/>
  <c r="CZ124" i="2"/>
  <c r="DA124" i="2" s="1"/>
  <c r="DB124" i="2" s="1"/>
  <c r="CZ123" i="2"/>
  <c r="DA123" i="2" s="1"/>
  <c r="CZ122" i="2"/>
  <c r="DA122" i="2" s="1"/>
  <c r="DB122" i="2" s="1"/>
  <c r="CZ121" i="2"/>
  <c r="DA121" i="2" s="1"/>
  <c r="DB121" i="2" s="1"/>
  <c r="CZ120" i="2"/>
  <c r="DA120" i="2" s="1"/>
  <c r="CZ119" i="2"/>
  <c r="DA119" i="2" s="1"/>
  <c r="DB119" i="2" s="1"/>
  <c r="FG119" i="2" s="1"/>
  <c r="CZ113" i="2"/>
  <c r="CZ105" i="2"/>
  <c r="CZ92" i="2"/>
  <c r="CZ98" i="2"/>
  <c r="CY136" i="2"/>
  <c r="CZ136" i="2" s="1"/>
  <c r="DA136" i="2" s="1"/>
  <c r="CY131" i="2"/>
  <c r="CZ131" i="2" s="1"/>
  <c r="DA131" i="2" s="1"/>
  <c r="DB131" i="2" s="1"/>
  <c r="CY130" i="2"/>
  <c r="CY127" i="2"/>
  <c r="CY113" i="2"/>
  <c r="CY105" i="2"/>
  <c r="CY92" i="2"/>
  <c r="CY98" i="2"/>
  <c r="FH115" i="2"/>
  <c r="FH114" i="2"/>
  <c r="FH112" i="2"/>
  <c r="FH111" i="2"/>
  <c r="FH110" i="2"/>
  <c r="FH109" i="2"/>
  <c r="FH108" i="2"/>
  <c r="FH107" i="2"/>
  <c r="FH106" i="2"/>
  <c r="FH102" i="2"/>
  <c r="FH101" i="2"/>
  <c r="FH99" i="2"/>
  <c r="FH96" i="2"/>
  <c r="FH95" i="2"/>
  <c r="FH94" i="2"/>
  <c r="FH93" i="2"/>
  <c r="FH71" i="2"/>
  <c r="FH69" i="2"/>
  <c r="FH66" i="2"/>
  <c r="FH65" i="2"/>
  <c r="FH63" i="2"/>
  <c r="FH36" i="2"/>
  <c r="FH35" i="2"/>
  <c r="FH34" i="2"/>
  <c r="FH33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0" i="2"/>
  <c r="DE140" i="2" s="1"/>
  <c r="DD138" i="2"/>
  <c r="DE138" i="2" s="1"/>
  <c r="DF138" i="2" s="1"/>
  <c r="DD137" i="2"/>
  <c r="DE137" i="2" s="1"/>
  <c r="DF137" i="2" s="1"/>
  <c r="DD136" i="2"/>
  <c r="DE136" i="2" s="1"/>
  <c r="DD135" i="2"/>
  <c r="DE135" i="2" s="1"/>
  <c r="DD132" i="2"/>
  <c r="DE132" i="2" s="1"/>
  <c r="DF132" i="2" s="1"/>
  <c r="DD129" i="2"/>
  <c r="DE129" i="2" s="1"/>
  <c r="DF129" i="2" s="1"/>
  <c r="DD126" i="2"/>
  <c r="DD125" i="2"/>
  <c r="DD124" i="2"/>
  <c r="DE124" i="2" s="1"/>
  <c r="DF124" i="2" s="1"/>
  <c r="DD123" i="2"/>
  <c r="DD122" i="2"/>
  <c r="DE122" i="2" s="1"/>
  <c r="DF122" i="2" s="1"/>
  <c r="DD121" i="2"/>
  <c r="DE121" i="2" s="1"/>
  <c r="DD120" i="2"/>
  <c r="DE120" i="2" s="1"/>
  <c r="DD119" i="2"/>
  <c r="DE119" i="2" s="1"/>
  <c r="FE78" i="2"/>
  <c r="FI115" i="2"/>
  <c r="FI114" i="2"/>
  <c r="FI112" i="2"/>
  <c r="FI111" i="2"/>
  <c r="FI110" i="2"/>
  <c r="FI109" i="2"/>
  <c r="FI108" i="2"/>
  <c r="FI107" i="2"/>
  <c r="FI106" i="2"/>
  <c r="FI102" i="2"/>
  <c r="FI101" i="2"/>
  <c r="FI100" i="2"/>
  <c r="FI99" i="2"/>
  <c r="FI97" i="2"/>
  <c r="FI96" i="2"/>
  <c r="FI95" i="2"/>
  <c r="FI94" i="2"/>
  <c r="FI93" i="2"/>
  <c r="FJ115" i="2"/>
  <c r="FJ114" i="2"/>
  <c r="FJ113" i="2"/>
  <c r="FJ112" i="2"/>
  <c r="FJ111" i="2"/>
  <c r="FJ110" i="2"/>
  <c r="FJ109" i="2"/>
  <c r="FJ108" i="2"/>
  <c r="FJ107" i="2"/>
  <c r="FJ106" i="2"/>
  <c r="FJ102" i="2"/>
  <c r="FJ101" i="2"/>
  <c r="FJ100" i="2"/>
  <c r="FJ99" i="2"/>
  <c r="FJ97" i="2"/>
  <c r="FJ96" i="2"/>
  <c r="FJ95" i="2"/>
  <c r="FJ94" i="2"/>
  <c r="FJ93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2" i="2"/>
  <c r="FI32" i="2" s="1"/>
  <c r="DI20" i="2"/>
  <c r="DG20" i="2"/>
  <c r="DJ113" i="2"/>
  <c r="FI113" i="2" s="1"/>
  <c r="DJ105" i="2"/>
  <c r="FI105" i="2" s="1"/>
  <c r="DJ98" i="2"/>
  <c r="FI98" i="2" s="1"/>
  <c r="DJ92" i="2"/>
  <c r="FI92" i="2" s="1"/>
  <c r="DJ27" i="2"/>
  <c r="FI27" i="2" s="1"/>
  <c r="DJ25" i="2"/>
  <c r="FI25" i="2" s="1"/>
  <c r="DJ21" i="2"/>
  <c r="FI21" i="2" s="1"/>
  <c r="DJ17" i="2"/>
  <c r="FI17" i="2" s="1"/>
  <c r="DI22" i="2"/>
  <c r="DI113" i="2"/>
  <c r="DI105" i="2"/>
  <c r="DI98" i="2"/>
  <c r="DI92" i="2"/>
  <c r="DH140" i="2"/>
  <c r="DI140" i="2" s="1"/>
  <c r="DH138" i="2"/>
  <c r="DI138" i="2" s="1"/>
  <c r="DJ138" i="2" s="1"/>
  <c r="DH137" i="2"/>
  <c r="DI137" i="2" s="1"/>
  <c r="DJ137" i="2" s="1"/>
  <c r="DH135" i="2"/>
  <c r="DI135" i="2" s="1"/>
  <c r="DJ135" i="2" s="1"/>
  <c r="DH132" i="2"/>
  <c r="DI132" i="2" s="1"/>
  <c r="DJ132" i="2" s="1"/>
  <c r="DH131" i="2"/>
  <c r="DI131" i="2" s="1"/>
  <c r="DJ131" i="2" s="1"/>
  <c r="DH129" i="2"/>
  <c r="DI129" i="2" s="1"/>
  <c r="DH126" i="2"/>
  <c r="DI126" i="2" s="1"/>
  <c r="DJ126" i="2" s="1"/>
  <c r="DH125" i="2"/>
  <c r="DI125" i="2" s="1"/>
  <c r="DJ125" i="2" s="1"/>
  <c r="DH124" i="2"/>
  <c r="DH123" i="2"/>
  <c r="DI123" i="2" s="1"/>
  <c r="DJ123" i="2" s="1"/>
  <c r="DH122" i="2"/>
  <c r="DI122" i="2" s="1"/>
  <c r="DJ122" i="2" s="1"/>
  <c r="DH121" i="2"/>
  <c r="DI121" i="2" s="1"/>
  <c r="DJ121" i="2" s="1"/>
  <c r="DH120" i="2"/>
  <c r="DI120" i="2" s="1"/>
  <c r="DJ120" i="2" s="1"/>
  <c r="DH119" i="2"/>
  <c r="DI119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FJ25" i="2" s="1"/>
  <c r="DL31" i="2"/>
  <c r="FJ31" i="2" s="1"/>
  <c r="DL29" i="2"/>
  <c r="DK29" i="2"/>
  <c r="DK20" i="2"/>
  <c r="DN23" i="2"/>
  <c r="FJ23" i="2" s="1"/>
  <c r="DN21" i="2"/>
  <c r="FJ21" i="2" s="1"/>
  <c r="DN18" i="2"/>
  <c r="FJ18" i="2" s="1"/>
  <c r="DN17" i="2"/>
  <c r="FJ17" i="2" s="1"/>
  <c r="DN14" i="2"/>
  <c r="FJ14" i="2" s="1"/>
  <c r="DM22" i="2"/>
  <c r="DM105" i="2"/>
  <c r="DM116" i="2" s="1"/>
  <c r="DM98" i="2"/>
  <c r="DM92" i="2"/>
  <c r="DL22" i="2"/>
  <c r="DO71" i="2"/>
  <c r="DO63" i="2"/>
  <c r="DP71" i="2"/>
  <c r="DP82" i="2"/>
  <c r="DP81" i="2"/>
  <c r="DP80" i="2"/>
  <c r="DP79" i="2"/>
  <c r="DP78" i="2"/>
  <c r="DP63" i="2"/>
  <c r="DP140" i="2"/>
  <c r="DP138" i="2"/>
  <c r="DP137" i="2"/>
  <c r="DP136" i="2"/>
  <c r="DP135" i="2"/>
  <c r="DP131" i="2"/>
  <c r="DP132" i="2"/>
  <c r="DP129" i="2"/>
  <c r="DP126" i="2"/>
  <c r="DP125" i="2"/>
  <c r="DP124" i="2"/>
  <c r="DP123" i="2"/>
  <c r="DP122" i="2"/>
  <c r="DP121" i="2"/>
  <c r="DP120" i="2"/>
  <c r="DP119" i="2"/>
  <c r="DP105" i="2"/>
  <c r="DP116" i="2" s="1"/>
  <c r="DP92" i="2"/>
  <c r="DP98" i="2"/>
  <c r="DR90" i="2"/>
  <c r="DQ90" i="2"/>
  <c r="DL140" i="2"/>
  <c r="DM140" i="2" s="1"/>
  <c r="DL138" i="2"/>
  <c r="DM138" i="2" s="1"/>
  <c r="DN138" i="2" s="1"/>
  <c r="DL137" i="2"/>
  <c r="DM137" i="2" s="1"/>
  <c r="DN137" i="2" s="1"/>
  <c r="DL135" i="2"/>
  <c r="DM135" i="2" s="1"/>
  <c r="DL132" i="2"/>
  <c r="DM132" i="2" s="1"/>
  <c r="DN132" i="2" s="1"/>
  <c r="DL131" i="2"/>
  <c r="DM131" i="2" s="1"/>
  <c r="DN131" i="2" s="1"/>
  <c r="DL129" i="2"/>
  <c r="DM129" i="2" s="1"/>
  <c r="DL126" i="2"/>
  <c r="DM126" i="2" s="1"/>
  <c r="DL125" i="2"/>
  <c r="DM125" i="2" s="1"/>
  <c r="DN125" i="2" s="1"/>
  <c r="DL124" i="2"/>
  <c r="DM124" i="2" s="1"/>
  <c r="DN124" i="2" s="1"/>
  <c r="DL123" i="2"/>
  <c r="DM123" i="2" s="1"/>
  <c r="DN123" i="2" s="1"/>
  <c r="DL122" i="2"/>
  <c r="DM122" i="2" s="1"/>
  <c r="DN122" i="2" s="1"/>
  <c r="DL121" i="2"/>
  <c r="DM121" i="2" s="1"/>
  <c r="DN121" i="2" s="1"/>
  <c r="DL120" i="2"/>
  <c r="DM120" i="2" s="1"/>
  <c r="DL119" i="2"/>
  <c r="DM119" i="2" s="1"/>
  <c r="DL106" i="2"/>
  <c r="DL105" i="2"/>
  <c r="DL98" i="2"/>
  <c r="DL92" i="2"/>
  <c r="DK32" i="2"/>
  <c r="FJ32" i="2" s="1"/>
  <c r="DK22" i="2"/>
  <c r="DK136" i="2"/>
  <c r="DL136" i="2" s="1"/>
  <c r="DM136" i="2" s="1"/>
  <c r="DN136" i="2" s="1"/>
  <c r="DK130" i="2"/>
  <c r="DL130" i="2" s="1"/>
  <c r="DM130" i="2" s="1"/>
  <c r="DN130" i="2" s="1"/>
  <c r="DK127" i="2"/>
  <c r="DO139" i="2"/>
  <c r="DO130" i="2"/>
  <c r="DP130" i="2" s="1"/>
  <c r="DO127" i="2"/>
  <c r="DO105" i="2"/>
  <c r="DO116" i="2" s="1"/>
  <c r="DO98" i="2"/>
  <c r="DO92" i="2"/>
  <c r="DO79" i="2"/>
  <c r="DO82" i="2"/>
  <c r="DO81" i="2"/>
  <c r="DO80" i="2"/>
  <c r="DO78" i="2"/>
  <c r="DO69" i="2"/>
  <c r="DQ32" i="2"/>
  <c r="DR32" i="2" s="1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DQ7" i="2"/>
  <c r="DR7" i="2" s="1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CZ116" i="2" l="1"/>
  <c r="DL103" i="2"/>
  <c r="DM103" i="2"/>
  <c r="CV103" i="2"/>
  <c r="DN29" i="2"/>
  <c r="FJ29" i="2" s="1"/>
  <c r="DI116" i="2"/>
  <c r="CW90" i="2"/>
  <c r="CY90" i="2"/>
  <c r="DB103" i="2"/>
  <c r="FG103" i="2" s="1"/>
  <c r="CW116" i="2"/>
  <c r="CZ90" i="2"/>
  <c r="FJ130" i="2"/>
  <c r="DP139" i="2"/>
  <c r="FC78" i="2"/>
  <c r="FJ125" i="2"/>
  <c r="CU90" i="2"/>
  <c r="CV116" i="2"/>
  <c r="CY139" i="2"/>
  <c r="FD78" i="2"/>
  <c r="CY116" i="2"/>
  <c r="DA116" i="2"/>
  <c r="FF78" i="2"/>
  <c r="CV90" i="2"/>
  <c r="DB116" i="2"/>
  <c r="FG116" i="2" s="1"/>
  <c r="FH122" i="2"/>
  <c r="FH129" i="2"/>
  <c r="CW140" i="2"/>
  <c r="CX140" i="2" s="1"/>
  <c r="FI126" i="2"/>
  <c r="FI131" i="2"/>
  <c r="FJ137" i="2"/>
  <c r="CX116" i="2"/>
  <c r="FF116" i="2" s="1"/>
  <c r="CZ130" i="2"/>
  <c r="DA130" i="2" s="1"/>
  <c r="DB130" i="2" s="1"/>
  <c r="CW121" i="2"/>
  <c r="CX121" i="2" s="1"/>
  <c r="FJ138" i="2"/>
  <c r="FB78" i="2"/>
  <c r="FI135" i="2"/>
  <c r="CW120" i="2"/>
  <c r="CX120" i="2" s="1"/>
  <c r="FJ78" i="2"/>
  <c r="CW122" i="2"/>
  <c r="CX122" i="2" s="1"/>
  <c r="FI120" i="2"/>
  <c r="DB120" i="2"/>
  <c r="FG120" i="2" s="1"/>
  <c r="CX125" i="2"/>
  <c r="FF125" i="2" s="1"/>
  <c r="CX22" i="2"/>
  <c r="FF22" i="2" s="1"/>
  <c r="FF62" i="2" s="1"/>
  <c r="FH137" i="2"/>
  <c r="FI137" i="2"/>
  <c r="FI81" i="2"/>
  <c r="FG122" i="2"/>
  <c r="CW103" i="2"/>
  <c r="CV136" i="2"/>
  <c r="CW136" i="2" s="1"/>
  <c r="CX136" i="2" s="1"/>
  <c r="FG121" i="2"/>
  <c r="CW138" i="2"/>
  <c r="CX138" i="2" s="1"/>
  <c r="DB137" i="2"/>
  <c r="FG137" i="2" s="1"/>
  <c r="DK139" i="2"/>
  <c r="FI138" i="2"/>
  <c r="DE126" i="2"/>
  <c r="DF126" i="2" s="1"/>
  <c r="FG113" i="2"/>
  <c r="DN126" i="2"/>
  <c r="FJ126" i="2" s="1"/>
  <c r="FF129" i="2"/>
  <c r="DF136" i="2"/>
  <c r="FH136" i="2" s="1"/>
  <c r="FG135" i="2"/>
  <c r="DB126" i="2"/>
  <c r="FG126" i="2" s="1"/>
  <c r="CX131" i="2"/>
  <c r="CW130" i="2"/>
  <c r="CX130" i="2" s="1"/>
  <c r="DA139" i="2"/>
  <c r="DB136" i="2"/>
  <c r="FG136" i="2" s="1"/>
  <c r="FG132" i="2"/>
  <c r="DF119" i="2"/>
  <c r="FH119" i="2"/>
  <c r="CX135" i="2"/>
  <c r="FF135" i="2" s="1"/>
  <c r="DF120" i="2"/>
  <c r="FH120" i="2" s="1"/>
  <c r="DB129" i="2"/>
  <c r="FH132" i="2"/>
  <c r="DF121" i="2"/>
  <c r="FH121" i="2" s="1"/>
  <c r="DA127" i="2"/>
  <c r="DB123" i="2"/>
  <c r="CX103" i="2"/>
  <c r="FF103" i="2" s="1"/>
  <c r="FF119" i="2"/>
  <c r="FB3" i="2"/>
  <c r="DN20" i="2"/>
  <c r="FJ20" i="2" s="1"/>
  <c r="DI103" i="2"/>
  <c r="DD127" i="2"/>
  <c r="DA103" i="2"/>
  <c r="CV133" i="2"/>
  <c r="CW137" i="2"/>
  <c r="CX137" i="2" s="1"/>
  <c r="FI125" i="2"/>
  <c r="FF92" i="2"/>
  <c r="DI124" i="2"/>
  <c r="DJ124" i="2" s="1"/>
  <c r="CZ103" i="2"/>
  <c r="CU103" i="2"/>
  <c r="CU62" i="2"/>
  <c r="FI123" i="2"/>
  <c r="FJ131" i="2"/>
  <c r="CU133" i="2"/>
  <c r="FJ122" i="2"/>
  <c r="FG131" i="2"/>
  <c r="CU139" i="2"/>
  <c r="DE139" i="2"/>
  <c r="CY103" i="2"/>
  <c r="FJ81" i="2"/>
  <c r="FJ22" i="2"/>
  <c r="FJ132" i="2"/>
  <c r="FI122" i="2"/>
  <c r="FJ123" i="2"/>
  <c r="DE125" i="2"/>
  <c r="DF125" i="2" s="1"/>
  <c r="FJ136" i="2"/>
  <c r="FG124" i="2"/>
  <c r="DO90" i="2"/>
  <c r="FH67" i="2"/>
  <c r="CZ139" i="2"/>
  <c r="FI121" i="2"/>
  <c r="FG125" i="2"/>
  <c r="FG138" i="2"/>
  <c r="FH124" i="2"/>
  <c r="FI132" i="2"/>
  <c r="FJ80" i="2"/>
  <c r="CU116" i="2"/>
  <c r="FJ124" i="2"/>
  <c r="DI90" i="2"/>
  <c r="DF135" i="2"/>
  <c r="FH135" i="2" s="1"/>
  <c r="FJ121" i="2"/>
  <c r="FH138" i="2"/>
  <c r="CX90" i="2"/>
  <c r="FF90" i="2" s="1"/>
  <c r="CV127" i="2"/>
  <c r="DB90" i="2"/>
  <c r="FG90" i="2" s="1"/>
  <c r="DA90" i="2"/>
  <c r="CZ127" i="2"/>
  <c r="DJ140" i="2"/>
  <c r="FI140" i="2" s="1"/>
  <c r="DN120" i="2"/>
  <c r="FJ120" i="2" s="1"/>
  <c r="DJ119" i="2"/>
  <c r="FI119" i="2" s="1"/>
  <c r="DJ129" i="2"/>
  <c r="FI129" i="2" s="1"/>
  <c r="DF140" i="2"/>
  <c r="FH140" i="2" s="1"/>
  <c r="DJ103" i="2"/>
  <c r="FI103" i="2" s="1"/>
  <c r="DE123" i="2"/>
  <c r="DH127" i="2"/>
  <c r="DJ116" i="2"/>
  <c r="FI116" i="2" s="1"/>
  <c r="CY133" i="2"/>
  <c r="DD139" i="2"/>
  <c r="DJ90" i="2"/>
  <c r="FI90" i="2" s="1"/>
  <c r="FI80" i="2"/>
  <c r="DK133" i="2"/>
  <c r="DM133" i="2"/>
  <c r="DN129" i="2"/>
  <c r="DN133" i="2" s="1"/>
  <c r="DP127" i="2"/>
  <c r="DM127" i="2"/>
  <c r="DL116" i="2"/>
  <c r="DL127" i="2"/>
  <c r="DN140" i="2"/>
  <c r="FJ140" i="2" s="1"/>
  <c r="DM139" i="2"/>
  <c r="DN135" i="2"/>
  <c r="FJ135" i="2" s="1"/>
  <c r="DP103" i="2"/>
  <c r="DO103" i="2"/>
  <c r="DL133" i="2"/>
  <c r="DO133" i="2"/>
  <c r="DO141" i="2" s="1"/>
  <c r="DP133" i="2"/>
  <c r="DP90" i="2"/>
  <c r="DL139" i="2"/>
  <c r="DQ5" i="2"/>
  <c r="DR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CY141" i="2" l="1"/>
  <c r="FF121" i="2"/>
  <c r="DI127" i="2"/>
  <c r="CX127" i="2"/>
  <c r="FH126" i="2"/>
  <c r="DA133" i="2"/>
  <c r="DB133" i="2"/>
  <c r="DF139" i="2"/>
  <c r="DB139" i="2"/>
  <c r="CW133" i="2"/>
  <c r="CZ133" i="2"/>
  <c r="CZ141" i="2" s="1"/>
  <c r="CU141" i="2"/>
  <c r="FF138" i="2"/>
  <c r="CX139" i="2"/>
  <c r="FG129" i="2"/>
  <c r="FF120" i="2"/>
  <c r="CX133" i="2"/>
  <c r="CW139" i="2"/>
  <c r="FF136" i="2"/>
  <c r="FF131" i="2"/>
  <c r="FF140" i="2"/>
  <c r="DA141" i="2"/>
  <c r="FG130" i="2"/>
  <c r="FF122" i="2"/>
  <c r="CV139" i="2"/>
  <c r="CV141" i="2" s="1"/>
  <c r="CW127" i="2"/>
  <c r="FF137" i="2"/>
  <c r="DB127" i="2"/>
  <c r="FF130" i="2"/>
  <c r="FF87" i="2"/>
  <c r="FF86" i="2"/>
  <c r="FJ129" i="2"/>
  <c r="FG123" i="2"/>
  <c r="FI124" i="2"/>
  <c r="DF123" i="2"/>
  <c r="DF127" i="2" s="1"/>
  <c r="FH125" i="2"/>
  <c r="DE127" i="2"/>
  <c r="DK141" i="2"/>
  <c r="FJ133" i="2"/>
  <c r="DJ127" i="2"/>
  <c r="FI127" i="2" s="1"/>
  <c r="DL141" i="2"/>
  <c r="DP141" i="2"/>
  <c r="DN139" i="2"/>
  <c r="FJ139" i="2" s="1"/>
  <c r="FJ141" i="2" s="1"/>
  <c r="DM141" i="2"/>
  <c r="BM3" i="33"/>
  <c r="BM22" i="33" s="1"/>
  <c r="BM24" i="33" s="1"/>
  <c r="BM25" i="33" s="1"/>
  <c r="BL10" i="33"/>
  <c r="L10" i="33"/>
  <c r="AK3" i="33"/>
  <c r="FH123" i="2" l="1"/>
  <c r="CX141" i="2"/>
  <c r="CW141" i="2"/>
  <c r="DB141" i="2"/>
  <c r="FG127" i="2"/>
  <c r="FH127" i="2"/>
  <c r="BL3" i="33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19" i="2"/>
  <c r="FJ119" i="2" s="1"/>
  <c r="DN105" i="2"/>
  <c r="DN98" i="2"/>
  <c r="FJ98" i="2" s="1"/>
  <c r="DN92" i="2"/>
  <c r="FJ92" i="2" s="1"/>
  <c r="DM90" i="2"/>
  <c r="DL90" i="2"/>
  <c r="DJ71" i="2"/>
  <c r="DN71" i="2"/>
  <c r="DJ69" i="2"/>
  <c r="DN69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3" i="2"/>
  <c r="DN63" i="2"/>
  <c r="DR66" i="2"/>
  <c r="DR65" i="2"/>
  <c r="DO67" i="2"/>
  <c r="DL63" i="2"/>
  <c r="DK105" i="2"/>
  <c r="DK116" i="2" s="1"/>
  <c r="DK98" i="2"/>
  <c r="DK92" i="2"/>
  <c r="AL23" i="2"/>
  <c r="AL55" i="2"/>
  <c r="AL17" i="2"/>
  <c r="AL52" i="2"/>
  <c r="AL44" i="2"/>
  <c r="AL54" i="2"/>
  <c r="AL12" i="2"/>
  <c r="AL14" i="2"/>
  <c r="AI62" i="2"/>
  <c r="AJ62" i="2"/>
  <c r="AK62" i="2"/>
  <c r="AM62" i="2"/>
  <c r="AN62" i="2"/>
  <c r="AO62" i="2"/>
  <c r="BV59" i="2"/>
  <c r="BW69" i="2"/>
  <c r="BW59" i="2"/>
  <c r="BX59" i="2"/>
  <c r="BY59" i="2"/>
  <c r="BZ59" i="2"/>
  <c r="CA67" i="2"/>
  <c r="CA59" i="2"/>
  <c r="CE59" i="2"/>
  <c r="CE62" i="2" s="1"/>
  <c r="CB67" i="2"/>
  <c r="CB59" i="2"/>
  <c r="CF59" i="2"/>
  <c r="CF62" i="2" s="1"/>
  <c r="CC67" i="2"/>
  <c r="CC59" i="2"/>
  <c r="CG59" i="2"/>
  <c r="CG62" i="2" s="1"/>
  <c r="CH78" i="2"/>
  <c r="CM82" i="2"/>
  <c r="CL82" i="2"/>
  <c r="CK82" i="2"/>
  <c r="CJ82" i="2"/>
  <c r="CI82" i="2"/>
  <c r="CM78" i="2"/>
  <c r="CL78" i="2"/>
  <c r="CK78" i="2"/>
  <c r="CJ78" i="2"/>
  <c r="CI78" i="2"/>
  <c r="CD59" i="2"/>
  <c r="CD62" i="2" s="1"/>
  <c r="CD67" i="2"/>
  <c r="CH59" i="2"/>
  <c r="CH62" i="2" s="1"/>
  <c r="CE67" i="2"/>
  <c r="CI67" i="2"/>
  <c r="CI59" i="2"/>
  <c r="CI62" i="2" s="1"/>
  <c r="CN82" i="2"/>
  <c r="CN80" i="2"/>
  <c r="CN78" i="2"/>
  <c r="CF67" i="2"/>
  <c r="CJ67" i="2"/>
  <c r="CJ59" i="2"/>
  <c r="CJ62" i="2" s="1"/>
  <c r="CG67" i="2"/>
  <c r="CO82" i="2"/>
  <c r="CO80" i="2"/>
  <c r="CO78" i="2"/>
  <c r="CK67" i="2"/>
  <c r="CK59" i="2"/>
  <c r="CK62" i="2" s="1"/>
  <c r="CH67" i="2"/>
  <c r="CP82" i="2"/>
  <c r="CP80" i="2"/>
  <c r="CP78" i="2"/>
  <c r="CL67" i="2"/>
  <c r="CL59" i="2"/>
  <c r="CL62" i="2" s="1"/>
  <c r="CL64" i="2" s="1"/>
  <c r="CL85" i="2" s="1"/>
  <c r="CU82" i="2"/>
  <c r="CT82" i="2"/>
  <c r="CS82" i="2"/>
  <c r="CR82" i="2"/>
  <c r="CQ82" i="2"/>
  <c r="CU81" i="2"/>
  <c r="CT81" i="2"/>
  <c r="CU80" i="2"/>
  <c r="CT80" i="2"/>
  <c r="CS80" i="2"/>
  <c r="CR80" i="2"/>
  <c r="CQ80" i="2"/>
  <c r="CU78" i="2"/>
  <c r="CT78" i="2"/>
  <c r="CS78" i="2"/>
  <c r="CR78" i="2"/>
  <c r="CQ78" i="2"/>
  <c r="CM67" i="2"/>
  <c r="CQ67" i="2"/>
  <c r="CM59" i="2"/>
  <c r="CM62" i="2" s="1"/>
  <c r="CM86" i="2" s="1"/>
  <c r="CQ62" i="2"/>
  <c r="CQ87" i="2" s="1"/>
  <c r="CN67" i="2"/>
  <c r="CR67" i="2"/>
  <c r="CV82" i="2"/>
  <c r="CV81" i="2"/>
  <c r="CV80" i="2"/>
  <c r="CV78" i="2"/>
  <c r="CR59" i="2"/>
  <c r="CR62" i="2" s="1"/>
  <c r="CR64" i="2" s="1"/>
  <c r="CR85" i="2" s="1"/>
  <c r="CS59" i="2"/>
  <c r="CS62" i="2" s="1"/>
  <c r="CS87" i="2" s="1"/>
  <c r="CN59" i="2"/>
  <c r="CN62" i="2" s="1"/>
  <c r="CW82" i="2"/>
  <c r="CW81" i="2"/>
  <c r="CW80" i="2"/>
  <c r="CW78" i="2"/>
  <c r="CO69" i="2"/>
  <c r="CO67" i="2"/>
  <c r="CS69" i="2"/>
  <c r="CS67" i="2"/>
  <c r="CO59" i="2"/>
  <c r="CO62" i="2" s="1"/>
  <c r="CO87" i="2" s="1"/>
  <c r="CP59" i="2"/>
  <c r="CP62" i="2" s="1"/>
  <c r="CP87" i="2" s="1"/>
  <c r="CP69" i="2"/>
  <c r="CP67" i="2"/>
  <c r="CT69" i="2"/>
  <c r="CT67" i="2"/>
  <c r="CX82" i="2"/>
  <c r="CX81" i="2"/>
  <c r="CX80" i="2"/>
  <c r="CX78" i="2"/>
  <c r="CY62" i="2"/>
  <c r="CX62" i="2"/>
  <c r="CW62" i="2"/>
  <c r="CV62" i="2"/>
  <c r="CT59" i="2"/>
  <c r="CT62" i="2" s="1"/>
  <c r="DK63" i="2"/>
  <c r="DK69" i="2"/>
  <c r="EZ24" i="2"/>
  <c r="FA62" i="2"/>
  <c r="FB24" i="2"/>
  <c r="FB62" i="2" s="1"/>
  <c r="FC62" i="2"/>
  <c r="DH69" i="2"/>
  <c r="DH22" i="2"/>
  <c r="DH113" i="2"/>
  <c r="DH105" i="2"/>
  <c r="DH98" i="2"/>
  <c r="DH92" i="2"/>
  <c r="FD35" i="2"/>
  <c r="FE24" i="2"/>
  <c r="FD24" i="2"/>
  <c r="FE29" i="2"/>
  <c r="FD29" i="2"/>
  <c r="FD22" i="2"/>
  <c r="FD20" i="2"/>
  <c r="FH74" i="2"/>
  <c r="FG66" i="2"/>
  <c r="FG65" i="2"/>
  <c r="FG63" i="2"/>
  <c r="FG36" i="2"/>
  <c r="FG35" i="2"/>
  <c r="FG34" i="2"/>
  <c r="FG33" i="2"/>
  <c r="FG32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4" i="2"/>
  <c r="DM145" i="2" s="1"/>
  <c r="DM66" i="2"/>
  <c r="DM65" i="2"/>
  <c r="FJ65" i="2" s="1"/>
  <c r="DH67" i="2"/>
  <c r="DH31" i="2"/>
  <c r="DA62" i="2"/>
  <c r="CZ62" i="2"/>
  <c r="DQ74" i="2" l="1"/>
  <c r="FJ74" i="2"/>
  <c r="FG81" i="2"/>
  <c r="FH81" i="2"/>
  <c r="FJ69" i="2"/>
  <c r="FG3" i="2"/>
  <c r="FG78" i="2"/>
  <c r="FG80" i="2"/>
  <c r="FH80" i="2"/>
  <c r="DN116" i="2"/>
  <c r="FJ116" i="2" s="1"/>
  <c r="FJ105" i="2"/>
  <c r="DN127" i="2"/>
  <c r="DJ31" i="2"/>
  <c r="FI31" i="2" s="1"/>
  <c r="DH20" i="2"/>
  <c r="DQ66" i="2"/>
  <c r="FK66" i="2" s="1"/>
  <c r="FJ66" i="2"/>
  <c r="DP3" i="2"/>
  <c r="FI69" i="2"/>
  <c r="DK103" i="2"/>
  <c r="DN103" i="2"/>
  <c r="FJ103" i="2" s="1"/>
  <c r="DQ65" i="2"/>
  <c r="DR67" i="2"/>
  <c r="FK19" i="2"/>
  <c r="FK16" i="2"/>
  <c r="DP67" i="2"/>
  <c r="FI65" i="2"/>
  <c r="FK15" i="2"/>
  <c r="FI66" i="2"/>
  <c r="DN90" i="2"/>
  <c r="FJ90" i="2" s="1"/>
  <c r="FK26" i="2"/>
  <c r="FK7" i="2"/>
  <c r="DQ12" i="2"/>
  <c r="DR12" i="2" s="1"/>
  <c r="DQ6" i="2"/>
  <c r="DQ79" i="2" s="1"/>
  <c r="DQ10" i="2"/>
  <c r="DR74" i="2"/>
  <c r="DH90" i="2"/>
  <c r="DK90" i="2"/>
  <c r="AL62" i="2"/>
  <c r="CY76" i="2"/>
  <c r="CL76" i="2"/>
  <c r="CL86" i="2"/>
  <c r="CL87" i="2"/>
  <c r="CM87" i="2"/>
  <c r="DM67" i="2"/>
  <c r="CJ86" i="2"/>
  <c r="CJ64" i="2"/>
  <c r="CJ68" i="2" s="1"/>
  <c r="CJ70" i="2" s="1"/>
  <c r="CJ72" i="2" s="1"/>
  <c r="CJ73" i="2" s="1"/>
  <c r="CJ87" i="2"/>
  <c r="CN76" i="2"/>
  <c r="CM76" i="2"/>
  <c r="CI87" i="2"/>
  <c r="CI64" i="2"/>
  <c r="CI85" i="2" s="1"/>
  <c r="CI86" i="2"/>
  <c r="CJ76" i="2"/>
  <c r="CV76" i="2"/>
  <c r="CT76" i="2"/>
  <c r="CP76" i="2"/>
  <c r="CP86" i="2"/>
  <c r="CK76" i="2"/>
  <c r="DH116" i="2"/>
  <c r="CI76" i="2"/>
  <c r="CE86" i="2"/>
  <c r="CE64" i="2"/>
  <c r="CE85" i="2" s="1"/>
  <c r="CE87" i="2"/>
  <c r="CF87" i="2"/>
  <c r="CU76" i="2"/>
  <c r="CH76" i="2"/>
  <c r="CD86" i="2"/>
  <c r="CD87" i="2"/>
  <c r="CG87" i="2"/>
  <c r="CG64" i="2"/>
  <c r="CG85" i="2" s="1"/>
  <c r="CF64" i="2"/>
  <c r="CF85" i="2" s="1"/>
  <c r="CF86" i="2"/>
  <c r="CO76" i="2"/>
  <c r="CK87" i="2"/>
  <c r="CK86" i="2"/>
  <c r="CK64" i="2"/>
  <c r="CK85" i="2" s="1"/>
  <c r="CG86" i="2"/>
  <c r="CH64" i="2"/>
  <c r="CH85" i="2" s="1"/>
  <c r="CH87" i="2"/>
  <c r="CH86" i="2"/>
  <c r="CL68" i="2"/>
  <c r="CL70" i="2" s="1"/>
  <c r="CQ64" i="2"/>
  <c r="CM64" i="2"/>
  <c r="CM85" i="2" s="1"/>
  <c r="CS86" i="2"/>
  <c r="CQ76" i="2"/>
  <c r="CR87" i="2"/>
  <c r="CQ86" i="2"/>
  <c r="DN67" i="2"/>
  <c r="CR76" i="2"/>
  <c r="CR86" i="2"/>
  <c r="CW76" i="2"/>
  <c r="CS76" i="2"/>
  <c r="CN86" i="2"/>
  <c r="CN64" i="2"/>
  <c r="CN85" i="2" s="1"/>
  <c r="CN87" i="2"/>
  <c r="CR68" i="2"/>
  <c r="CR70" i="2" s="1"/>
  <c r="CT86" i="2"/>
  <c r="CT64" i="2"/>
  <c r="CX76" i="2"/>
  <c r="CT87" i="2"/>
  <c r="CS64" i="2"/>
  <c r="CO64" i="2"/>
  <c r="CO85" i="2" s="1"/>
  <c r="CO86" i="2"/>
  <c r="CP64" i="2"/>
  <c r="CP85" i="2" s="1"/>
  <c r="DH103" i="2"/>
  <c r="FE62" i="2"/>
  <c r="FL23" i="2"/>
  <c r="FM23" i="2" s="1"/>
  <c r="FN23" i="2" s="1"/>
  <c r="FO23" i="2" s="1"/>
  <c r="FP23" i="2" s="1"/>
  <c r="FQ23" i="2" s="1"/>
  <c r="DL67" i="2"/>
  <c r="FI74" i="2"/>
  <c r="FG67" i="2"/>
  <c r="FL21" i="2"/>
  <c r="FM21" i="2" s="1"/>
  <c r="FN21" i="2" s="1"/>
  <c r="FO21" i="2" s="1"/>
  <c r="FP21" i="2" s="1"/>
  <c r="FQ21" i="2" s="1"/>
  <c r="DK67" i="2"/>
  <c r="FL24" i="2"/>
  <c r="FM24" i="2" s="1"/>
  <c r="FN24" i="2" s="1"/>
  <c r="FO24" i="2" s="1"/>
  <c r="FP24" i="2" s="1"/>
  <c r="FQ24" i="2" s="1"/>
  <c r="DI67" i="2"/>
  <c r="FL20" i="2"/>
  <c r="FM20" i="2" s="1"/>
  <c r="FN20" i="2" s="1"/>
  <c r="FO20" i="2" s="1"/>
  <c r="FP20" i="2" s="1"/>
  <c r="FQ20" i="2" s="1"/>
  <c r="DJ67" i="2"/>
  <c r="DE62" i="2"/>
  <c r="DD62" i="2"/>
  <c r="DB27" i="2"/>
  <c r="FG27" i="2" s="1"/>
  <c r="DB25" i="2"/>
  <c r="FG25" i="2" s="1"/>
  <c r="DB21" i="2"/>
  <c r="FG21" i="2" s="1"/>
  <c r="DB17" i="2"/>
  <c r="DC139" i="2"/>
  <c r="DC131" i="2"/>
  <c r="DC130" i="2"/>
  <c r="DC127" i="2"/>
  <c r="DC113" i="2"/>
  <c r="DC105" i="2"/>
  <c r="DC98" i="2"/>
  <c r="DC92" i="2"/>
  <c r="DD113" i="2"/>
  <c r="DD105" i="2"/>
  <c r="DD98" i="2"/>
  <c r="DD92" i="2"/>
  <c r="DE113" i="2"/>
  <c r="DE105" i="2"/>
  <c r="DE98" i="2"/>
  <c r="DE92" i="2"/>
  <c r="DG22" i="2"/>
  <c r="DJ22" i="2" s="1"/>
  <c r="DF32" i="2"/>
  <c r="FH32" i="2" s="1"/>
  <c r="DF113" i="2"/>
  <c r="FH113" i="2" s="1"/>
  <c r="DF105" i="2"/>
  <c r="FH105" i="2" s="1"/>
  <c r="DF98" i="2"/>
  <c r="FH98" i="2" s="1"/>
  <c r="DF92" i="2"/>
  <c r="FH92" i="2" s="1"/>
  <c r="DF27" i="2"/>
  <c r="FH27" i="2" s="1"/>
  <c r="DF25" i="2"/>
  <c r="FH25" i="2" s="1"/>
  <c r="DF21" i="2"/>
  <c r="FH21" i="2" s="1"/>
  <c r="DF17" i="2"/>
  <c r="FH17" i="2" s="1"/>
  <c r="FH5" i="2"/>
  <c r="DN82" i="2"/>
  <c r="DI82" i="2"/>
  <c r="DK82" i="2"/>
  <c r="DN81" i="2"/>
  <c r="DM81" i="2"/>
  <c r="DG82" i="2"/>
  <c r="DF82" i="2"/>
  <c r="DE82" i="2"/>
  <c r="DD82" i="2"/>
  <c r="DC82" i="2"/>
  <c r="DB82" i="2"/>
  <c r="DA82" i="2"/>
  <c r="CZ82" i="2"/>
  <c r="CY82" i="2"/>
  <c r="DG81" i="2"/>
  <c r="DF81" i="2"/>
  <c r="DE81" i="2"/>
  <c r="DD81" i="2"/>
  <c r="DC81" i="2"/>
  <c r="DB81" i="2"/>
  <c r="DA81" i="2"/>
  <c r="CZ81" i="2"/>
  <c r="CY81" i="2"/>
  <c r="DN80" i="2"/>
  <c r="DM80" i="2"/>
  <c r="DF80" i="2"/>
  <c r="DE80" i="2"/>
  <c r="DD80" i="2"/>
  <c r="DC80" i="2"/>
  <c r="DB80" i="2"/>
  <c r="DA80" i="2"/>
  <c r="CZ80" i="2"/>
  <c r="CY80" i="2"/>
  <c r="DG80" i="2"/>
  <c r="DQ67" i="2" l="1"/>
  <c r="CN68" i="2"/>
  <c r="CN70" i="2" s="1"/>
  <c r="DD131" i="2"/>
  <c r="DE131" i="2" s="1"/>
  <c r="DF131" i="2" s="1"/>
  <c r="FH131" i="2" s="1"/>
  <c r="FE64" i="2"/>
  <c r="FF64" i="2"/>
  <c r="FF85" i="2" s="1"/>
  <c r="FF76" i="2"/>
  <c r="FJ67" i="2"/>
  <c r="DJ20" i="2"/>
  <c r="FI20" i="2" s="1"/>
  <c r="DN141" i="2"/>
  <c r="FJ127" i="2"/>
  <c r="FH3" i="2"/>
  <c r="FH78" i="2"/>
  <c r="FI78" i="2"/>
  <c r="DC133" i="2"/>
  <c r="DC141" i="2" s="1"/>
  <c r="DD130" i="2"/>
  <c r="FK65" i="2"/>
  <c r="FK67" i="2" s="1"/>
  <c r="FI22" i="2"/>
  <c r="DL62" i="2"/>
  <c r="DR6" i="2"/>
  <c r="DQ3" i="2"/>
  <c r="FK5" i="2"/>
  <c r="DR3" i="2"/>
  <c r="CP68" i="2"/>
  <c r="CP70" i="2" s="1"/>
  <c r="CP88" i="2" s="1"/>
  <c r="DQ11" i="2"/>
  <c r="FK74" i="2"/>
  <c r="FL74" i="2" s="1"/>
  <c r="FM74" i="2" s="1"/>
  <c r="FN74" i="2" s="1"/>
  <c r="FO74" i="2" s="1"/>
  <c r="FP74" i="2" s="1"/>
  <c r="FQ74" i="2" s="1"/>
  <c r="FI67" i="2"/>
  <c r="FK30" i="2"/>
  <c r="FL7" i="2"/>
  <c r="FM7" i="2" s="1"/>
  <c r="FN7" i="2" s="1"/>
  <c r="FO7" i="2" s="1"/>
  <c r="FP7" i="2" s="1"/>
  <c r="FQ7" i="2" s="1"/>
  <c r="FK13" i="2"/>
  <c r="DQ78" i="2"/>
  <c r="DR10" i="2"/>
  <c r="DR81" i="2" s="1"/>
  <c r="DQ81" i="2"/>
  <c r="DQ9" i="2"/>
  <c r="FK12" i="2"/>
  <c r="CJ88" i="2"/>
  <c r="CJ85" i="2"/>
  <c r="CM68" i="2"/>
  <c r="CM70" i="2" s="1"/>
  <c r="CM88" i="2" s="1"/>
  <c r="CI68" i="2"/>
  <c r="CI70" i="2" s="1"/>
  <c r="CI88" i="2" s="1"/>
  <c r="CE68" i="2"/>
  <c r="CE70" i="2" s="1"/>
  <c r="CE72" i="2" s="1"/>
  <c r="CE73" i="2" s="1"/>
  <c r="DD116" i="2"/>
  <c r="CL72" i="2"/>
  <c r="CL73" i="2" s="1"/>
  <c r="CL88" i="2"/>
  <c r="CK68" i="2"/>
  <c r="CK70" i="2" s="1"/>
  <c r="CK72" i="2" s="1"/>
  <c r="CK73" i="2" s="1"/>
  <c r="CG68" i="2"/>
  <c r="CG70" i="2" s="1"/>
  <c r="CG72" i="2" s="1"/>
  <c r="CG73" i="2" s="1"/>
  <c r="CF68" i="2"/>
  <c r="CF70" i="2" s="1"/>
  <c r="CF72" i="2" s="1"/>
  <c r="CF73" i="2" s="1"/>
  <c r="CJ83" i="2" s="1"/>
  <c r="CH68" i="2"/>
  <c r="CH70" i="2" s="1"/>
  <c r="CH88" i="2" s="1"/>
  <c r="CS68" i="2"/>
  <c r="CS70" i="2" s="1"/>
  <c r="CS85" i="2"/>
  <c r="CR72" i="2"/>
  <c r="CR73" i="2" s="1"/>
  <c r="CR88" i="2"/>
  <c r="CQ68" i="2"/>
  <c r="CQ70" i="2" s="1"/>
  <c r="CQ85" i="2"/>
  <c r="CN72" i="2"/>
  <c r="CN73" i="2" s="1"/>
  <c r="CN83" i="2" s="1"/>
  <c r="CN88" i="2"/>
  <c r="CO68" i="2"/>
  <c r="CO70" i="2" s="1"/>
  <c r="CO72" i="2" s="1"/>
  <c r="CO73" i="2" s="1"/>
  <c r="CT68" i="2"/>
  <c r="CT70" i="2" s="1"/>
  <c r="CT85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2" i="2"/>
  <c r="DL80" i="2"/>
  <c r="DK80" i="2"/>
  <c r="DH81" i="2"/>
  <c r="DL82" i="2"/>
  <c r="DE90" i="2"/>
  <c r="DB62" i="2"/>
  <c r="FG17" i="2"/>
  <c r="DK81" i="2"/>
  <c r="FL15" i="2"/>
  <c r="FM15" i="2" s="1"/>
  <c r="FN15" i="2" s="1"/>
  <c r="FO15" i="2" s="1"/>
  <c r="FP15" i="2" s="1"/>
  <c r="FQ15" i="2" s="1"/>
  <c r="DD90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0" i="2"/>
  <c r="FH90" i="2" s="1"/>
  <c r="DJ82" i="2"/>
  <c r="DF103" i="2"/>
  <c r="FH103" i="2" s="1"/>
  <c r="DF116" i="2"/>
  <c r="FH116" i="2" s="1"/>
  <c r="DE103" i="2"/>
  <c r="DJ81" i="2"/>
  <c r="DD103" i="2"/>
  <c r="DH82" i="2"/>
  <c r="DM82" i="2"/>
  <c r="DE116" i="2"/>
  <c r="DI80" i="2"/>
  <c r="DI81" i="2"/>
  <c r="DC116" i="2"/>
  <c r="DC90" i="2"/>
  <c r="DC103" i="2"/>
  <c r="DL81" i="2"/>
  <c r="DH80" i="2"/>
  <c r="DJ80" i="2"/>
  <c r="FK10" i="2" l="1"/>
  <c r="FL10" i="2" s="1"/>
  <c r="FM10" i="2" s="1"/>
  <c r="FN10" i="2" s="1"/>
  <c r="FO10" i="2" s="1"/>
  <c r="FP10" i="2" s="1"/>
  <c r="FQ10" i="2" s="1"/>
  <c r="DE130" i="2"/>
  <c r="DD133" i="2"/>
  <c r="DD141" i="2" s="1"/>
  <c r="CM72" i="2"/>
  <c r="CM73" i="2" s="1"/>
  <c r="FJ27" i="2"/>
  <c r="FJ62" i="2" s="1"/>
  <c r="DM62" i="2"/>
  <c r="CH72" i="2"/>
  <c r="CH73" i="2" s="1"/>
  <c r="CL83" i="2" s="1"/>
  <c r="CP72" i="2"/>
  <c r="CP73" i="2" s="1"/>
  <c r="CP83" i="2" s="1"/>
  <c r="FK6" i="2"/>
  <c r="FL6" i="2" s="1"/>
  <c r="FM6" i="2" s="1"/>
  <c r="FN6" i="2" s="1"/>
  <c r="FO6" i="2" s="1"/>
  <c r="FP6" i="2" s="1"/>
  <c r="FQ6" i="2" s="1"/>
  <c r="DR79" i="2"/>
  <c r="FL5" i="2"/>
  <c r="FL30" i="2"/>
  <c r="FM30" i="2" s="1"/>
  <c r="FN30" i="2" s="1"/>
  <c r="FO30" i="2" s="1"/>
  <c r="FP30" i="2" s="1"/>
  <c r="FQ30" i="2" s="1"/>
  <c r="FK32" i="2"/>
  <c r="FL32" i="2" s="1"/>
  <c r="FM32" i="2" s="1"/>
  <c r="FN32" i="2" s="1"/>
  <c r="FO32" i="2" s="1"/>
  <c r="FP32" i="2" s="1"/>
  <c r="FQ32" i="2" s="1"/>
  <c r="DQ62" i="2"/>
  <c r="DQ64" i="2" s="1"/>
  <c r="DR11" i="2"/>
  <c r="DQ82" i="2"/>
  <c r="CE88" i="2"/>
  <c r="DR78" i="2"/>
  <c r="CI72" i="2"/>
  <c r="CI73" i="2" s="1"/>
  <c r="DR9" i="2"/>
  <c r="DQ80" i="2"/>
  <c r="CO88" i="2"/>
  <c r="CG88" i="2"/>
  <c r="CK88" i="2"/>
  <c r="CF88" i="2"/>
  <c r="CK83" i="2"/>
  <c r="CO83" i="2"/>
  <c r="FL26" i="2"/>
  <c r="FM26" i="2" s="1"/>
  <c r="FN26" i="2" s="1"/>
  <c r="FO26" i="2" s="1"/>
  <c r="FP26" i="2" s="1"/>
  <c r="FQ26" i="2" s="1"/>
  <c r="CQ72" i="2"/>
  <c r="CQ73" i="2" s="1"/>
  <c r="CQ88" i="2"/>
  <c r="CR83" i="2"/>
  <c r="CS72" i="2"/>
  <c r="CS73" i="2" s="1"/>
  <c r="CS83" i="2" s="1"/>
  <c r="CS88" i="2"/>
  <c r="CT72" i="2"/>
  <c r="CT73" i="2" s="1"/>
  <c r="CT88" i="2"/>
  <c r="FL29" i="2"/>
  <c r="FM29" i="2" s="1"/>
  <c r="FN29" i="2" s="1"/>
  <c r="FO29" i="2" s="1"/>
  <c r="FP29" i="2" s="1"/>
  <c r="FQ29" i="2" s="1"/>
  <c r="FG62" i="2"/>
  <c r="FL22" i="2"/>
  <c r="FM22" i="2" s="1"/>
  <c r="FN22" i="2" s="1"/>
  <c r="FO22" i="2" s="1"/>
  <c r="FP22" i="2" s="1"/>
  <c r="FQ22" i="2" s="1"/>
  <c r="FI3" i="2"/>
  <c r="DG136" i="2"/>
  <c r="DG130" i="2"/>
  <c r="DG127" i="2"/>
  <c r="FF127" i="2" s="1"/>
  <c r="DG113" i="2"/>
  <c r="DG105" i="2"/>
  <c r="DG98" i="2"/>
  <c r="DG92" i="2"/>
  <c r="DF78" i="2"/>
  <c r="DE78" i="2"/>
  <c r="DD78" i="2"/>
  <c r="DC78" i="2"/>
  <c r="DB78" i="2"/>
  <c r="DA78" i="2"/>
  <c r="CZ78" i="2"/>
  <c r="CY78" i="2"/>
  <c r="DG78" i="2"/>
  <c r="CU67" i="2"/>
  <c r="CV67" i="2"/>
  <c r="CW67" i="2"/>
  <c r="CX67" i="2"/>
  <c r="CY67" i="2"/>
  <c r="CM83" i="2" l="1"/>
  <c r="CT83" i="2"/>
  <c r="CQ83" i="2"/>
  <c r="FJ87" i="2"/>
  <c r="FG64" i="2"/>
  <c r="FG68" i="2" s="1"/>
  <c r="FG87" i="2"/>
  <c r="FG76" i="2"/>
  <c r="DG133" i="2"/>
  <c r="DH130" i="2"/>
  <c r="DG139" i="2"/>
  <c r="DH136" i="2"/>
  <c r="DF130" i="2"/>
  <c r="FH130" i="2" s="1"/>
  <c r="DE133" i="2"/>
  <c r="DE141" i="2" s="1"/>
  <c r="FK3" i="2"/>
  <c r="FM5" i="2"/>
  <c r="FM3" i="2" s="1"/>
  <c r="FL3" i="2"/>
  <c r="DQ68" i="2"/>
  <c r="DQ70" i="2" s="1"/>
  <c r="DQ85" i="2"/>
  <c r="DQ87" i="2"/>
  <c r="DQ86" i="2"/>
  <c r="DR82" i="2"/>
  <c r="FK11" i="2"/>
  <c r="FL11" i="2" s="1"/>
  <c r="FM11" i="2" s="1"/>
  <c r="FN11" i="2" s="1"/>
  <c r="FO11" i="2" s="1"/>
  <c r="FP11" i="2" s="1"/>
  <c r="FQ11" i="2" s="1"/>
  <c r="DQ63" i="2"/>
  <c r="CI83" i="2"/>
  <c r="DR80" i="2"/>
  <c r="FK9" i="2"/>
  <c r="FL9" i="2" s="1"/>
  <c r="FM9" i="2" s="1"/>
  <c r="FN9" i="2" s="1"/>
  <c r="FO9" i="2" s="1"/>
  <c r="FP9" i="2" s="1"/>
  <c r="FQ9" i="2" s="1"/>
  <c r="DR62" i="2"/>
  <c r="DG90" i="2"/>
  <c r="FL13" i="2"/>
  <c r="FM13" i="2" s="1"/>
  <c r="FN13" i="2" s="1"/>
  <c r="FO13" i="2" s="1"/>
  <c r="FP13" i="2" s="1"/>
  <c r="FQ13" i="2" s="1"/>
  <c r="DH62" i="2"/>
  <c r="DH64" i="2" s="1"/>
  <c r="DG103" i="2"/>
  <c r="DJ62" i="2"/>
  <c r="DJ64" i="2" s="1"/>
  <c r="DI62" i="2"/>
  <c r="DI64" i="2" s="1"/>
  <c r="DI68" i="2" s="1"/>
  <c r="DK78" i="2"/>
  <c r="DI78" i="2"/>
  <c r="DH78" i="2"/>
  <c r="DJ78" i="2"/>
  <c r="DG116" i="2"/>
  <c r="CZ67" i="2"/>
  <c r="DD67" i="2"/>
  <c r="DE86" i="2"/>
  <c r="DD86" i="2"/>
  <c r="CD64" i="2"/>
  <c r="CC62" i="2"/>
  <c r="CB62" i="2"/>
  <c r="CA62" i="2"/>
  <c r="BO61" i="2"/>
  <c r="BO62" i="2" s="1"/>
  <c r="BJ61" i="2"/>
  <c r="BJ62" i="2" s="1"/>
  <c r="BK61" i="2"/>
  <c r="BK62" i="2" s="1"/>
  <c r="BF61" i="2"/>
  <c r="BF62" i="2" s="1"/>
  <c r="DA67" i="2"/>
  <c r="DE67" i="2"/>
  <c r="DB67" i="2"/>
  <c r="DF67" i="2"/>
  <c r="DC67" i="2"/>
  <c r="DG67" i="2"/>
  <c r="DF86" i="2"/>
  <c r="DC12" i="2"/>
  <c r="FH12" i="2" s="1"/>
  <c r="DG12" i="2"/>
  <c r="FI12" i="2" s="1"/>
  <c r="DC14" i="2"/>
  <c r="FH14" i="2" s="1"/>
  <c r="DG14" i="2"/>
  <c r="FI14" i="2" s="1"/>
  <c r="DG141" i="2" l="1"/>
  <c r="FG85" i="2"/>
  <c r="FH62" i="2"/>
  <c r="DI130" i="2"/>
  <c r="DH133" i="2"/>
  <c r="DF133" i="2"/>
  <c r="DH139" i="2"/>
  <c r="DI136" i="2"/>
  <c r="DP62" i="2"/>
  <c r="FK27" i="2"/>
  <c r="FL27" i="2" s="1"/>
  <c r="FM27" i="2" s="1"/>
  <c r="FN27" i="2" s="1"/>
  <c r="FO27" i="2" s="1"/>
  <c r="FP27" i="2" s="1"/>
  <c r="FQ27" i="2" s="1"/>
  <c r="DO62" i="2"/>
  <c r="DN62" i="2"/>
  <c r="DN64" i="2" s="1"/>
  <c r="DQ71" i="2"/>
  <c r="DQ88" i="2" s="1"/>
  <c r="DR64" i="2"/>
  <c r="DR68" i="2" s="1"/>
  <c r="DR70" i="2" s="1"/>
  <c r="DR87" i="2"/>
  <c r="DR86" i="2"/>
  <c r="CB87" i="2"/>
  <c r="CB64" i="2"/>
  <c r="CB86" i="2"/>
  <c r="CF76" i="2"/>
  <c r="CC87" i="2"/>
  <c r="CC86" i="2"/>
  <c r="CC64" i="2"/>
  <c r="CG76" i="2"/>
  <c r="CA86" i="2"/>
  <c r="CA64" i="2"/>
  <c r="CA87" i="2"/>
  <c r="CE76" i="2"/>
  <c r="CD68" i="2"/>
  <c r="CD70" i="2" s="1"/>
  <c r="CD85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2" i="2"/>
  <c r="FJ76" i="2" s="1"/>
  <c r="FI63" i="2"/>
  <c r="DI87" i="2"/>
  <c r="DI86" i="2"/>
  <c r="DH87" i="2"/>
  <c r="DH86" i="2"/>
  <c r="DC62" i="2"/>
  <c r="DJ87" i="2"/>
  <c r="DJ86" i="2"/>
  <c r="DN78" i="2"/>
  <c r="DL78" i="2"/>
  <c r="DJ76" i="2"/>
  <c r="DH76" i="2"/>
  <c r="DI76" i="2"/>
  <c r="DQ76" i="2"/>
  <c r="DM78" i="2"/>
  <c r="DG62" i="2"/>
  <c r="CW87" i="2"/>
  <c r="CW86" i="2"/>
  <c r="CW64" i="2"/>
  <c r="DF87" i="2"/>
  <c r="CZ64" i="2"/>
  <c r="CZ85" i="2" s="1"/>
  <c r="CZ76" i="2"/>
  <c r="CU87" i="2"/>
  <c r="CU64" i="2"/>
  <c r="CU86" i="2"/>
  <c r="CV87" i="2"/>
  <c r="CV86" i="2"/>
  <c r="CV64" i="2"/>
  <c r="DA64" i="2"/>
  <c r="DA68" i="2" s="1"/>
  <c r="DA70" i="2" s="1"/>
  <c r="DA72" i="2" s="1"/>
  <c r="DA76" i="2"/>
  <c r="CZ87" i="2"/>
  <c r="CY86" i="2"/>
  <c r="CY64" i="2"/>
  <c r="CY87" i="2"/>
  <c r="DD76" i="2"/>
  <c r="CZ86" i="2"/>
  <c r="DB76" i="2"/>
  <c r="DE76" i="2"/>
  <c r="DE87" i="2"/>
  <c r="DF76" i="2"/>
  <c r="DB64" i="2"/>
  <c r="DB85" i="2" s="1"/>
  <c r="DA86" i="2"/>
  <c r="CX64" i="2"/>
  <c r="CX87" i="2"/>
  <c r="CX86" i="2"/>
  <c r="DA87" i="2"/>
  <c r="DB87" i="2"/>
  <c r="DD87" i="2"/>
  <c r="DB86" i="2"/>
  <c r="DF64" i="2"/>
  <c r="DF85" i="2" s="1"/>
  <c r="DE64" i="2"/>
  <c r="DE85" i="2" s="1"/>
  <c r="DD64" i="2"/>
  <c r="DD85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4" i="2"/>
  <c r="EW71" i="2"/>
  <c r="EW66" i="2"/>
  <c r="EW65" i="2"/>
  <c r="EW63" i="2"/>
  <c r="EX63" i="2"/>
  <c r="EX71" i="2"/>
  <c r="EV71" i="2"/>
  <c r="EU71" i="2"/>
  <c r="EX66" i="2"/>
  <c r="EX65" i="2"/>
  <c r="EY66" i="2"/>
  <c r="BR62" i="2"/>
  <c r="BR87" i="2" s="1"/>
  <c r="EY74" i="2"/>
  <c r="EX21" i="2"/>
  <c r="EW21" i="2"/>
  <c r="EY43" i="2"/>
  <c r="EX41" i="2"/>
  <c r="EX43" i="2"/>
  <c r="EX40" i="2"/>
  <c r="EX39" i="2"/>
  <c r="EX23" i="2"/>
  <c r="EX35" i="2"/>
  <c r="EX13" i="2"/>
  <c r="EX14" i="2"/>
  <c r="EX56" i="2"/>
  <c r="EX17" i="2"/>
  <c r="EX12" i="2"/>
  <c r="EX25" i="2"/>
  <c r="EX27" i="2"/>
  <c r="EY17" i="2"/>
  <c r="BP127" i="2"/>
  <c r="BQ127" i="2" s="1"/>
  <c r="BR127" i="2" s="1"/>
  <c r="BP105" i="2"/>
  <c r="BP116" i="2" s="1"/>
  <c r="BP92" i="2"/>
  <c r="BP67" i="2"/>
  <c r="BP62" i="2"/>
  <c r="BP64" i="2" s="1"/>
  <c r="BQ105" i="2"/>
  <c r="BQ116" i="2" s="1"/>
  <c r="BQ92" i="2"/>
  <c r="BQ103" i="2" s="1"/>
  <c r="BR105" i="2"/>
  <c r="BR116" i="2" s="1"/>
  <c r="BR92" i="2"/>
  <c r="BR103" i="2" s="1"/>
  <c r="BR67" i="2"/>
  <c r="BT62" i="2"/>
  <c r="BT64" i="2" s="1"/>
  <c r="BT85" i="2" s="1"/>
  <c r="BS62" i="2"/>
  <c r="BS86" i="2" s="1"/>
  <c r="BS105" i="2"/>
  <c r="BS116" i="2" s="1"/>
  <c r="BS92" i="2"/>
  <c r="BS103" i="2" s="1"/>
  <c r="BT127" i="2"/>
  <c r="BU127" i="2" s="1"/>
  <c r="BT105" i="2"/>
  <c r="BT116" i="2" s="1"/>
  <c r="BT92" i="2"/>
  <c r="BT103" i="2" s="1"/>
  <c r="BU105" i="2"/>
  <c r="BU116" i="2" s="1"/>
  <c r="BU92" i="2"/>
  <c r="BS69" i="2"/>
  <c r="BS67" i="2"/>
  <c r="BT69" i="2"/>
  <c r="BT67" i="2"/>
  <c r="BQ69" i="2"/>
  <c r="EX69" i="2" s="1"/>
  <c r="BQ67" i="2"/>
  <c r="AZ62" i="2"/>
  <c r="BN62" i="2"/>
  <c r="BU69" i="2"/>
  <c r="BU67" i="2"/>
  <c r="BU24" i="2"/>
  <c r="BU62" i="2" s="1"/>
  <c r="DR85" i="2" l="1"/>
  <c r="DH141" i="2"/>
  <c r="FK62" i="2"/>
  <c r="FK76" i="2" s="1"/>
  <c r="FH76" i="2"/>
  <c r="FI76" i="2"/>
  <c r="DA73" i="2"/>
  <c r="DA118" i="2"/>
  <c r="FF118" i="2" s="1"/>
  <c r="FI87" i="2"/>
  <c r="DF141" i="2"/>
  <c r="DJ130" i="2"/>
  <c r="FI130" i="2" s="1"/>
  <c r="DI133" i="2"/>
  <c r="DJ136" i="2"/>
  <c r="FI136" i="2" s="1"/>
  <c r="DI139" i="2"/>
  <c r="FH87" i="2"/>
  <c r="FH64" i="2"/>
  <c r="FH68" i="2" s="1"/>
  <c r="FH70" i="2" s="1"/>
  <c r="FH88" i="2" s="1"/>
  <c r="DR76" i="2"/>
  <c r="DO86" i="2"/>
  <c r="DO64" i="2"/>
  <c r="DO87" i="2"/>
  <c r="DP64" i="2"/>
  <c r="DP76" i="2"/>
  <c r="DP86" i="2"/>
  <c r="DP87" i="2"/>
  <c r="DR63" i="2"/>
  <c r="FK63" i="2" s="1"/>
  <c r="DQ72" i="2"/>
  <c r="DQ73" i="2" s="1"/>
  <c r="DR71" i="2"/>
  <c r="DR88" i="2" s="1"/>
  <c r="DL64" i="2"/>
  <c r="CB68" i="2"/>
  <c r="CB70" i="2" s="1"/>
  <c r="CB85" i="2"/>
  <c r="CA85" i="2"/>
  <c r="CA68" i="2"/>
  <c r="CA70" i="2" s="1"/>
  <c r="CC68" i="2"/>
  <c r="CC70" i="2" s="1"/>
  <c r="CC85" i="2"/>
  <c r="CD72" i="2"/>
  <c r="CD73" i="2" s="1"/>
  <c r="CH83" i="2" s="1"/>
  <c r="CD88" i="2"/>
  <c r="EY12" i="2"/>
  <c r="FH86" i="2"/>
  <c r="FI86" i="2"/>
  <c r="DN76" i="2"/>
  <c r="DN87" i="2"/>
  <c r="DN86" i="2"/>
  <c r="DL76" i="2"/>
  <c r="DL87" i="2"/>
  <c r="DL86" i="2"/>
  <c r="DJ85" i="2"/>
  <c r="DJ68" i="2"/>
  <c r="DJ70" i="2" s="1"/>
  <c r="FI64" i="2"/>
  <c r="FI68" i="2" s="1"/>
  <c r="DK62" i="2"/>
  <c r="DO76" i="2" s="1"/>
  <c r="DI85" i="2"/>
  <c r="DI70" i="2"/>
  <c r="DM76" i="2"/>
  <c r="DM87" i="2"/>
  <c r="DM64" i="2"/>
  <c r="DM63" i="2" s="1"/>
  <c r="FJ63" i="2" s="1"/>
  <c r="FJ64" i="2" s="1"/>
  <c r="FJ68" i="2" s="1"/>
  <c r="FJ70" i="2" s="1"/>
  <c r="DM86" i="2"/>
  <c r="DH85" i="2"/>
  <c r="DH68" i="2"/>
  <c r="DH70" i="2" s="1"/>
  <c r="DE68" i="2"/>
  <c r="DE70" i="2" s="1"/>
  <c r="DE72" i="2" s="1"/>
  <c r="DD68" i="2"/>
  <c r="DD70" i="2" s="1"/>
  <c r="DD72" i="2" s="1"/>
  <c r="CZ68" i="2"/>
  <c r="CZ70" i="2" s="1"/>
  <c r="CZ88" i="2" s="1"/>
  <c r="DA88" i="2"/>
  <c r="CV85" i="2"/>
  <c r="CV68" i="2"/>
  <c r="CV70" i="2" s="1"/>
  <c r="CU85" i="2"/>
  <c r="CU68" i="2"/>
  <c r="CU70" i="2" s="1"/>
  <c r="CW85" i="2"/>
  <c r="CW68" i="2"/>
  <c r="CW70" i="2" s="1"/>
  <c r="DA85" i="2"/>
  <c r="DF68" i="2"/>
  <c r="DF70" i="2" s="1"/>
  <c r="DF72" i="2" s="1"/>
  <c r="CX85" i="2"/>
  <c r="CX68" i="2"/>
  <c r="CX70" i="2" s="1"/>
  <c r="DB68" i="2"/>
  <c r="DB70" i="2" s="1"/>
  <c r="DG87" i="2"/>
  <c r="DG86" i="2"/>
  <c r="CY85" i="2"/>
  <c r="CY68" i="2"/>
  <c r="CY70" i="2" s="1"/>
  <c r="DC64" i="2"/>
  <c r="DC76" i="2"/>
  <c r="DC86" i="2"/>
  <c r="DC87" i="2"/>
  <c r="DG64" i="2"/>
  <c r="DG76" i="2"/>
  <c r="EW67" i="2"/>
  <c r="BX67" i="2"/>
  <c r="EX67" i="2"/>
  <c r="EY65" i="2"/>
  <c r="EY67" i="2" s="1"/>
  <c r="EY69" i="2"/>
  <c r="EY25" i="2"/>
  <c r="EY21" i="2"/>
  <c r="BT90" i="2"/>
  <c r="BR64" i="2"/>
  <c r="BR68" i="2" s="1"/>
  <c r="BZ62" i="2"/>
  <c r="CD76" i="2" s="1"/>
  <c r="EY56" i="2"/>
  <c r="EY39" i="2"/>
  <c r="BU90" i="2"/>
  <c r="EY27" i="2"/>
  <c r="EY13" i="2"/>
  <c r="EY40" i="2"/>
  <c r="BV67" i="2"/>
  <c r="BW67" i="2"/>
  <c r="EY35" i="2"/>
  <c r="EY24" i="2"/>
  <c r="EY14" i="2"/>
  <c r="BP90" i="2"/>
  <c r="EY23" i="2"/>
  <c r="BV62" i="2"/>
  <c r="EY63" i="2"/>
  <c r="BY67" i="2"/>
  <c r="EY41" i="2"/>
  <c r="BR86" i="2"/>
  <c r="BR76" i="2"/>
  <c r="BP86" i="2"/>
  <c r="BT86" i="2"/>
  <c r="BP85" i="2"/>
  <c r="BP68" i="2"/>
  <c r="BP70" i="2" s="1"/>
  <c r="BU86" i="2"/>
  <c r="BU87" i="2"/>
  <c r="BS87" i="2"/>
  <c r="BR90" i="2"/>
  <c r="BP87" i="2"/>
  <c r="BT87" i="2"/>
  <c r="BU103" i="2"/>
  <c r="BP103" i="2"/>
  <c r="BQ90" i="2"/>
  <c r="BS90" i="2"/>
  <c r="BS64" i="2"/>
  <c r="BS85" i="2" s="1"/>
  <c r="BT68" i="2"/>
  <c r="BT70" i="2" s="1"/>
  <c r="BT88" i="2" s="1"/>
  <c r="BO105" i="2"/>
  <c r="BO116" i="2" s="1"/>
  <c r="BO92" i="2"/>
  <c r="BO103" i="2" s="1"/>
  <c r="BO67" i="2"/>
  <c r="FK64" i="2" l="1"/>
  <c r="FK68" i="2" s="1"/>
  <c r="FK70" i="2" s="1"/>
  <c r="FK71" i="2" s="1"/>
  <c r="FK72" i="2" s="1"/>
  <c r="FK73" i="2" s="1"/>
  <c r="DI141" i="2"/>
  <c r="DF73" i="2"/>
  <c r="DF118" i="2"/>
  <c r="FH118" i="2" s="1"/>
  <c r="DJ139" i="2"/>
  <c r="DE73" i="2"/>
  <c r="DE83" i="2" s="1"/>
  <c r="DE118" i="2"/>
  <c r="DD73" i="2"/>
  <c r="DD118" i="2"/>
  <c r="DJ133" i="2"/>
  <c r="DP68" i="2"/>
  <c r="DP70" i="2" s="1"/>
  <c r="DP85" i="2"/>
  <c r="DO68" i="2"/>
  <c r="DO70" i="2" s="1"/>
  <c r="DO85" i="2"/>
  <c r="DR72" i="2"/>
  <c r="DR73" i="2" s="1"/>
  <c r="DK64" i="2"/>
  <c r="CC72" i="2"/>
  <c r="CC73" i="2" s="1"/>
  <c r="CC88" i="2"/>
  <c r="CA72" i="2"/>
  <c r="CA73" i="2" s="1"/>
  <c r="CE83" i="2" s="1"/>
  <c r="CA88" i="2"/>
  <c r="CB72" i="2"/>
  <c r="CB73" i="2" s="1"/>
  <c r="CF83" i="2" s="1"/>
  <c r="CB88" i="2"/>
  <c r="BV64" i="2"/>
  <c r="BV85" i="2" s="1"/>
  <c r="FI70" i="2"/>
  <c r="FI85" i="2"/>
  <c r="FN5" i="2"/>
  <c r="FN3" i="2" s="1"/>
  <c r="FI71" i="2"/>
  <c r="DK86" i="2"/>
  <c r="DK87" i="2"/>
  <c r="DJ88" i="2"/>
  <c r="DE88" i="2"/>
  <c r="DN85" i="2"/>
  <c r="DN68" i="2"/>
  <c r="DN70" i="2" s="1"/>
  <c r="DM85" i="2"/>
  <c r="DM68" i="2"/>
  <c r="DM70" i="2" s="1"/>
  <c r="DL85" i="2"/>
  <c r="DL68" i="2"/>
  <c r="DL70" i="2" s="1"/>
  <c r="DK76" i="2"/>
  <c r="DH88" i="2"/>
  <c r="DF88" i="2"/>
  <c r="CZ72" i="2"/>
  <c r="DD88" i="2"/>
  <c r="CV72" i="2"/>
  <c r="CV88" i="2"/>
  <c r="CW88" i="2"/>
  <c r="CW72" i="2"/>
  <c r="CU72" i="2"/>
  <c r="CU88" i="2"/>
  <c r="DC85" i="2"/>
  <c r="DC68" i="2"/>
  <c r="DC70" i="2" s="1"/>
  <c r="CY88" i="2"/>
  <c r="CY72" i="2"/>
  <c r="DB72" i="2"/>
  <c r="DB88" i="2"/>
  <c r="CX88" i="2"/>
  <c r="CX72" i="2"/>
  <c r="DG68" i="2"/>
  <c r="DG70" i="2" s="1"/>
  <c r="DG85" i="2"/>
  <c r="BW62" i="2"/>
  <c r="BY62" i="2"/>
  <c r="BR85" i="2"/>
  <c r="BZ86" i="2"/>
  <c r="BZ64" i="2"/>
  <c r="BZ85" i="2" s="1"/>
  <c r="BX62" i="2"/>
  <c r="BZ76" i="2"/>
  <c r="BV86" i="2"/>
  <c r="BV87" i="2"/>
  <c r="BV76" i="2"/>
  <c r="BZ67" i="2"/>
  <c r="BZ87" i="2"/>
  <c r="BP72" i="2"/>
  <c r="BP73" i="2" s="1"/>
  <c r="BP88" i="2"/>
  <c r="BS68" i="2"/>
  <c r="BS70" i="2" s="1"/>
  <c r="BS88" i="2" s="1"/>
  <c r="BT72" i="2"/>
  <c r="BT73" i="2" s="1"/>
  <c r="BO90" i="2"/>
  <c r="EW40" i="2"/>
  <c r="EV40" i="2"/>
  <c r="FI133" i="2" l="1"/>
  <c r="FF133" i="2"/>
  <c r="FH133" i="2"/>
  <c r="FI139" i="2"/>
  <c r="FI141" i="2" s="1"/>
  <c r="FF139" i="2"/>
  <c r="FF141" i="2" s="1"/>
  <c r="FG139" i="2"/>
  <c r="FG141" i="2" s="1"/>
  <c r="FH139" i="2"/>
  <c r="FH141" i="2" s="1"/>
  <c r="FG133" i="2"/>
  <c r="CX73" i="2"/>
  <c r="CX83" i="2" s="1"/>
  <c r="CX118" i="2"/>
  <c r="CW73" i="2"/>
  <c r="DA83" i="2" s="1"/>
  <c r="CW118" i="2"/>
  <c r="CV73" i="2"/>
  <c r="CV83" i="2" s="1"/>
  <c r="CV118" i="2"/>
  <c r="CU73" i="2"/>
  <c r="CU83" i="2" s="1"/>
  <c r="CU118" i="2"/>
  <c r="DB73" i="2"/>
  <c r="DF83" i="2" s="1"/>
  <c r="DB118" i="2"/>
  <c r="FG118" i="2" s="1"/>
  <c r="CZ73" i="2"/>
  <c r="DD83" i="2" s="1"/>
  <c r="CZ118" i="2"/>
  <c r="CY73" i="2"/>
  <c r="CY83" i="2" s="1"/>
  <c r="CY118" i="2"/>
  <c r="DJ141" i="2"/>
  <c r="DO88" i="2"/>
  <c r="DO72" i="2"/>
  <c r="DP88" i="2"/>
  <c r="DP72" i="2"/>
  <c r="FH85" i="2"/>
  <c r="BV68" i="2"/>
  <c r="BV70" i="2" s="1"/>
  <c r="BV72" i="2" s="1"/>
  <c r="BX64" i="2"/>
  <c r="BX85" i="2" s="1"/>
  <c r="CB76" i="2"/>
  <c r="BY64" i="2"/>
  <c r="BY85" i="2" s="1"/>
  <c r="CC76" i="2"/>
  <c r="CG83" i="2"/>
  <c r="BW76" i="2"/>
  <c r="CA76" i="2"/>
  <c r="DI88" i="2"/>
  <c r="FI88" i="2"/>
  <c r="DH72" i="2"/>
  <c r="FO5" i="2"/>
  <c r="FO3" i="2" s="1"/>
  <c r="FL12" i="2"/>
  <c r="FL62" i="2" s="1"/>
  <c r="FL76" i="2" s="1"/>
  <c r="FJ86" i="2"/>
  <c r="DM71" i="2"/>
  <c r="FJ71" i="2" s="1"/>
  <c r="FJ72" i="2" s="1"/>
  <c r="FJ73" i="2" s="1"/>
  <c r="DN88" i="2"/>
  <c r="DK85" i="2"/>
  <c r="DK68" i="2"/>
  <c r="DK70" i="2" s="1"/>
  <c r="DL88" i="2"/>
  <c r="DJ72" i="2"/>
  <c r="DI72" i="2"/>
  <c r="DG72" i="2"/>
  <c r="DG88" i="2"/>
  <c r="DC72" i="2"/>
  <c r="DC88" i="2"/>
  <c r="BW87" i="2"/>
  <c r="BW86" i="2"/>
  <c r="BW64" i="2"/>
  <c r="BW68" i="2" s="1"/>
  <c r="BW70" i="2" s="1"/>
  <c r="BZ68" i="2"/>
  <c r="BY86" i="2"/>
  <c r="BY87" i="2"/>
  <c r="BY76" i="2"/>
  <c r="BX76" i="2"/>
  <c r="BX86" i="2"/>
  <c r="BX87" i="2"/>
  <c r="BS72" i="2"/>
  <c r="BS73" i="2" s="1"/>
  <c r="EN86" i="2"/>
  <c r="DB83" i="2" l="1"/>
  <c r="CW83" i="2"/>
  <c r="CZ83" i="2"/>
  <c r="BY68" i="2"/>
  <c r="BY70" i="2" s="1"/>
  <c r="BY88" i="2" s="1"/>
  <c r="DH73" i="2"/>
  <c r="DH83" i="2" s="1"/>
  <c r="DH118" i="2"/>
  <c r="DJ73" i="2"/>
  <c r="DJ83" i="2" s="1"/>
  <c r="DJ118" i="2"/>
  <c r="FI118" i="2" s="1"/>
  <c r="DI73" i="2"/>
  <c r="DI83" i="2" s="1"/>
  <c r="DI118" i="2"/>
  <c r="DP118" i="2"/>
  <c r="DP73" i="2"/>
  <c r="BX68" i="2"/>
  <c r="BX70" i="2" s="1"/>
  <c r="BX88" i="2" s="1"/>
  <c r="DO73" i="2"/>
  <c r="DO118" i="2"/>
  <c r="BZ70" i="2"/>
  <c r="BZ72" i="2" s="1"/>
  <c r="BZ73" i="2" s="1"/>
  <c r="CD83" i="2" s="1"/>
  <c r="DN72" i="2"/>
  <c r="DM88" i="2"/>
  <c r="FK85" i="2"/>
  <c r="FJ85" i="2"/>
  <c r="FI72" i="2"/>
  <c r="FI73" i="2" s="1"/>
  <c r="FM12" i="2"/>
  <c r="FP5" i="2"/>
  <c r="FP3" i="2" s="1"/>
  <c r="BW85" i="2"/>
  <c r="DK88" i="2"/>
  <c r="DL72" i="2"/>
  <c r="DM72" i="2"/>
  <c r="DC73" i="2"/>
  <c r="DC83" i="2" s="1"/>
  <c r="DC118" i="2"/>
  <c r="DG73" i="2"/>
  <c r="DG118" i="2"/>
  <c r="BW88" i="2"/>
  <c r="BV73" i="2"/>
  <c r="BV88" i="2"/>
  <c r="EY71" i="2"/>
  <c r="EU74" i="2"/>
  <c r="EU69" i="2"/>
  <c r="EU66" i="2"/>
  <c r="EU65" i="2"/>
  <c r="EV74" i="2"/>
  <c r="BN105" i="2"/>
  <c r="BN116" i="2" s="1"/>
  <c r="BN92" i="2"/>
  <c r="BN103" i="2" s="1"/>
  <c r="EW27" i="2"/>
  <c r="BN64" i="2"/>
  <c r="BN67" i="2"/>
  <c r="EW43" i="2"/>
  <c r="EZ65" i="2"/>
  <c r="EZ67" i="2" s="1"/>
  <c r="EW39" i="2"/>
  <c r="EW23" i="2"/>
  <c r="EW35" i="2"/>
  <c r="EW13" i="2"/>
  <c r="EW14" i="2"/>
  <c r="EW56" i="2"/>
  <c r="EW17" i="2"/>
  <c r="EW12" i="2"/>
  <c r="EW41" i="2"/>
  <c r="EW25" i="2"/>
  <c r="BM69" i="2"/>
  <c r="BM67" i="2"/>
  <c r="BL69" i="2"/>
  <c r="BL67" i="2"/>
  <c r="BJ90" i="2"/>
  <c r="ET24" i="2"/>
  <c r="ES24" i="2"/>
  <c r="ER24" i="2"/>
  <c r="ER62" i="2" s="1"/>
  <c r="EQ24" i="2"/>
  <c r="EP24" i="2"/>
  <c r="EP62" i="2" s="1"/>
  <c r="EO24" i="2"/>
  <c r="BJ67" i="2"/>
  <c r="ES67" i="2"/>
  <c r="ER67" i="2"/>
  <c r="EQ67" i="2"/>
  <c r="EP67" i="2"/>
  <c r="EO67" i="2"/>
  <c r="EN67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3" i="2"/>
  <c r="EU43" i="2"/>
  <c r="EV66" i="2"/>
  <c r="EV65" i="2"/>
  <c r="EV21" i="2"/>
  <c r="EV39" i="2"/>
  <c r="EV23" i="2"/>
  <c r="EV35" i="2"/>
  <c r="EV13" i="2"/>
  <c r="EV14" i="2"/>
  <c r="EV56" i="2"/>
  <c r="EV17" i="2"/>
  <c r="EV12" i="2"/>
  <c r="EV41" i="2"/>
  <c r="EV27" i="2"/>
  <c r="BI69" i="2"/>
  <c r="EV69" i="2" s="1"/>
  <c r="BI67" i="2"/>
  <c r="BH67" i="2"/>
  <c r="EV25" i="2"/>
  <c r="EU13" i="2"/>
  <c r="ET13" i="2"/>
  <c r="EU39" i="2"/>
  <c r="EU23" i="2"/>
  <c r="EU54" i="2"/>
  <c r="EU35" i="2"/>
  <c r="EU14" i="2"/>
  <c r="EU56" i="2"/>
  <c r="EU17" i="2"/>
  <c r="EU12" i="2"/>
  <c r="ET54" i="2"/>
  <c r="ET35" i="2"/>
  <c r="ET14" i="2"/>
  <c r="ET56" i="2"/>
  <c r="ET17" i="2"/>
  <c r="ES56" i="2"/>
  <c r="ES12" i="2"/>
  <c r="ES41" i="2"/>
  <c r="ET12" i="2"/>
  <c r="EU41" i="2"/>
  <c r="EU27" i="2"/>
  <c r="ET41" i="2"/>
  <c r="ES25" i="2"/>
  <c r="ET25" i="2"/>
  <c r="EU25" i="2"/>
  <c r="BF67" i="2"/>
  <c r="BG67" i="2"/>
  <c r="ET27" i="2"/>
  <c r="ET23" i="2"/>
  <c r="ET39" i="2"/>
  <c r="ET44" i="2"/>
  <c r="ET45" i="2"/>
  <c r="EU45" i="2" s="1"/>
  <c r="ET36" i="2"/>
  <c r="EU36" i="2" s="1"/>
  <c r="EV36" i="2" s="1"/>
  <c r="ET43" i="2"/>
  <c r="ET52" i="2"/>
  <c r="EU52" i="2" s="1"/>
  <c r="EV52" i="2" s="1"/>
  <c r="ET65" i="2"/>
  <c r="ET66" i="2"/>
  <c r="ET48" i="2"/>
  <c r="EU48" i="2" s="1"/>
  <c r="ET50" i="2"/>
  <c r="EU50" i="2" s="1"/>
  <c r="EV50" i="2" s="1"/>
  <c r="ET55" i="2"/>
  <c r="EU55" i="2" s="1"/>
  <c r="EV55" i="2" s="1"/>
  <c r="AY44" i="2"/>
  <c r="AZ64" i="2"/>
  <c r="AZ68" i="2" s="1"/>
  <c r="AZ70" i="2" s="1"/>
  <c r="AZ88" i="2" s="1"/>
  <c r="AX54" i="2"/>
  <c r="AX43" i="2"/>
  <c r="AZ87" i="2"/>
  <c r="AZ86" i="2"/>
  <c r="ES27" i="2"/>
  <c r="J4" i="1"/>
  <c r="J7" i="1" s="1"/>
  <c r="C23" i="3"/>
  <c r="C22" i="3"/>
  <c r="C26" i="5"/>
  <c r="AZ74" i="2"/>
  <c r="ET74" i="2" s="1"/>
  <c r="EN68" i="2"/>
  <c r="EN70" i="2" s="1"/>
  <c r="EN72" i="2" s="1"/>
  <c r="EN73" i="2" s="1"/>
  <c r="AQ39" i="2"/>
  <c r="AS12" i="2"/>
  <c r="AS54" i="2"/>
  <c r="BK67" i="2"/>
  <c r="BY72" i="2" l="1"/>
  <c r="BY73" i="2" s="1"/>
  <c r="CC83" i="2" s="1"/>
  <c r="DM73" i="2"/>
  <c r="DM83" i="2" s="1"/>
  <c r="DM118" i="2"/>
  <c r="DL73" i="2"/>
  <c r="DP83" i="2" s="1"/>
  <c r="DL118" i="2"/>
  <c r="DN73" i="2"/>
  <c r="DR83" i="2" s="1"/>
  <c r="DN118" i="2"/>
  <c r="DL83" i="2"/>
  <c r="DN83" i="2"/>
  <c r="BZ83" i="2"/>
  <c r="BZ88" i="2"/>
  <c r="FJ88" i="2"/>
  <c r="FL64" i="2"/>
  <c r="FL63" i="2" s="1"/>
  <c r="FQ5" i="2"/>
  <c r="FQ3" i="2" s="1"/>
  <c r="FN12" i="2"/>
  <c r="FM62" i="2"/>
  <c r="FK86" i="2"/>
  <c r="FL65" i="2"/>
  <c r="DK72" i="2"/>
  <c r="DG83" i="2"/>
  <c r="BW72" i="2"/>
  <c r="BW73" i="2" s="1"/>
  <c r="ET67" i="2"/>
  <c r="EW69" i="2"/>
  <c r="BX72" i="2"/>
  <c r="BX73" i="2" s="1"/>
  <c r="EV62" i="2"/>
  <c r="EV86" i="2" s="1"/>
  <c r="ET62" i="2"/>
  <c r="ET86" i="2" s="1"/>
  <c r="EQ62" i="2"/>
  <c r="EO62" i="2"/>
  <c r="ES62" i="2"/>
  <c r="EU62" i="2"/>
  <c r="BQ62" i="2"/>
  <c r="AY62" i="2"/>
  <c r="AY87" i="2" s="1"/>
  <c r="EV67" i="2"/>
  <c r="BN85" i="2"/>
  <c r="BN68" i="2"/>
  <c r="BN70" i="2" s="1"/>
  <c r="AZ85" i="2"/>
  <c r="EP86" i="2"/>
  <c r="EP64" i="2"/>
  <c r="EP68" i="2" s="1"/>
  <c r="EP70" i="2" s="1"/>
  <c r="EP72" i="2" s="1"/>
  <c r="EP73" i="2" s="1"/>
  <c r="AZ72" i="2"/>
  <c r="AZ73" i="2" s="1"/>
  <c r="ER86" i="2"/>
  <c r="ER64" i="2"/>
  <c r="BN87" i="2"/>
  <c r="BN86" i="2"/>
  <c r="FA65" i="2"/>
  <c r="EU67" i="2"/>
  <c r="EX74" i="2"/>
  <c r="EQ86" i="2" l="1"/>
  <c r="EQ76" i="2"/>
  <c r="EO86" i="2"/>
  <c r="EO76" i="2"/>
  <c r="EP76" i="2"/>
  <c r="DQ83" i="2"/>
  <c r="DK73" i="2"/>
  <c r="DO83" i="2" s="1"/>
  <c r="DK118" i="2"/>
  <c r="FJ118" i="2" s="1"/>
  <c r="BW83" i="2"/>
  <c r="CA83" i="2"/>
  <c r="BX83" i="2"/>
  <c r="CB83" i="2"/>
  <c r="FM64" i="2"/>
  <c r="FM63" i="2" s="1"/>
  <c r="FL85" i="2"/>
  <c r="FO12" i="2"/>
  <c r="FN62" i="2"/>
  <c r="FL67" i="2"/>
  <c r="FL68" i="2" s="1"/>
  <c r="FL86" i="2"/>
  <c r="FM65" i="2"/>
  <c r="FM76" i="2"/>
  <c r="EO64" i="2"/>
  <c r="EO68" i="2" s="1"/>
  <c r="EO70" i="2" s="1"/>
  <c r="EO72" i="2" s="1"/>
  <c r="EO73" i="2" s="1"/>
  <c r="EO83" i="2" s="1"/>
  <c r="ER76" i="2"/>
  <c r="EQ64" i="2"/>
  <c r="EQ68" i="2" s="1"/>
  <c r="EQ70" i="2" s="1"/>
  <c r="EQ72" i="2" s="1"/>
  <c r="EQ73" i="2" s="1"/>
  <c r="EQ83" i="2" s="1"/>
  <c r="EZ74" i="2"/>
  <c r="FA74" i="2" s="1"/>
  <c r="FB74" i="2" s="1"/>
  <c r="FC74" i="2" s="1"/>
  <c r="EZ62" i="2"/>
  <c r="EZ86" i="2" s="1"/>
  <c r="EY62" i="2"/>
  <c r="EY64" i="2" s="1"/>
  <c r="EV76" i="2"/>
  <c r="BQ87" i="2"/>
  <c r="BQ64" i="2"/>
  <c r="BQ85" i="2" s="1"/>
  <c r="BQ86" i="2"/>
  <c r="AY64" i="2"/>
  <c r="AY68" i="2" s="1"/>
  <c r="AY70" i="2" s="1"/>
  <c r="BR70" i="2"/>
  <c r="BR88" i="2" s="1"/>
  <c r="AY86" i="2"/>
  <c r="BT76" i="2"/>
  <c r="ES86" i="2"/>
  <c r="ES76" i="2"/>
  <c r="ES64" i="2"/>
  <c r="BN88" i="2"/>
  <c r="BN72" i="2"/>
  <c r="BN73" i="2" s="1"/>
  <c r="ET76" i="2"/>
  <c r="FA67" i="2"/>
  <c r="ER85" i="2"/>
  <c r="ER68" i="2"/>
  <c r="ER70" i="2" s="1"/>
  <c r="ER72" i="2" s="1"/>
  <c r="ER73" i="2" s="1"/>
  <c r="EU86" i="2"/>
  <c r="ET64" i="2"/>
  <c r="EU76" i="2"/>
  <c r="DK83" i="2" l="1"/>
  <c r="FN64" i="2"/>
  <c r="FN63" i="2" s="1"/>
  <c r="FM86" i="2"/>
  <c r="FM67" i="2"/>
  <c r="FM68" i="2" s="1"/>
  <c r="FP12" i="2"/>
  <c r="FP62" i="2" s="1"/>
  <c r="FP64" i="2" s="1"/>
  <c r="FO62" i="2"/>
  <c r="FM85" i="2"/>
  <c r="FN65" i="2"/>
  <c r="FN76" i="2"/>
  <c r="ER83" i="2"/>
  <c r="EP83" i="2"/>
  <c r="EY85" i="2"/>
  <c r="EY68" i="2"/>
  <c r="EY70" i="2" s="1"/>
  <c r="BQ68" i="2"/>
  <c r="BQ70" i="2" s="1"/>
  <c r="AY85" i="2"/>
  <c r="AY72" i="2"/>
  <c r="AY73" i="2" s="1"/>
  <c r="AY88" i="2"/>
  <c r="FB67" i="2"/>
  <c r="ES68" i="2"/>
  <c r="ES70" i="2" s="1"/>
  <c r="ES72" i="2" s="1"/>
  <c r="ES73" i="2" s="1"/>
  <c r="ES83" i="2" s="1"/>
  <c r="ES85" i="2"/>
  <c r="EY86" i="2"/>
  <c r="ET68" i="2"/>
  <c r="ET70" i="2" s="1"/>
  <c r="ET71" i="2" s="1"/>
  <c r="ET72" i="2" s="1"/>
  <c r="ET73" i="2" s="1"/>
  <c r="ET63" i="2"/>
  <c r="BR72" i="2"/>
  <c r="BR73" i="2" s="1"/>
  <c r="EZ76" i="2"/>
  <c r="FO64" i="2" l="1"/>
  <c r="FO63" i="2" s="1"/>
  <c r="FK88" i="2"/>
  <c r="FN85" i="2"/>
  <c r="FN67" i="2"/>
  <c r="FN68" i="2" s="1"/>
  <c r="FN86" i="2"/>
  <c r="FO65" i="2"/>
  <c r="FO76" i="2"/>
  <c r="FQ12" i="2"/>
  <c r="FQ62" i="2" s="1"/>
  <c r="BR83" i="2"/>
  <c r="BV83" i="2"/>
  <c r="FA86" i="2"/>
  <c r="BQ88" i="2"/>
  <c r="BQ72" i="2"/>
  <c r="BQ73" i="2" s="1"/>
  <c r="EY72" i="2"/>
  <c r="ET83" i="2"/>
  <c r="FQ64" i="2" l="1"/>
  <c r="FQ63" i="2" s="1"/>
  <c r="FQ65" i="2"/>
  <c r="FQ67" i="2" s="1"/>
  <c r="FP63" i="2"/>
  <c r="FP65" i="2"/>
  <c r="FP67" i="2" s="1"/>
  <c r="FP68" i="2" s="1"/>
  <c r="FP76" i="2"/>
  <c r="FQ76" i="2"/>
  <c r="FO85" i="2"/>
  <c r="FO67" i="2"/>
  <c r="FO68" i="2" s="1"/>
  <c r="FO86" i="2"/>
  <c r="FD67" i="2"/>
  <c r="FA64" i="2"/>
  <c r="FA68" i="2" s="1"/>
  <c r="FA70" i="2" s="1"/>
  <c r="FA76" i="2"/>
  <c r="FB86" i="2"/>
  <c r="BT83" i="2"/>
  <c r="EY73" i="2"/>
  <c r="FQ68" i="2" l="1"/>
  <c r="FK90" i="2"/>
  <c r="FL69" i="2" s="1"/>
  <c r="FL70" i="2" s="1"/>
  <c r="FL71" i="2" s="1"/>
  <c r="FQ85" i="2"/>
  <c r="FQ86" i="2"/>
  <c r="FP85" i="2"/>
  <c r="FP86" i="2"/>
  <c r="FE67" i="2"/>
  <c r="FE68" i="2" s="1"/>
  <c r="FA63" i="2"/>
  <c r="FB68" i="2"/>
  <c r="FB70" i="2" s="1"/>
  <c r="FD62" i="2"/>
  <c r="FC86" i="2"/>
  <c r="FB76" i="2"/>
  <c r="FD64" i="2" l="1"/>
  <c r="FD68" i="2" s="1"/>
  <c r="FE76" i="2"/>
  <c r="FL88" i="2"/>
  <c r="FL72" i="2"/>
  <c r="FD86" i="2"/>
  <c r="FF67" i="2"/>
  <c r="FF68" i="2" s="1"/>
  <c r="FC70" i="2"/>
  <c r="FC76" i="2"/>
  <c r="FA71" i="2"/>
  <c r="FA72" i="2" s="1"/>
  <c r="FL73" i="2" l="1"/>
  <c r="FL90" i="2"/>
  <c r="FD76" i="2"/>
  <c r="FA73" i="2"/>
  <c r="FM69" i="2" l="1"/>
  <c r="FM70" i="2" s="1"/>
  <c r="FM71" i="2" s="1"/>
  <c r="FD70" i="2"/>
  <c r="FE70" i="2"/>
  <c r="FE86" i="2"/>
  <c r="FB71" i="2"/>
  <c r="FB72" i="2" s="1"/>
  <c r="FM88" i="2" l="1"/>
  <c r="FM72" i="2"/>
  <c r="FE72" i="2"/>
  <c r="FE73" i="2" s="1"/>
  <c r="FF70" i="2"/>
  <c r="FB73" i="2"/>
  <c r="FB83" i="2" s="1"/>
  <c r="FF72" i="2" l="1"/>
  <c r="FF73" i="2" s="1"/>
  <c r="FF83" i="2" s="1"/>
  <c r="FF88" i="2"/>
  <c r="FM73" i="2"/>
  <c r="FM90" i="2"/>
  <c r="FH72" i="2"/>
  <c r="FH73" i="2" s="1"/>
  <c r="FG70" i="2"/>
  <c r="FG86" i="2"/>
  <c r="FC72" i="2"/>
  <c r="FG72" i="2" l="1"/>
  <c r="FG73" i="2" s="1"/>
  <c r="FG88" i="2"/>
  <c r="FN69" i="2"/>
  <c r="FN70" i="2" s="1"/>
  <c r="FN71" i="2" s="1"/>
  <c r="FC73" i="2"/>
  <c r="FC83" i="2" s="1"/>
  <c r="FN88" i="2" l="1"/>
  <c r="FN72" i="2"/>
  <c r="FD72" i="2"/>
  <c r="FN73" i="2" l="1"/>
  <c r="FN90" i="2"/>
  <c r="FD73" i="2"/>
  <c r="FO69" i="2" l="1"/>
  <c r="FO70" i="2" s="1"/>
  <c r="FO71" i="2" s="1"/>
  <c r="FD83" i="2"/>
  <c r="FE83" i="2"/>
  <c r="FO88" i="2" l="1"/>
  <c r="FO72" i="2"/>
  <c r="AV62" i="2"/>
  <c r="AV87" i="2" s="1"/>
  <c r="FO73" i="2" l="1"/>
  <c r="FO90" i="2"/>
  <c r="AV86" i="2"/>
  <c r="BU76" i="2"/>
  <c r="BU64" i="2"/>
  <c r="AV64" i="2"/>
  <c r="FP69" i="2" l="1"/>
  <c r="FP70" i="2" s="1"/>
  <c r="FP71" i="2" s="1"/>
  <c r="BU85" i="2"/>
  <c r="BU68" i="2"/>
  <c r="BU70" i="2" s="1"/>
  <c r="BU88" i="2" s="1"/>
  <c r="AV68" i="2"/>
  <c r="AV70" i="2" s="1"/>
  <c r="AV85" i="2"/>
  <c r="AR62" i="2"/>
  <c r="AR87" i="2" s="1"/>
  <c r="FP88" i="2" l="1"/>
  <c r="AV72" i="2"/>
  <c r="AV73" i="2" s="1"/>
  <c r="AZ83" i="2" s="1"/>
  <c r="AV88" i="2"/>
  <c r="BU72" i="2"/>
  <c r="BU73" i="2" s="1"/>
  <c r="AR86" i="2"/>
  <c r="AR64" i="2"/>
  <c r="FP72" i="2" l="1"/>
  <c r="BU83" i="2"/>
  <c r="BY83" i="2"/>
  <c r="AR68" i="2"/>
  <c r="AR70" i="2" s="1"/>
  <c r="AR85" i="2"/>
  <c r="FP73" i="2" l="1"/>
  <c r="FP90" i="2"/>
  <c r="FQ69" i="2" s="1"/>
  <c r="FQ70" i="2" s="1"/>
  <c r="FQ71" i="2" s="1"/>
  <c r="FQ72" i="2" s="1"/>
  <c r="AR72" i="2"/>
  <c r="AR73" i="2" s="1"/>
  <c r="AV83" i="2" s="1"/>
  <c r="AR88" i="2"/>
  <c r="AS62" i="2"/>
  <c r="AS86" i="2" s="1"/>
  <c r="AS87" i="2" l="1"/>
  <c r="AS64" i="2"/>
  <c r="FQ88" i="2" l="1"/>
  <c r="AS85" i="2"/>
  <c r="AS68" i="2"/>
  <c r="AS70" i="2" s="1"/>
  <c r="AS88" i="2" l="1"/>
  <c r="AS72" i="2"/>
  <c r="AS73" i="2" s="1"/>
  <c r="AQ62" i="2"/>
  <c r="AQ87" i="2" s="1"/>
  <c r="FR72" i="2" l="1"/>
  <c r="FQ73" i="2"/>
  <c r="FQ90" i="2"/>
  <c r="AQ64" i="2"/>
  <c r="AQ86" i="2"/>
  <c r="FS72" i="2" l="1"/>
  <c r="FT72" i="2" s="1"/>
  <c r="FU72" i="2" s="1"/>
  <c r="FV72" i="2" s="1"/>
  <c r="FW72" i="2" s="1"/>
  <c r="FX72" i="2" s="1"/>
  <c r="FY72" i="2" s="1"/>
  <c r="FZ72" i="2" s="1"/>
  <c r="GA72" i="2" s="1"/>
  <c r="GB72" i="2" s="1"/>
  <c r="GC72" i="2" s="1"/>
  <c r="GD72" i="2" s="1"/>
  <c r="GE72" i="2" s="1"/>
  <c r="GF72" i="2" s="1"/>
  <c r="GG72" i="2" s="1"/>
  <c r="GH72" i="2" s="1"/>
  <c r="GI72" i="2" s="1"/>
  <c r="GJ72" i="2" s="1"/>
  <c r="GK72" i="2" s="1"/>
  <c r="GL72" i="2" s="1"/>
  <c r="GM72" i="2" s="1"/>
  <c r="GN72" i="2" s="1"/>
  <c r="GO72" i="2" s="1"/>
  <c r="GP72" i="2" s="1"/>
  <c r="GQ72" i="2" s="1"/>
  <c r="GR72" i="2" s="1"/>
  <c r="GS72" i="2" s="1"/>
  <c r="GT72" i="2" s="1"/>
  <c r="GU72" i="2" s="1"/>
  <c r="GV72" i="2" s="1"/>
  <c r="GW72" i="2" s="1"/>
  <c r="GX72" i="2" s="1"/>
  <c r="GY72" i="2" s="1"/>
  <c r="GZ72" i="2" s="1"/>
  <c r="HA72" i="2" s="1"/>
  <c r="HB72" i="2" s="1"/>
  <c r="HC72" i="2" s="1"/>
  <c r="HD72" i="2" s="1"/>
  <c r="HE72" i="2" s="1"/>
  <c r="HF72" i="2" s="1"/>
  <c r="HG72" i="2" s="1"/>
  <c r="HH72" i="2" s="1"/>
  <c r="HI72" i="2" s="1"/>
  <c r="HJ72" i="2" s="1"/>
  <c r="HK72" i="2" s="1"/>
  <c r="HL72" i="2" s="1"/>
  <c r="HM72" i="2" s="1"/>
  <c r="HN72" i="2" s="1"/>
  <c r="HO72" i="2" s="1"/>
  <c r="HP72" i="2" s="1"/>
  <c r="HQ72" i="2" s="1"/>
  <c r="HR72" i="2" s="1"/>
  <c r="HS72" i="2" s="1"/>
  <c r="HT72" i="2" s="1"/>
  <c r="HU72" i="2" s="1"/>
  <c r="HV72" i="2" s="1"/>
  <c r="HW72" i="2" s="1"/>
  <c r="HX72" i="2" s="1"/>
  <c r="HY72" i="2" s="1"/>
  <c r="HZ72" i="2" s="1"/>
  <c r="IA72" i="2" s="1"/>
  <c r="IB72" i="2" s="1"/>
  <c r="IC72" i="2" s="1"/>
  <c r="ID72" i="2" s="1"/>
  <c r="IE72" i="2" s="1"/>
  <c r="IF72" i="2" s="1"/>
  <c r="IG72" i="2" s="1"/>
  <c r="IH72" i="2" s="1"/>
  <c r="II72" i="2" s="1"/>
  <c r="IJ72" i="2" s="1"/>
  <c r="IK72" i="2" s="1"/>
  <c r="IL72" i="2" s="1"/>
  <c r="IM72" i="2" s="1"/>
  <c r="IN72" i="2" s="1"/>
  <c r="IO72" i="2" s="1"/>
  <c r="IP72" i="2" s="1"/>
  <c r="IQ72" i="2" s="1"/>
  <c r="FS91" i="2" s="1"/>
  <c r="AQ68" i="2"/>
  <c r="AQ70" i="2" s="1"/>
  <c r="AQ85" i="2"/>
  <c r="FS92" i="2" l="1"/>
  <c r="AQ88" i="2"/>
  <c r="AQ72" i="2"/>
  <c r="AQ73" i="2" s="1"/>
  <c r="AU62" i="2"/>
  <c r="AU87" i="2" s="1"/>
  <c r="AU86" i="2" l="1"/>
  <c r="AU64" i="2"/>
  <c r="AU85" i="2" l="1"/>
  <c r="AU68" i="2"/>
  <c r="AU70" i="2" s="1"/>
  <c r="AW62" i="2"/>
  <c r="AW86" i="2" s="1"/>
  <c r="AW64" i="2" l="1"/>
  <c r="AW85" i="2" s="1"/>
  <c r="AU72" i="2"/>
  <c r="AU73" i="2" s="1"/>
  <c r="AU88" i="2"/>
  <c r="AW87" i="2"/>
  <c r="AW68" i="2" l="1"/>
  <c r="AW70" i="2" s="1"/>
  <c r="AU83" i="2"/>
  <c r="AY83" i="2"/>
  <c r="AP62" i="2"/>
  <c r="AP87" i="2" s="1"/>
  <c r="AW88" i="2" l="1"/>
  <c r="AW72" i="2"/>
  <c r="AW73" i="2" s="1"/>
  <c r="AP86" i="2"/>
  <c r="AP64" i="2"/>
  <c r="AW83" i="2" l="1"/>
  <c r="AP68" i="2"/>
  <c r="AP70" i="2" s="1"/>
  <c r="AP85" i="2"/>
  <c r="AP88" i="2" l="1"/>
  <c r="AP72" i="2"/>
  <c r="AP73" i="2" s="1"/>
  <c r="AT62" i="2"/>
  <c r="AT86" i="2" s="1"/>
  <c r="AT87" i="2" l="1"/>
  <c r="AT64" i="2"/>
  <c r="AT85" i="2" l="1"/>
  <c r="AT68" i="2"/>
  <c r="AT70" i="2" s="1"/>
  <c r="AT88" i="2" l="1"/>
  <c r="AT72" i="2"/>
  <c r="AT73" i="2" s="1"/>
  <c r="EZ64" i="2"/>
  <c r="EZ68" i="2" s="1"/>
  <c r="EZ70" i="2" s="1"/>
  <c r="EZ71" i="2" l="1"/>
  <c r="EZ72" i="2" s="1"/>
  <c r="EZ63" i="2"/>
  <c r="EZ73" i="2" l="1"/>
  <c r="FA83" i="2" l="1"/>
  <c r="EZ83" i="2"/>
  <c r="BC24" i="2" l="1"/>
  <c r="BC62" i="2" s="1"/>
  <c r="BC64" i="2" s="1"/>
  <c r="BE24" i="2"/>
  <c r="BE62" i="2" s="1"/>
  <c r="BD24" i="2"/>
  <c r="BD62" i="2" s="1"/>
  <c r="BD87" i="2" s="1"/>
  <c r="AX24" i="2"/>
  <c r="AX62" i="2" s="1"/>
  <c r="BB24" i="2"/>
  <c r="BB62" i="2" s="1"/>
  <c r="BB87" i="2" s="1"/>
  <c r="BA24" i="2"/>
  <c r="BA62" i="2" s="1"/>
  <c r="BA64" i="2" s="1"/>
  <c r="BA87" i="2" l="1"/>
  <c r="BA86" i="2"/>
  <c r="BB64" i="2"/>
  <c r="BB85" i="2" s="1"/>
  <c r="AX86" i="2"/>
  <c r="AX87" i="2"/>
  <c r="AX64" i="2"/>
  <c r="BE64" i="2"/>
  <c r="BE68" i="2" s="1"/>
  <c r="BE70" i="2" s="1"/>
  <c r="BE72" i="2" s="1"/>
  <c r="BE73" i="2" s="1"/>
  <c r="BE76" i="2"/>
  <c r="BE86" i="2"/>
  <c r="BE87" i="2"/>
  <c r="BC68" i="2"/>
  <c r="BC70" i="2" s="1"/>
  <c r="BC72" i="2" s="1"/>
  <c r="BC73" i="2" s="1"/>
  <c r="BC83" i="2" s="1"/>
  <c r="BA68" i="2"/>
  <c r="BA70" i="2" s="1"/>
  <c r="BA85" i="2"/>
  <c r="BD76" i="2"/>
  <c r="BC86" i="2"/>
  <c r="BB86" i="2"/>
  <c r="BD86" i="2"/>
  <c r="BC87" i="2"/>
  <c r="BD64" i="2"/>
  <c r="BD68" i="2" s="1"/>
  <c r="BD70" i="2" s="1"/>
  <c r="BD72" i="2" s="1"/>
  <c r="BD73" i="2" s="1"/>
  <c r="BD83" i="2" s="1"/>
  <c r="BB68" i="2" l="1"/>
  <c r="BB70" i="2" s="1"/>
  <c r="BB88" i="2" s="1"/>
  <c r="BA72" i="2"/>
  <c r="BA73" i="2" s="1"/>
  <c r="BA83" i="2" s="1"/>
  <c r="BA88" i="2"/>
  <c r="AX85" i="2"/>
  <c r="AX68" i="2"/>
  <c r="AX70" i="2" s="1"/>
  <c r="BE83" i="2" l="1"/>
  <c r="BB72" i="2"/>
  <c r="BB73" i="2" s="1"/>
  <c r="AX88" i="2"/>
  <c r="AX72" i="2"/>
  <c r="AX73" i="2" s="1"/>
  <c r="AX83" i="2" s="1"/>
  <c r="BB83" i="2" l="1"/>
  <c r="BF76" i="2" l="1"/>
  <c r="BF87" i="2"/>
  <c r="BF86" i="2"/>
  <c r="BF64" i="2"/>
  <c r="BF68" i="2" s="1"/>
  <c r="BF70" i="2" s="1"/>
  <c r="BF72" i="2" s="1"/>
  <c r="BF73" i="2" s="1"/>
  <c r="BF83" i="2" s="1"/>
  <c r="EU64" i="2" l="1"/>
  <c r="EU85" i="2" s="1"/>
  <c r="EU63" i="2" l="1"/>
  <c r="EU68" i="2"/>
  <c r="EU70" i="2" s="1"/>
  <c r="EU72" i="2" s="1"/>
  <c r="EU73" i="2" s="1"/>
  <c r="EU83" i="2" s="1"/>
  <c r="BK87" i="2" l="1"/>
  <c r="BK86" i="2"/>
  <c r="BK64" i="2"/>
  <c r="BK85" i="2" l="1"/>
  <c r="BK68" i="2"/>
  <c r="BK70" i="2" s="1"/>
  <c r="BK72" i="2" l="1"/>
  <c r="BK88" i="2"/>
  <c r="BK90" i="2" l="1"/>
  <c r="BK73" i="2"/>
  <c r="BI61" i="2"/>
  <c r="BI62" i="2" s="1"/>
  <c r="BI87" i="2" s="1"/>
  <c r="BI64" i="2" l="1"/>
  <c r="BI86" i="2"/>
  <c r="BI76" i="2"/>
  <c r="BI68" i="2" l="1"/>
  <c r="BI70" i="2" s="1"/>
  <c r="BI85" i="2"/>
  <c r="BI72" i="2" l="1"/>
  <c r="BI73" i="2" s="1"/>
  <c r="BI83" i="2" s="1"/>
  <c r="BI88" i="2"/>
  <c r="BJ64" i="2"/>
  <c r="BJ68" i="2" s="1"/>
  <c r="BJ70" i="2" s="1"/>
  <c r="BJ76" i="2"/>
  <c r="BN76" i="2"/>
  <c r="BJ86" i="2"/>
  <c r="BJ87" i="2"/>
  <c r="BJ72" i="2" l="1"/>
  <c r="BJ73" i="2" s="1"/>
  <c r="BJ88" i="2"/>
  <c r="BJ85" i="2"/>
  <c r="BJ83" i="2" l="1"/>
  <c r="BN83" i="2"/>
  <c r="EX24" i="2"/>
  <c r="EX62" i="2" s="1"/>
  <c r="EY76" i="2" l="1"/>
  <c r="EX64" i="2"/>
  <c r="EX86" i="2"/>
  <c r="BO87" i="2"/>
  <c r="BO86" i="2"/>
  <c r="BO76" i="2"/>
  <c r="BS76" i="2"/>
  <c r="BO64" i="2"/>
  <c r="BO85" i="2" l="1"/>
  <c r="BO68" i="2"/>
  <c r="BO70" i="2" s="1"/>
  <c r="EX85" i="2"/>
  <c r="EX68" i="2"/>
  <c r="EX70" i="2" s="1"/>
  <c r="EX72" i="2" s="1"/>
  <c r="EX73" i="2" l="1"/>
  <c r="BO88" i="2"/>
  <c r="BO72" i="2"/>
  <c r="BO73" i="2" s="1"/>
  <c r="EY83" i="2" l="1"/>
  <c r="BO83" i="2"/>
  <c r="BS83" i="2"/>
  <c r="BG61" i="2"/>
  <c r="BG62" i="2" s="1"/>
  <c r="BG87" i="2" s="1"/>
  <c r="BG64" i="2" l="1"/>
  <c r="BG85" i="2" s="1"/>
  <c r="BK76" i="2"/>
  <c r="BG86" i="2"/>
  <c r="BG76" i="2"/>
  <c r="BG68" i="2" l="1"/>
  <c r="BG70" i="2" s="1"/>
  <c r="BG88" i="2" s="1"/>
  <c r="BG72" i="2" l="1"/>
  <c r="BG73" i="2" s="1"/>
  <c r="BG83" i="2" s="1"/>
  <c r="BH61" i="2"/>
  <c r="BH62" i="2" s="1"/>
  <c r="BH87" i="2" s="1"/>
  <c r="BK83" i="2" l="1"/>
  <c r="BH64" i="2"/>
  <c r="BH85" i="2" s="1"/>
  <c r="BH86" i="2"/>
  <c r="BH76" i="2"/>
  <c r="EV64" i="2" l="1"/>
  <c r="EV85" i="2" s="1"/>
  <c r="BH68" i="2"/>
  <c r="BH70" i="2" s="1"/>
  <c r="BM61" i="2"/>
  <c r="BM62" i="2" s="1"/>
  <c r="BM76" i="2" s="1"/>
  <c r="EV68" i="2" l="1"/>
  <c r="EV70" i="2" s="1"/>
  <c r="EV72" i="2" s="1"/>
  <c r="EV73" i="2" s="1"/>
  <c r="EV83" i="2" s="1"/>
  <c r="EV63" i="2"/>
  <c r="BH72" i="2"/>
  <c r="BH73" i="2" s="1"/>
  <c r="BH83" i="2" s="1"/>
  <c r="BH88" i="2"/>
  <c r="BQ76" i="2"/>
  <c r="BM64" i="2"/>
  <c r="BM86" i="2"/>
  <c r="BM87" i="2"/>
  <c r="BM68" i="2" l="1"/>
  <c r="BM70" i="2" s="1"/>
  <c r="BM85" i="2"/>
  <c r="BM72" i="2" l="1"/>
  <c r="BM73" i="2" s="1"/>
  <c r="BM88" i="2"/>
  <c r="BQ83" i="2" l="1"/>
  <c r="BM83" i="2"/>
  <c r="EW24" i="2"/>
  <c r="EW62" i="2" s="1"/>
  <c r="EW64" i="2" s="1"/>
  <c r="BL61" i="2"/>
  <c r="BL62" i="2" s="1"/>
  <c r="BL64" i="2" s="1"/>
  <c r="BL85" i="2" l="1"/>
  <c r="BL68" i="2"/>
  <c r="BL70" i="2" s="1"/>
  <c r="BL72" i="2" s="1"/>
  <c r="BL73" i="2" s="1"/>
  <c r="BP83" i="2" s="1"/>
  <c r="BL87" i="2"/>
  <c r="EW68" i="2"/>
  <c r="EW70" i="2" s="1"/>
  <c r="EW72" i="2" s="1"/>
  <c r="EW73" i="2" s="1"/>
  <c r="EW85" i="2"/>
  <c r="EW76" i="2"/>
  <c r="EW86" i="2"/>
  <c r="EX76" i="2"/>
  <c r="BL76" i="2"/>
  <c r="BP76" i="2"/>
  <c r="BL86" i="2"/>
  <c r="BL88" i="2" l="1"/>
  <c r="BL83" i="2"/>
  <c r="EW83" i="2"/>
  <c r="EX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4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FI6" authorId="5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6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7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8" authorId="8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8" authorId="9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9" authorId="10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9" authorId="11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0" authorId="12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0" authorId="13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2" authorId="14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5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16" authorId="16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17" authorId="17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8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18" authorId="19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3" authorId="1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7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4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4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1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5" authorId="22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5" authorId="23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5" authorId="24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5" authorId="17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4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4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4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5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28" authorId="26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1" authorId="27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D32" authorId="28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35" authorId="14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3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39" authorId="14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1" authorId="1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1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4" authorId="29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44" authorId="30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56" authorId="1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56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2" authorId="14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2" authorId="31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62" authorId="32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62" authorId="33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62" authorId="34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62" authorId="35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62" authorId="36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62" authorId="37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62" authorId="38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62" authorId="39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62" authorId="40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DN62" authorId="41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62" authorId="17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2" authorId="17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2" authorId="42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2" authorId="1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2" authorId="1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2" authorId="43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62" authorId="44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AZ68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68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69" authorId="17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69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1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1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1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1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2" authorId="45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72" authorId="46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72" authorId="47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72" authorId="48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73" authorId="49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3" authorId="17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3" authorId="49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3" authorId="14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3" authorId="50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73" authorId="51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ES73" authorId="17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3" authorId="17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3" authorId="42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3" authorId="20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3" authorId="14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3" authorId="52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DN76" authorId="53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ET85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25" authorId="54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<sst xmlns="http://schemas.openxmlformats.org/spreadsheetml/2006/main" count="1284" uniqueCount="850">
  <si>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</si>
  <si>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</si>
  <si>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</si>
  <si>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</si>
  <si>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</si>
  <si>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</si>
  <si>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</si>
  <si>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</si>
  <si>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</si>
  <si>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</si>
  <si>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</si>
  <si>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</si>
  <si>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</si>
  <si>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</si>
  <si>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</si>
  <si>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</si>
  <si>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</si>
  <si>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</si>
  <si>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</si>
  <si>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</si>
  <si>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</si>
  <si>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</si>
  <si>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</si>
  <si>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</si>
  <si>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</si>
  <si>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</si>
  <si>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</si>
  <si>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</si>
  <si>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</si>
  <si>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</si>
  <si>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</si>
  <si>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</si>
  <si>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</si>
  <si>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</si>
  <si>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</si>
  <si>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</si>
  <si>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</si>
  <si>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</si>
  <si>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</si>
  <si>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</si>
  <si>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</si>
  <si>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</si>
  <si>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</si>
  <si>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</si>
  <si>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</si>
  <si>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</si>
  <si>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</si>
  <si>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</si>
  <si>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</si>
  <si>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</si>
  <si>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</si>
  <si>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</si>
  <si>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</si>
  <si>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</si>
  <si>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</si>
  <si>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</si>
  <si>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</si>
  <si>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</si>
  <si>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</si>
  <si>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</si>
  <si>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</si>
  <si>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</si>
  <si>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</si>
  <si>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</si>
  <si>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</si>
  <si>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</si>
  <si>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</si>
  <si>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</si>
  <si>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</si>
  <si>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</si>
  <si>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</si>
  <si>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</si>
  <si>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</si>
  <si>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</si>
  <si>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</si>
  <si>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</si>
  <si>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</si>
  <si>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</si>
  <si>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</si>
  <si>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</si>
  <si>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</si>
  <si>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</si>
  <si>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</si>
  <si>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</si>
  <si>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</si>
  <si>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</si>
  <si>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</si>
  <si>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</si>
  <si>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</si>
  <si>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</si>
  <si>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</si>
  <si>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</si>
  <si>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</si>
  <si>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</si>
  <si>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</si>
  <si>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</si>
  <si>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</si>
  <si>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</si>
  <si>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</si>
  <si>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</si>
  <si>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</si>
  <si>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</si>
  <si>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</si>
  <si>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</si>
  <si>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</si>
  <si>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</si>
  <si>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</si>
  <si>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</si>
  <si>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</si>
  <si>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</si>
  <si>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</si>
  <si>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</si>
  <si>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</si>
  <si>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</si>
  <si>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</si>
  <si>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</si>
  <si>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</si>
  <si>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</si>
  <si>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</si>
  <si>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</si>
  <si>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</si>
  <si>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</si>
  <si>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</si>
  <si>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</si>
  <si>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</si>
  <si>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</si>
  <si>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</si>
  <si>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</si>
  <si>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</si>
  <si>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</si>
  <si>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</si>
  <si>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</si>
  <si>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</si>
  <si>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</si>
  <si>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</si>
  <si>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</si>
  <si>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</si>
  <si>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</si>
  <si>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</si>
  <si>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</si>
  <si>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</si>
  <si>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</si>
  <si>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</si>
  <si>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</si>
  <si>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</si>
  <si>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</si>
  <si>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</si>
  <si>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</si>
  <si>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</si>
  <si>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</si>
  <si>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</si>
  <si>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</si>
  <si>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</si>
  <si>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</si>
  <si>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</si>
  <si>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</si>
  <si>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</si>
  <si>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</si>
  <si>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</si>
  <si>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</si>
  <si>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</si>
  <si>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</si>
  <si>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</si>
  <si>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</si>
  <si>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</si>
  <si>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</si>
  <si>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</si>
  <si>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</si>
  <si>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</si>
  <si>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</si>
  <si>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</si>
  <si>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</si>
  <si>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</si>
  <si>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</si>
  <si>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</si>
  <si>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</si>
  <si>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</si>
  <si>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</si>
  <si>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</si>
  <si>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</si>
  <si>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</si>
  <si>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</si>
  <si>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</si>
  <si>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</si>
  <si>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</si>
  <si>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</si>
  <si>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</si>
  <si>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</si>
  <si>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</si>
  <si>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</si>
  <si>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</si>
  <si>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</si>
  <si>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</si>
  <si>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</si>
  <si>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</si>
  <si>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</si>
  <si>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</si>
  <si>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</si>
  <si>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</si>
  <si>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</si>
  <si>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</si>
  <si>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</si>
  <si>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</si>
  <si>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</si>
  <si>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</si>
  <si>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</si>
  <si>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</si>
  <si>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</si>
  <si>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</si>
  <si>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</si>
  <si>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</si>
  <si>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</si>
  <si>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</si>
  <si>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</si>
  <si>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</si>
  <si>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</si>
  <si>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</si>
  <si>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</si>
  <si>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</si>
  <si>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</si>
  <si>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</si>
  <si>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</si>
  <si>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</si>
  <si>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</si>
  <si>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</si>
  <si>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</si>
  <si>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</si>
  <si>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</si>
  <si>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</si>
  <si>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</si>
  <si>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</si>
  <si>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</si>
  <si>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</si>
  <si>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</si>
  <si>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</si>
  <si>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</si>
  <si>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</si>
  <si>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</si>
  <si>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</si>
  <si>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</si>
  <si>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</si>
  <si>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</si>
  <si>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</si>
  <si>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</si>
  <si>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</si>
  <si>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</si>
  <si>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</si>
  <si>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</si>
  <si>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</si>
  <si>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</si>
  <si>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</si>
  <si>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</si>
  <si>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</si>
  <si>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</si>
  <si>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</si>
  <si>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</si>
  <si>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</si>
  <si>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</si>
  <si>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</si>
  <si>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</si>
  <si>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</si>
  <si>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</si>
  <si>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</si>
  <si>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</si>
  <si>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</si>
  <si>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</si>
  <si>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</si>
  <si>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</si>
  <si>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</si>
  <si>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</si>
  <si>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</si>
  <si>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</si>
  <si>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</si>
  <si>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</si>
  <si>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</si>
  <si>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</si>
  <si>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</si>
  <si>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</si>
  <si>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</si>
  <si>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</si>
  <si>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</si>
  <si>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</si>
  <si>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</si>
  <si>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</si>
  <si>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</si>
  <si>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</si>
  <si>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</si>
  <si>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</si>
  <si>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</si>
  <si>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</si>
  <si>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</si>
  <si>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</si>
  <si>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</si>
  <si>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</si>
  <si>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</si>
  <si>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</si>
  <si>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</si>
  <si>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</si>
  <si>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</si>
  <si>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</si>
  <si>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</si>
  <si>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</si>
  <si>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</si>
  <si>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</si>
  <si>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</si>
  <si>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</si>
  <si>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</si>
  <si>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</si>
  <si>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</si>
  <si>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</si>
  <si>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</si>
  <si>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</si>
  <si>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</si>
  <si>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</si>
  <si>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</si>
  <si>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</si>
  <si>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</si>
  <si>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</si>
  <si>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</si>
  <si>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</si>
  <si>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</si>
  <si>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</si>
  <si>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</si>
  <si>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</si>
  <si>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</si>
  <si>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</si>
  <si>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</si>
  <si>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</si>
  <si>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</si>
  <si>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</si>
  <si>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</si>
  <si>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</si>
  <si>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</si>
  <si>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</si>
  <si>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</si>
  <si>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</si>
  <si>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</si>
  <si>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</si>
  <si>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</si>
  <si>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</si>
  <si>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</si>
  <si>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</si>
  <si>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</si>
  <si>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</si>
  <si>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</si>
  <si>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</si>
  <si>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</si>
  <si>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</si>
  <si>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</si>
  <si>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</si>
  <si>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</si>
  <si>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</si>
  <si>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</si>
  <si>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</si>
  <si>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</si>
  <si>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</si>
  <si>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</si>
  <si>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</si>
  <si>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</si>
  <si>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</si>
  <si>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</si>
  <si>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</si>
  <si>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</si>
  <si>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</si>
  <si>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</si>
  <si>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</si>
  <si>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</si>
  <si>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</si>
  <si>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</si>
  <si>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</si>
  <si>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</si>
  <si>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</si>
  <si>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</si>
  <si>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</si>
  <si>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</si>
  <si>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</si>
  <si>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</si>
  <si>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</si>
  <si>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</si>
  <si>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</si>
  <si>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</si>
  <si>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</si>
  <si>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</si>
  <si>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</si>
  <si>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</si>
  <si>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</si>
  <si>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</si>
  <si>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</si>
  <si>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</si>
  <si>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</si>
  <si>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</si>
  <si>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</si>
  <si>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</si>
  <si>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</si>
  <si>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</si>
  <si>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</si>
  <si>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</si>
  <si>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</si>
  <si>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</si>
  <si>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</si>
  <si>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</si>
  <si>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</si>
  <si>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</si>
  <si>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</si>
  <si>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</si>
  <si>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</si>
  <si>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</si>
  <si>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</si>
  <si>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</si>
  <si>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</si>
  <si>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</si>
  <si>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</si>
  <si>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</si>
  <si>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</si>
  <si>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</si>
  <si>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</si>
  <si>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</si>
  <si>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</si>
  <si>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</si>
  <si>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</si>
  <si>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</si>
  <si>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</si>
  <si>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</si>
  <si>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</si>
  <si>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</si>
  <si>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</si>
  <si>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</si>
  <si>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</si>
  <si>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</si>
  <si>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</si>
  <si>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</si>
  <si>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</si>
  <si>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</si>
  <si>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</si>
  <si>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</si>
  <si>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</si>
  <si>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</si>
  <si>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</si>
  <si>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</si>
  <si>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</si>
  <si>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</si>
  <si>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</si>
  <si>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</si>
  <si>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</si>
  <si>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</si>
  <si>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</si>
  <si>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</si>
  <si>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</si>
  <si>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</si>
  <si>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</si>
  <si>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</si>
  <si>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</si>
  <si>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</si>
  <si>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</si>
  <si>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</si>
  <si>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</si>
  <si>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</si>
  <si>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</si>
  <si>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</si>
  <si>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</si>
  <si>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</si>
  <si>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</si>
  <si>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</si>
  <si>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</si>
  <si>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</si>
  <si>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</si>
  <si>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</si>
  <si>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</si>
  <si>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</si>
  <si>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</si>
  <si>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</si>
  <si>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</si>
  <si>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</si>
  <si>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</si>
  <si>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</si>
  <si>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</si>
  <si>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</si>
  <si>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</si>
  <si>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</si>
  <si>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</si>
  <si>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</si>
  <si>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</si>
  <si>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</si>
  <si>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</si>
  <si>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</si>
  <si>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</si>
  <si>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</si>
  <si>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</si>
  <si>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</si>
  <si>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</si>
  <si>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</si>
  <si>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</si>
  <si>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</si>
  <si>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</si>
  <si>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</si>
  <si>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</si>
  <si>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</si>
  <si>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</si>
  <si>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</si>
  <si>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</si>
  <si>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</si>
  <si>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</si>
  <si>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</si>
  <si>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</si>
  <si>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</si>
  <si>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</si>
  <si>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</si>
  <si>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</si>
  <si>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</si>
  <si>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</si>
  <si>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</si>
  <si>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</si>
  <si>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</si>
  <si>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</si>
  <si>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</si>
  <si>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</si>
  <si>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</si>
  <si>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</si>
  <si>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</si>
  <si>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</si>
  <si>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</si>
  <si>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</si>
  <si>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</si>
  <si>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</si>
  <si>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</si>
  <si>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</si>
  <si>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</si>
  <si>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</si>
  <si>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</si>
  <si>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</si>
  <si>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</si>
  <si>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</si>
  <si>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</si>
  <si>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</si>
  <si>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</si>
  <si>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</si>
  <si>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</si>
  <si>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</si>
  <si>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</si>
  <si>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</si>
  <si>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</si>
  <si>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</si>
  <si>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</si>
  <si>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</si>
  <si>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</si>
  <si>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</si>
  <si>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</si>
  <si>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</si>
  <si>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</si>
  <si>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</si>
  <si>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</si>
  <si>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</si>
  <si>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</si>
  <si>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</si>
  <si>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</si>
  <si>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</si>
  <si>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</si>
  <si>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</si>
  <si>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</si>
  <si>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</si>
  <si>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</si>
  <si>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</si>
  <si>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</si>
  <si>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</si>
  <si>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</si>
  <si>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</si>
  <si>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</si>
  <si>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</si>
  <si>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</si>
  <si>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</si>
  <si>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</si>
  <si>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</si>
  <si>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</si>
  <si>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</si>
  <si>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</si>
  <si>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</si>
  <si>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</si>
  <si>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</si>
  <si>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</si>
  <si>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</si>
  <si>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</si>
  <si>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</si>
  <si>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</si>
  <si>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</si>
  <si>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</si>
  <si>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</si>
  <si>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</si>
  <si>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</si>
  <si>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</si>
  <si>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</si>
  <si>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</si>
  <si>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</si>
  <si>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</si>
  <si>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</si>
  <si>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</si>
  <si>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</si>
  <si>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</si>
  <si>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</si>
  <si>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</si>
  <si>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</si>
  <si>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</si>
  <si>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</si>
  <si>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</si>
  <si>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</si>
  <si>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</si>
  <si>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</si>
  <si>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</si>
  <si>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</si>
  <si>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</si>
  <si>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</si>
  <si>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</si>
  <si>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</si>
  <si>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</si>
  <si>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</si>
  <si>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</si>
  <si>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</si>
  <si>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</si>
  <si>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</si>
  <si>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</si>
  <si>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</si>
  <si>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</si>
  <si>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</si>
  <si>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</si>
  <si>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</si>
  <si>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</si>
  <si>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</si>
  <si>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</si>
  <si>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</si>
  <si>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</si>
  <si>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</si>
  <si>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</si>
  <si>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</si>
  <si>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</si>
  <si>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</si>
  <si>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</si>
  <si>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</si>
  <si>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</si>
  <si>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</si>
  <si>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</si>
  <si>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</si>
  <si>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</si>
  <si>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</si>
  <si>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</si>
  <si>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</si>
  <si>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</si>
  <si>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</si>
  <si>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</si>
  <si>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</si>
  <si>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</si>
  <si>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</si>
  <si>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</si>
  <si>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</si>
  <si>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</si>
  <si>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</si>
  <si>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</si>
  <si>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</si>
  <si>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</si>
  <si>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</si>
  <si>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</si>
  <si>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</si>
  <si>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</si>
  <si>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</si>
  <si>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</si>
  <si>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</si>
  <si>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</si>
  <si>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</si>
  <si>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</si>
  <si>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</si>
  <si>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</si>
  <si>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</si>
  <si>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</si>
  <si>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</si>
  <si>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</si>
  <si>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</si>
  <si>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</si>
  <si>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</si>
  <si>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</si>
  <si>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</si>
  <si>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</si>
  <si>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</si>
  <si>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</si>
  <si>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</si>
  <si>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</si>
  <si>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</si>
  <si>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</si>
  <si>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</si>
  <si>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</si>
  <si>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</si>
  <si>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</si>
  <si>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</si>
  <si>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</si>
  <si>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</si>
  <si>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</si>
  <si>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</si>
  <si>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</si>
  <si>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</si>
  <si>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</si>
  <si>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</si>
  <si>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</si>
  <si>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</si>
  <si>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</si>
  <si>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</si>
  <si>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</si>
  <si>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</si>
  <si>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</si>
  <si>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</si>
  <si>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</si>
  <si>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</si>
  <si>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</si>
  <si>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</si>
  <si>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</si>
  <si>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</si>
  <si>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</si>
  <si>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</si>
  <si>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</si>
  <si>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</si>
  <si>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</si>
  <si>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</si>
  <si>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</si>
  <si>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</si>
  <si>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</si>
  <si>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</si>
  <si>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</si>
  <si>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</si>
  <si>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</si>
  <si>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</si>
  <si>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</si>
  <si>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</si>
  <si>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</si>
  <si>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</si>
  <si>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</si>
  <si>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</si>
  <si>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</si>
  <si>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</si>
  <si>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</si>
  <si>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</si>
  <si>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</si>
  <si>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</si>
  <si>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</si>
  <si>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</si>
  <si>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</si>
  <si>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</si>
  <si>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</si>
  <si>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</si>
  <si>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</si>
  <si>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</si>
  <si>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</si>
  <si>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Phase III "TRAILBLAZER-ALZ 2" early symptomatic AD</t>
  </si>
  <si>
    <t>Kinsula (donanemab)</t>
  </si>
  <si>
    <t>8/8/24: Q224 results.</t>
  </si>
  <si>
    <t>92</t>
  </si>
  <si>
    <t>86</t>
  </si>
  <si>
    <t>95</t>
  </si>
  <si>
    <t>104</t>
  </si>
  <si>
    <t>CFO: Anat Ashkenazi left for Google.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</si>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</sst>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120</xdr:col>
      <xdr:colOff>22564</xdr:colOff>
      <xdr:row>0</xdr:row>
      <xdr:rowOff>0</xdr:rowOff>
    </xdr:from>
    <xdr:to>
      <xdr:col>120</xdr:col>
      <xdr:colOff>22564</xdr:colOff>
      <xdr:row>149</xdr:row>
      <xdr:rowOff>163285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1973385" y="0"/>
          <a:ext cx="0" cy="2416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144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D32" dT="2022-08-02T13:15:28.62" personId="{13399233-BA81-4949-9BE8-57EDDD85014C}" id="{A9214E8B-BB63-4C5A-81B6-161440AC7FDE}">
    <text>last quarter of Qbrexza</text>
  </threadedComment>
  <threadedComment ref="EM44" dT="2024-10-03T20:17:21.70" personId="{13399233-BA81-4949-9BE8-57EDDD85014C}" id="{C66F5119-A7C1-5741-A5D9-2B573CE6D33E}">
    <text>Includes Sarafem sales of 14.6m</text>
  </threadedComment>
  <threadedComment ref="EO44" dT="2024-10-03T21:00:28.39" personId="{13399233-BA81-4949-9BE8-57EDDD85014C}" id="{D94A1F2D-0D94-A840-8ACB-E2C95F3F4C07}">
    <text>Also had 656, maybe didn’t include weekly &amp; sarafem?</text>
  </threadedComment>
  <threadedComment ref="CU62" dT="2024-08-26T00:48:52.06" personId="{13399233-BA81-4949-9BE8-57EDDD85014C}" id="{F6E279B7-B537-4FD2-9F94-8042A4D12872}">
    <text>5,092</text>
  </threadedComment>
  <threadedComment ref="CY62" dT="2022-08-01T19:29:14.28" personId="{13399233-BA81-4949-9BE8-57EDDD85014C}" id="{E60352B4-4A0D-4646-997E-29633AD2D222}">
    <text>5859.8m reported revenue</text>
  </threadedComment>
  <threadedComment ref="CZ62" dT="2022-08-01T19:13:29.91" personId="{13399233-BA81-4949-9BE8-57EDDD85014C}" id="{D23219C3-585B-4401-96E4-A54AA852CF63}">
    <text>5499.4m reported revenue</text>
  </threadedComment>
  <threadedComment ref="DA62" dT="2022-08-01T19:08:14.14" personId="{13399233-BA81-4949-9BE8-57EDDD85014C}" id="{A2E464E0-CBDF-4ECE-9C4E-FC1B4BA053F8}">
    <text>5740.6 reported revenue</text>
  </threadedComment>
  <threadedComment ref="DB62" dT="2022-08-01T18:51:30.86" personId="{13399233-BA81-4949-9BE8-57EDDD85014C}" id="{F1B0E7D4-F86C-4460-9BB2-30549C72BA4D}">
    <text>7440.0 actual reported</text>
  </threadedComment>
  <threadedComment ref="DC62" dT="2022-08-01T19:28:46.54" personId="{13399233-BA81-4949-9BE8-57EDDD85014C}" id="{27F9AA8E-4F00-4838-B3AE-5C359EA80361}">
    <text>6805.6 reported</text>
  </threadedComment>
  <threadedComment ref="DD62" dT="2022-08-01T19:13:16.67" personId="{13399233-BA81-4949-9BE8-57EDDD85014C}" id="{AFC9B85C-9AC1-4E0B-A0FD-4EC0747D6C85}">
    <text>6740 reported revenue</text>
  </threadedComment>
  <threadedComment ref="DE62" dT="2022-08-01T19:08:01.93" personId="{13399233-BA81-4949-9BE8-57EDDD85014C}" id="{3630D8DA-CEAE-49F9-B57E-A7443096F4CE}">
    <text>6772.8 reported revenue</text>
  </threadedComment>
  <threadedComment ref="DF62" dT="2022-08-01T18:31:56.86" personId="{13399233-BA81-4949-9BE8-57EDDD85014C}" id="{D7A857CD-B43A-4E52-BA69-3F839DE07274}">
    <text>Actual reported 7999.9</text>
  </threadedComment>
  <threadedComment ref="DL62" dT="2023-10-23T04:05:00.50" personId="{13399233-BA81-4949-9BE8-57EDDD85014C}" id="{7F77C49B-1A2C-41FA-8A63-291465846371}">
    <text>Excluding Baqsimi sale of 579m</text>
  </threadedComment>
  <threadedComment ref="DN62" dT="2024-02-26T23:55:47.20" personId="{13399233-BA81-4949-9BE8-57EDDD85014C}" id="{E9AE85F5-95A1-1746-8695-2448A65CBE0D}">
    <text>$65m one-time milestone for Ebglyss launch.</text>
  </threadedComment>
  <threadedComment ref="FJ62" dT="2024-02-27T00:16:20.93" personId="{13399233-BA81-4949-9BE8-57EDDD85014C}" id="{44F04AEB-60ED-E244-B275-73D80CAB84D6}">
    <text>34124m actual</text>
  </threadedComment>
  <threadedComment ref="FK62" dT="2024-02-22T18:16:29.86" personId="{13399233-BA81-4949-9BE8-57EDDD85014C}" id="{DCF6DE87-1143-A848-8919-609B3D10ACF2}">
    <text>Q423 guidance: 40.4-41.6</text>
  </threadedComment>
  <threadedComment ref="DC72" dT="2022-08-01T18:07:16.89" personId="{13399233-BA81-4949-9BE8-57EDDD85014C}" id="{00F4491F-C819-44C1-AC45-2ABA1B7BE593}">
    <text>actual adjusted 1465.5</text>
  </threadedComment>
  <threadedComment ref="DG72" dT="2022-08-01T18:06:59.44" personId="{13399233-BA81-4949-9BE8-57EDDD85014C}" id="{8874A794-CB8F-4280-B6A0-27B01371D863}">
    <text>actual adjusted 2372.8</text>
  </threadedComment>
  <threadedComment ref="DJ72" dT="2024-02-24T02:28:04.80" personId="{13399233-BA81-4949-9BE8-57EDDD85014C}" id="{E2B8392D-784C-1C43-9C17-6F8F6E8E10E8}">
    <text>1893.1m NG NI</text>
  </threadedComment>
  <threadedComment ref="DN72" dT="2024-02-24T02:27:29.45" personId="{13399233-BA81-4949-9BE8-57EDDD85014C}" id="{D3E83574-E8FE-5147-B547-53DDC5467704}">
    <text>2249.4m NG NI</text>
  </threadedComment>
  <threadedComment ref="DJ73" dT="2024-02-24T02:28:12.49" personId="{13399233-BA81-4949-9BE8-57EDDD85014C}" id="{C09F6605-4B5E-4E4F-877F-AF898C62BEE7}">
    <text>2.09 NG NI</text>
  </threadedComment>
  <threadedComment ref="DN73" dT="2024-02-24T02:27:39.45" personId="{13399233-BA81-4949-9BE8-57EDDD85014C}" id="{6446E119-F193-1142-9DE3-B2093A985B4F}">
    <text>2.49 NG NI</text>
  </threadedComment>
  <threadedComment ref="FK73" dT="2024-02-22T18:16:50.67" personId="{13399233-BA81-4949-9BE8-57EDDD85014C}" id="{EA475891-7DAB-5B42-A37D-6815334EAFF1}">
    <text>Q423 guidance: 12.20-12.70</text>
  </threadedComment>
  <threadedComment ref="DN76" dT="2024-02-26T23:55:19.60" personId="{13399233-BA81-4949-9BE8-57EDDD85014C}" id="{E7A7648A-AC02-E948-A141-F239D41E7779}">
    <text>16% higher prices (Mounjaro savings card dynamics)
11% volume
1% FX</text>
  </threadedComment>
  <threadedComment ref="DM125" dT="2024-08-25T18:15:49.06" personId="{13399233-BA81-4949-9BE8-57EDDD85014C}" id="{F7EEE25E-A1A6-4B35-B1EF-801B6A1015FB}">
    <text>Sold Zyprexa, Baqsimi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98"/>
  <sheetViews>
    <sheetView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B62" sqref="B62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497</v>
      </c>
      <c r="J2" s="38" t="s">
        <v>579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764</v>
      </c>
      <c r="G3" s="38"/>
      <c r="H3" s="38"/>
      <c r="J3" s="38"/>
    </row>
    <row r="4" spans="1:10" x14ac:dyDescent="0.2">
      <c r="B4" s="14" t="s">
        <v>19</v>
      </c>
      <c r="C4" s="38" t="s">
        <v>228</v>
      </c>
      <c r="D4" s="6" t="s">
        <v>116</v>
      </c>
      <c r="F4" s="40">
        <v>1</v>
      </c>
      <c r="G4" s="30">
        <v>38021</v>
      </c>
      <c r="H4" s="7">
        <v>2016</v>
      </c>
    </row>
    <row r="5" spans="1:10" x14ac:dyDescent="0.2">
      <c r="B5" s="38" t="s">
        <v>802</v>
      </c>
      <c r="C5" s="38" t="s">
        <v>803</v>
      </c>
      <c r="D5" s="37" t="s">
        <v>79</v>
      </c>
      <c r="F5" s="40"/>
      <c r="G5" s="30"/>
      <c r="H5" s="6"/>
    </row>
    <row r="6" spans="1:10" x14ac:dyDescent="0.2">
      <c r="B6" s="38" t="s">
        <v>768</v>
      </c>
      <c r="C6" s="38" t="s">
        <v>804</v>
      </c>
      <c r="D6" s="37" t="s">
        <v>805</v>
      </c>
      <c r="E6" s="38" t="s">
        <v>801</v>
      </c>
      <c r="F6" s="40"/>
      <c r="G6" s="30"/>
      <c r="H6" s="6"/>
    </row>
    <row r="7" spans="1:10" x14ac:dyDescent="0.2">
      <c r="B7" s="38" t="s">
        <v>277</v>
      </c>
      <c r="C7" s="38"/>
      <c r="D7" s="38"/>
      <c r="E7" s="38"/>
    </row>
    <row r="8" spans="1:10" x14ac:dyDescent="0.2">
      <c r="B8" s="38" t="s">
        <v>454</v>
      </c>
      <c r="C8" s="38" t="s">
        <v>470</v>
      </c>
      <c r="D8" s="38"/>
      <c r="E8" s="38"/>
    </row>
    <row r="9" spans="1:10" x14ac:dyDescent="0.2">
      <c r="B9" s="38" t="s">
        <v>478</v>
      </c>
      <c r="C9" s="38" t="s">
        <v>479</v>
      </c>
      <c r="D9" s="38"/>
      <c r="E9" s="38"/>
      <c r="F9" t="s">
        <v>274</v>
      </c>
    </row>
    <row r="10" spans="1:10" x14ac:dyDescent="0.2">
      <c r="B10" s="38" t="s">
        <v>63</v>
      </c>
      <c r="C10" s="38" t="s">
        <v>775</v>
      </c>
      <c r="D10" s="38"/>
      <c r="E10" s="38"/>
    </row>
    <row r="11" spans="1:10" x14ac:dyDescent="0.2">
      <c r="B11" s="14" t="s">
        <v>552</v>
      </c>
      <c r="C11" s="6" t="s">
        <v>40</v>
      </c>
      <c r="D11" s="6" t="s">
        <v>108</v>
      </c>
      <c r="E11" s="11">
        <v>1</v>
      </c>
      <c r="G11" s="7">
        <v>2016</v>
      </c>
      <c r="J11" s="30">
        <v>37946</v>
      </c>
    </row>
    <row r="12" spans="1:10" x14ac:dyDescent="0.2">
      <c r="B12" s="38" t="s">
        <v>807</v>
      </c>
      <c r="C12" s="110" t="s">
        <v>806</v>
      </c>
      <c r="D12" s="38" t="s">
        <v>79</v>
      </c>
      <c r="E12" s="38"/>
      <c r="G12" s="38" t="s">
        <v>795</v>
      </c>
    </row>
    <row r="13" spans="1:10" x14ac:dyDescent="0.2">
      <c r="B13" s="38" t="s">
        <v>808</v>
      </c>
      <c r="C13" s="110" t="s">
        <v>809</v>
      </c>
      <c r="D13" s="38" t="s">
        <v>79</v>
      </c>
      <c r="E13" s="38"/>
      <c r="G13" s="38"/>
    </row>
    <row r="14" spans="1:10" x14ac:dyDescent="0.2">
      <c r="B14" s="38" t="s">
        <v>14</v>
      </c>
      <c r="C14" s="38" t="s">
        <v>404</v>
      </c>
      <c r="D14" s="38" t="s">
        <v>406</v>
      </c>
      <c r="E14" s="38" t="s">
        <v>107</v>
      </c>
      <c r="F14" s="11">
        <v>1</v>
      </c>
      <c r="G14" s="30">
        <v>38202</v>
      </c>
      <c r="H14" s="44" t="s">
        <v>549</v>
      </c>
    </row>
    <row r="15" spans="1:10" x14ac:dyDescent="0.2">
      <c r="B15" s="38" t="s">
        <v>73</v>
      </c>
      <c r="C15" s="38"/>
      <c r="D15" s="38" t="s">
        <v>790</v>
      </c>
      <c r="E15" s="38"/>
      <c r="F15" s="11"/>
      <c r="G15" s="30"/>
      <c r="H15" s="37"/>
    </row>
    <row r="16" spans="1:10" x14ac:dyDescent="0.2">
      <c r="B16" s="38" t="s">
        <v>370</v>
      </c>
      <c r="C16" s="38"/>
      <c r="D16" s="38"/>
      <c r="E16" s="38"/>
    </row>
    <row r="17" spans="2:7" x14ac:dyDescent="0.2">
      <c r="B17" s="38" t="s">
        <v>810</v>
      </c>
      <c r="C17" s="110" t="s">
        <v>811</v>
      </c>
      <c r="D17" s="38" t="s">
        <v>194</v>
      </c>
      <c r="E17" s="38"/>
    </row>
    <row r="18" spans="2:7" x14ac:dyDescent="0.2">
      <c r="B18" s="38" t="s">
        <v>763</v>
      </c>
      <c r="C18" s="38"/>
      <c r="D18" s="38" t="s">
        <v>194</v>
      </c>
      <c r="E18" s="38"/>
    </row>
    <row r="19" spans="2:7" x14ac:dyDescent="0.2">
      <c r="B19" s="38" t="s">
        <v>71</v>
      </c>
      <c r="C19" s="38" t="s">
        <v>812</v>
      </c>
      <c r="D19" s="38" t="s">
        <v>786</v>
      </c>
      <c r="E19" s="38"/>
    </row>
    <row r="20" spans="2:7" x14ac:dyDescent="0.2">
      <c r="B20" s="38" t="s">
        <v>783</v>
      </c>
      <c r="C20" s="38" t="s">
        <v>813</v>
      </c>
      <c r="D20" s="38"/>
      <c r="E20" s="38" t="s">
        <v>784</v>
      </c>
    </row>
    <row r="21" spans="2:7" x14ac:dyDescent="0.2">
      <c r="B21" s="38" t="s">
        <v>261</v>
      </c>
      <c r="C21" s="38" t="s">
        <v>435</v>
      </c>
      <c r="D21" s="38" t="s">
        <v>93</v>
      </c>
      <c r="E21" s="38" t="s">
        <v>90</v>
      </c>
      <c r="F21" s="38" t="s">
        <v>436</v>
      </c>
    </row>
    <row r="22" spans="2:7" x14ac:dyDescent="0.2">
      <c r="B22" s="38" t="s">
        <v>794</v>
      </c>
      <c r="C22" s="38"/>
      <c r="D22" s="38" t="s">
        <v>308</v>
      </c>
      <c r="E22" s="38"/>
      <c r="F22" s="38"/>
    </row>
    <row r="23" spans="2:7" x14ac:dyDescent="0.2">
      <c r="B23" s="38" t="s">
        <v>375</v>
      </c>
      <c r="C23" s="38"/>
      <c r="D23" s="38"/>
      <c r="E23" s="38"/>
      <c r="F23" s="38"/>
    </row>
    <row r="24" spans="2:7" x14ac:dyDescent="0.2">
      <c r="B24" s="38" t="s">
        <v>17</v>
      </c>
      <c r="C24" s="38"/>
      <c r="D24" s="38" t="s">
        <v>111</v>
      </c>
      <c r="E24" s="38" t="s">
        <v>110</v>
      </c>
    </row>
    <row r="25" spans="2:7" x14ac:dyDescent="0.2">
      <c r="B25" s="14" t="s">
        <v>550</v>
      </c>
      <c r="C25" s="6" t="s">
        <v>111</v>
      </c>
      <c r="D25" s="6"/>
      <c r="E25" s="40" t="s">
        <v>282</v>
      </c>
      <c r="F25" s="30">
        <v>37586</v>
      </c>
      <c r="G25" s="44" t="s">
        <v>551</v>
      </c>
    </row>
    <row r="26" spans="2:7" x14ac:dyDescent="0.2">
      <c r="B26" s="38" t="s">
        <v>55</v>
      </c>
      <c r="C26" s="38" t="s">
        <v>437</v>
      </c>
      <c r="D26" s="38"/>
      <c r="E26" s="38"/>
    </row>
    <row r="27" spans="2:7" x14ac:dyDescent="0.2">
      <c r="B27" s="38" t="s">
        <v>495</v>
      </c>
      <c r="C27" s="38"/>
      <c r="D27" s="38"/>
      <c r="E27" s="38"/>
    </row>
    <row r="28" spans="2:7" x14ac:dyDescent="0.2">
      <c r="B28" s="38" t="s">
        <v>54</v>
      </c>
      <c r="C28" s="38" t="s">
        <v>814</v>
      </c>
      <c r="D28" s="38" t="s">
        <v>713</v>
      </c>
      <c r="E28" s="38" t="s">
        <v>773</v>
      </c>
    </row>
    <row r="29" spans="2:7" x14ac:dyDescent="0.2">
      <c r="B29" s="38" t="s">
        <v>69</v>
      </c>
      <c r="C29" s="38" t="s">
        <v>815</v>
      </c>
      <c r="D29" s="38" t="s">
        <v>778</v>
      </c>
      <c r="E29" s="38" t="s">
        <v>779</v>
      </c>
    </row>
    <row r="30" spans="2:7" x14ac:dyDescent="0.2">
      <c r="B30" s="38" t="s">
        <v>57</v>
      </c>
      <c r="C30" s="38" t="s">
        <v>772</v>
      </c>
      <c r="D30" s="38" t="s">
        <v>713</v>
      </c>
      <c r="E30" s="38" t="s">
        <v>774</v>
      </c>
    </row>
    <row r="31" spans="2:7" x14ac:dyDescent="0.2">
      <c r="B31" s="38" t="s">
        <v>770</v>
      </c>
      <c r="C31" s="38" t="s">
        <v>816</v>
      </c>
      <c r="D31" s="38" t="s">
        <v>713</v>
      </c>
      <c r="E31" s="38" t="s">
        <v>771</v>
      </c>
    </row>
    <row r="32" spans="2:7" x14ac:dyDescent="0.2">
      <c r="B32" s="38" t="s">
        <v>368</v>
      </c>
      <c r="C32" s="38"/>
      <c r="D32" s="38" t="s">
        <v>36</v>
      </c>
      <c r="E32" s="38"/>
    </row>
    <row r="33" spans="2:8" x14ac:dyDescent="0.2">
      <c r="B33" s="38" t="s">
        <v>766</v>
      </c>
      <c r="C33" s="110" t="s">
        <v>817</v>
      </c>
      <c r="D33" s="38"/>
      <c r="E33" s="38" t="s">
        <v>777</v>
      </c>
    </row>
    <row r="34" spans="2:8" x14ac:dyDescent="0.2">
      <c r="B34" s="38" t="s">
        <v>776</v>
      </c>
      <c r="C34" s="110" t="s">
        <v>817</v>
      </c>
      <c r="D34" s="38"/>
      <c r="E34" s="38" t="s">
        <v>777</v>
      </c>
    </row>
    <row r="35" spans="2:8" x14ac:dyDescent="0.2">
      <c r="B35" s="38" t="s">
        <v>781</v>
      </c>
      <c r="C35" s="110" t="s">
        <v>818</v>
      </c>
      <c r="D35" s="38"/>
      <c r="E35" s="38" t="s">
        <v>785</v>
      </c>
    </row>
    <row r="36" spans="2:8" x14ac:dyDescent="0.2">
      <c r="B36" s="38" t="s">
        <v>782</v>
      </c>
      <c r="C36" s="110" t="s">
        <v>819</v>
      </c>
      <c r="D36" s="38"/>
      <c r="E36" s="38" t="s">
        <v>785</v>
      </c>
    </row>
    <row r="37" spans="2:8" x14ac:dyDescent="0.2">
      <c r="B37" s="38" t="s">
        <v>407</v>
      </c>
      <c r="C37" s="38" t="s">
        <v>408</v>
      </c>
      <c r="D37" s="38" t="s">
        <v>409</v>
      </c>
      <c r="E37" s="38" t="s">
        <v>800</v>
      </c>
      <c r="F37" s="38" t="s">
        <v>265</v>
      </c>
    </row>
    <row r="38" spans="2:8" x14ac:dyDescent="0.2">
      <c r="B38" s="38" t="s">
        <v>64</v>
      </c>
      <c r="C38" s="110" t="s">
        <v>820</v>
      </c>
      <c r="D38" s="38"/>
      <c r="E38" s="38" t="s">
        <v>799</v>
      </c>
      <c r="F38" s="38"/>
    </row>
    <row r="39" spans="2:8" x14ac:dyDescent="0.2">
      <c r="B39" s="38" t="s">
        <v>798</v>
      </c>
      <c r="C39" s="110" t="s">
        <v>821</v>
      </c>
      <c r="D39" s="38"/>
      <c r="E39" s="38" t="s">
        <v>785</v>
      </c>
      <c r="F39" s="38"/>
    </row>
    <row r="40" spans="2:8" x14ac:dyDescent="0.2">
      <c r="B40" s="38" t="s">
        <v>822</v>
      </c>
      <c r="C40" s="110" t="s">
        <v>823</v>
      </c>
      <c r="D40" s="38"/>
      <c r="E40" s="38"/>
      <c r="F40" s="38"/>
    </row>
    <row r="41" spans="2:8" x14ac:dyDescent="0.2">
      <c r="B41" s="38" t="s">
        <v>765</v>
      </c>
      <c r="C41" s="38" t="s">
        <v>824</v>
      </c>
      <c r="D41" s="38"/>
      <c r="E41" s="38" t="s">
        <v>789</v>
      </c>
      <c r="F41" s="38"/>
    </row>
    <row r="42" spans="2:8" x14ac:dyDescent="0.2">
      <c r="B42" s="38" t="s">
        <v>440</v>
      </c>
      <c r="C42" s="38" t="s">
        <v>441</v>
      </c>
      <c r="D42" s="38" t="s">
        <v>239</v>
      </c>
      <c r="E42" s="38" t="s">
        <v>266</v>
      </c>
      <c r="F42" s="38" t="s">
        <v>267</v>
      </c>
    </row>
    <row r="43" spans="2:8" x14ac:dyDescent="0.2">
      <c r="B43" s="38" t="s">
        <v>791</v>
      </c>
      <c r="C43" s="38" t="s">
        <v>825</v>
      </c>
      <c r="D43" s="38" t="s">
        <v>792</v>
      </c>
      <c r="E43" s="38"/>
      <c r="F43" s="38"/>
    </row>
    <row r="44" spans="2:8" x14ac:dyDescent="0.2">
      <c r="B44" s="38" t="s">
        <v>418</v>
      </c>
      <c r="C44" s="38" t="s">
        <v>826</v>
      </c>
      <c r="D44" s="38" t="s">
        <v>769</v>
      </c>
      <c r="E44" s="38"/>
      <c r="F44" s="38"/>
      <c r="G44" s="21" t="s">
        <v>419</v>
      </c>
    </row>
    <row r="45" spans="2:8" x14ac:dyDescent="0.2">
      <c r="B45" s="38" t="s">
        <v>61</v>
      </c>
      <c r="C45" s="38" t="s">
        <v>827</v>
      </c>
      <c r="D45" s="38" t="s">
        <v>37</v>
      </c>
      <c r="E45" s="38"/>
      <c r="F45" s="38"/>
      <c r="G45" s="21"/>
    </row>
    <row r="46" spans="2:8" x14ac:dyDescent="0.2">
      <c r="B46" s="38" t="s">
        <v>496</v>
      </c>
      <c r="C46" s="38"/>
      <c r="D46" s="38"/>
      <c r="E46" s="38"/>
      <c r="F46" s="38"/>
      <c r="G46" s="21"/>
      <c r="H46" s="38" t="s">
        <v>498</v>
      </c>
    </row>
    <row r="47" spans="2:8" x14ac:dyDescent="0.2">
      <c r="B47" s="38" t="s">
        <v>72</v>
      </c>
      <c r="C47" s="38" t="s">
        <v>828</v>
      </c>
      <c r="D47" s="38" t="s">
        <v>787</v>
      </c>
      <c r="E47" s="38"/>
      <c r="F47" s="38" t="s">
        <v>788</v>
      </c>
      <c r="G47" s="21"/>
      <c r="H47" s="38"/>
    </row>
    <row r="48" spans="2:8" x14ac:dyDescent="0.2">
      <c r="B48" s="38" t="s">
        <v>377</v>
      </c>
      <c r="C48" s="38"/>
      <c r="D48" s="38"/>
      <c r="E48" s="38"/>
      <c r="F48" s="38"/>
      <c r="G48" s="21"/>
    </row>
    <row r="49" spans="2:10" x14ac:dyDescent="0.2">
      <c r="B49" s="38" t="s">
        <v>455</v>
      </c>
      <c r="C49" s="38" t="s">
        <v>499</v>
      </c>
      <c r="D49" s="38" t="s">
        <v>453</v>
      </c>
      <c r="E49" s="38"/>
      <c r="F49" s="38"/>
      <c r="G49" s="21"/>
    </row>
    <row r="50" spans="2:10" x14ac:dyDescent="0.2">
      <c r="B50" s="38" t="s">
        <v>15</v>
      </c>
      <c r="C50" s="38" t="s">
        <v>410</v>
      </c>
      <c r="D50" s="38" t="s">
        <v>38</v>
      </c>
      <c r="J50" s="16"/>
    </row>
    <row r="51" spans="2:10" x14ac:dyDescent="0.2">
      <c r="B51" s="38" t="s">
        <v>41</v>
      </c>
      <c r="C51" s="38"/>
      <c r="D51" s="38" t="s">
        <v>414</v>
      </c>
    </row>
    <row r="52" spans="2:10" x14ac:dyDescent="0.2">
      <c r="B52" s="38" t="s">
        <v>443</v>
      </c>
      <c r="C52" s="38" t="s">
        <v>444</v>
      </c>
      <c r="D52" s="38" t="s">
        <v>239</v>
      </c>
      <c r="E52" s="38" t="s">
        <v>442</v>
      </c>
      <c r="F52" s="77">
        <v>1</v>
      </c>
    </row>
    <row r="53" spans="2:10" x14ac:dyDescent="0.2">
      <c r="B53" s="38" t="s">
        <v>780</v>
      </c>
      <c r="C53" s="38" t="s">
        <v>829</v>
      </c>
      <c r="D53" s="38"/>
      <c r="E53" s="38" t="s">
        <v>785</v>
      </c>
      <c r="F53" s="77"/>
    </row>
    <row r="54" spans="2:10" x14ac:dyDescent="0.2">
      <c r="B54" s="38" t="s">
        <v>493</v>
      </c>
      <c r="C54" s="38"/>
      <c r="D54" s="38" t="s">
        <v>36</v>
      </c>
      <c r="E54" s="38"/>
      <c r="F54" s="77"/>
    </row>
    <row r="55" spans="2:10" x14ac:dyDescent="0.2">
      <c r="B55" s="38" t="s">
        <v>463</v>
      </c>
      <c r="C55" s="38" t="s">
        <v>462</v>
      </c>
      <c r="D55" s="38" t="s">
        <v>36</v>
      </c>
      <c r="E55" s="38" t="s">
        <v>118</v>
      </c>
      <c r="F55" s="77"/>
    </row>
    <row r="56" spans="2:10" x14ac:dyDescent="0.2">
      <c r="B56" s="38" t="s">
        <v>66</v>
      </c>
      <c r="C56" s="38" t="s">
        <v>830</v>
      </c>
      <c r="D56" s="38"/>
      <c r="E56" s="38" t="s">
        <v>777</v>
      </c>
      <c r="F56" s="77"/>
      <c r="H56" s="38" t="s">
        <v>767</v>
      </c>
    </row>
    <row r="57" spans="2:10" x14ac:dyDescent="0.2">
      <c r="B57" s="38" t="s">
        <v>793</v>
      </c>
      <c r="C57" s="38" t="s">
        <v>831</v>
      </c>
      <c r="D57" s="38" t="s">
        <v>451</v>
      </c>
      <c r="E57" s="38"/>
      <c r="F57" s="77"/>
      <c r="H57" s="38"/>
    </row>
    <row r="58" spans="2:10" x14ac:dyDescent="0.2">
      <c r="B58" s="38" t="s">
        <v>369</v>
      </c>
      <c r="C58" s="38"/>
      <c r="D58" s="38"/>
      <c r="E58" s="38"/>
      <c r="F58" s="77"/>
    </row>
    <row r="59" spans="2:10" x14ac:dyDescent="0.2">
      <c r="B59" s="38" t="s">
        <v>416</v>
      </c>
      <c r="C59" s="38"/>
      <c r="D59" s="38"/>
      <c r="G59" s="21" t="s">
        <v>417</v>
      </c>
    </row>
    <row r="60" spans="2:10" x14ac:dyDescent="0.2">
      <c r="B60" s="38" t="s">
        <v>7</v>
      </c>
      <c r="C60" s="38" t="s">
        <v>85</v>
      </c>
      <c r="D60" s="38" t="s">
        <v>411</v>
      </c>
      <c r="E60" s="38" t="s">
        <v>412</v>
      </c>
      <c r="G60" s="21" t="s">
        <v>415</v>
      </c>
    </row>
    <row r="61" spans="2:10" x14ac:dyDescent="0.2">
      <c r="B61" s="36" t="s">
        <v>448</v>
      </c>
      <c r="C61" s="37" t="s">
        <v>450</v>
      </c>
      <c r="D61" s="6"/>
      <c r="E61" s="40"/>
      <c r="F61" s="6"/>
      <c r="G61" s="7"/>
    </row>
    <row r="62" spans="2:10" x14ac:dyDescent="0.2">
      <c r="B62" s="36" t="s">
        <v>449</v>
      </c>
      <c r="C62" s="37" t="s">
        <v>450</v>
      </c>
      <c r="D62" s="6"/>
      <c r="E62" s="40"/>
      <c r="F62" s="6"/>
      <c r="G62" s="7"/>
      <c r="J62" s="21"/>
    </row>
    <row r="69" spans="2:8" x14ac:dyDescent="0.2">
      <c r="B69" s="38" t="s">
        <v>402</v>
      </c>
      <c r="C69" s="38" t="s">
        <v>403</v>
      </c>
      <c r="D69" s="38" t="s">
        <v>1</v>
      </c>
      <c r="E69" s="38" t="s">
        <v>405</v>
      </c>
      <c r="F69" s="38" t="s">
        <v>2</v>
      </c>
      <c r="G69" s="38" t="s">
        <v>5</v>
      </c>
      <c r="H69" s="38" t="s">
        <v>474</v>
      </c>
    </row>
    <row r="70" spans="2:8" x14ac:dyDescent="0.2">
      <c r="B70" s="38"/>
      <c r="C70" s="38" t="s">
        <v>481</v>
      </c>
      <c r="D70" s="38" t="s">
        <v>120</v>
      </c>
      <c r="E70" s="38" t="s">
        <v>483</v>
      </c>
      <c r="F70" s="38"/>
      <c r="G70" s="38"/>
      <c r="H70" s="38"/>
    </row>
    <row r="71" spans="2:8" x14ac:dyDescent="0.2">
      <c r="C71" s="38" t="s">
        <v>404</v>
      </c>
      <c r="D71" s="38" t="s">
        <v>39</v>
      </c>
    </row>
    <row r="72" spans="2:8" x14ac:dyDescent="0.2">
      <c r="C72" s="38" t="s">
        <v>49</v>
      </c>
      <c r="D72" s="38" t="s">
        <v>121</v>
      </c>
      <c r="E72" s="38" t="s">
        <v>456</v>
      </c>
    </row>
    <row r="73" spans="2:8" x14ac:dyDescent="0.2">
      <c r="B73" t="s">
        <v>25</v>
      </c>
      <c r="D73" s="53" t="s">
        <v>116</v>
      </c>
      <c r="E73" s="53" t="s">
        <v>191</v>
      </c>
      <c r="F73" s="70" t="s">
        <v>192</v>
      </c>
      <c r="G73" s="53" t="s">
        <v>105</v>
      </c>
    </row>
    <row r="74" spans="2:8" x14ac:dyDescent="0.2">
      <c r="C74" s="38" t="s">
        <v>322</v>
      </c>
      <c r="D74" s="38" t="s">
        <v>37</v>
      </c>
      <c r="E74" s="38" t="s">
        <v>193</v>
      </c>
    </row>
    <row r="75" spans="2:8" x14ac:dyDescent="0.2">
      <c r="B75" s="38"/>
      <c r="C75" s="38" t="s">
        <v>323</v>
      </c>
      <c r="D75" s="71" t="s">
        <v>325</v>
      </c>
      <c r="E75" s="71" t="s">
        <v>324</v>
      </c>
      <c r="F75" s="70">
        <v>1</v>
      </c>
      <c r="G75" s="71" t="s">
        <v>47</v>
      </c>
    </row>
    <row r="76" spans="2:8" x14ac:dyDescent="0.2">
      <c r="B76" s="38" t="s">
        <v>423</v>
      </c>
    </row>
    <row r="77" spans="2:8" x14ac:dyDescent="0.2">
      <c r="B77" s="38" t="s">
        <v>432</v>
      </c>
      <c r="D77" t="s">
        <v>120</v>
      </c>
      <c r="E77" s="38" t="s">
        <v>431</v>
      </c>
    </row>
    <row r="78" spans="2:8" x14ac:dyDescent="0.2">
      <c r="B78" s="38" t="s">
        <v>424</v>
      </c>
    </row>
    <row r="79" spans="2:8" x14ac:dyDescent="0.2">
      <c r="B79" s="38" t="s">
        <v>425</v>
      </c>
    </row>
    <row r="80" spans="2:8" x14ac:dyDescent="0.2">
      <c r="C80" s="38" t="s">
        <v>473</v>
      </c>
      <c r="H80" t="s">
        <v>475</v>
      </c>
    </row>
    <row r="81" spans="2:8" x14ac:dyDescent="0.2">
      <c r="B81" s="38" t="s">
        <v>426</v>
      </c>
    </row>
    <row r="82" spans="2:8" x14ac:dyDescent="0.2">
      <c r="B82" s="38" t="s">
        <v>427</v>
      </c>
    </row>
    <row r="83" spans="2:8" x14ac:dyDescent="0.2">
      <c r="B83" s="38"/>
      <c r="C83" t="s">
        <v>476</v>
      </c>
      <c r="G83" t="s">
        <v>477</v>
      </c>
    </row>
    <row r="84" spans="2:8" x14ac:dyDescent="0.2">
      <c r="B84" s="38" t="s">
        <v>428</v>
      </c>
    </row>
    <row r="85" spans="2:8" x14ac:dyDescent="0.2">
      <c r="B85" s="38"/>
      <c r="C85" s="38" t="s">
        <v>430</v>
      </c>
    </row>
    <row r="86" spans="2:8" x14ac:dyDescent="0.2">
      <c r="B86" s="38"/>
      <c r="C86" t="s">
        <v>422</v>
      </c>
    </row>
    <row r="87" spans="2:8" x14ac:dyDescent="0.2">
      <c r="B87" s="38"/>
    </row>
    <row r="88" spans="2:8" x14ac:dyDescent="0.2">
      <c r="B88" s="38" t="s">
        <v>238</v>
      </c>
      <c r="C88" t="s">
        <v>464</v>
      </c>
      <c r="D88" t="s">
        <v>465</v>
      </c>
      <c r="E88" t="s">
        <v>466</v>
      </c>
    </row>
    <row r="89" spans="2:8" x14ac:dyDescent="0.2">
      <c r="C89" s="38" t="s">
        <v>429</v>
      </c>
    </row>
    <row r="90" spans="2:8" x14ac:dyDescent="0.2">
      <c r="B90" s="5" t="s">
        <v>160</v>
      </c>
      <c r="D90" s="6" t="s">
        <v>159</v>
      </c>
      <c r="E90" s="6" t="s">
        <v>502</v>
      </c>
    </row>
    <row r="91" spans="2:8" x14ac:dyDescent="0.2">
      <c r="B91" s="36" t="s">
        <v>178</v>
      </c>
      <c r="C91" t="s">
        <v>482</v>
      </c>
      <c r="D91" s="6" t="s">
        <v>120</v>
      </c>
      <c r="E91" s="6" t="s">
        <v>179</v>
      </c>
      <c r="F91" s="11">
        <v>1</v>
      </c>
      <c r="G91" s="37" t="s">
        <v>47</v>
      </c>
      <c r="H91" s="44" t="s">
        <v>305</v>
      </c>
    </row>
    <row r="92" spans="2:8" x14ac:dyDescent="0.2">
      <c r="C92" s="36" t="s">
        <v>276</v>
      </c>
      <c r="D92" s="6" t="s">
        <v>280</v>
      </c>
      <c r="E92" s="6" t="s">
        <v>281</v>
      </c>
      <c r="F92" s="11" t="s">
        <v>282</v>
      </c>
      <c r="G92" s="37" t="s">
        <v>283</v>
      </c>
    </row>
    <row r="93" spans="2:8" x14ac:dyDescent="0.2">
      <c r="B93" s="5" t="s">
        <v>204</v>
      </c>
      <c r="D93" s="6" t="s">
        <v>194</v>
      </c>
      <c r="E93" s="6" t="s">
        <v>195</v>
      </c>
      <c r="F93" s="11" t="s">
        <v>205</v>
      </c>
      <c r="G93" s="6" t="s">
        <v>105</v>
      </c>
    </row>
    <row r="94" spans="2:8" x14ac:dyDescent="0.2">
      <c r="B94" s="36" t="s">
        <v>309</v>
      </c>
      <c r="C94" s="37" t="s">
        <v>311</v>
      </c>
      <c r="D94" s="37" t="s">
        <v>310</v>
      </c>
      <c r="E94" s="40" t="s">
        <v>282</v>
      </c>
      <c r="F94" s="37" t="s">
        <v>105</v>
      </c>
      <c r="G94" s="7"/>
    </row>
    <row r="95" spans="2:8" x14ac:dyDescent="0.2">
      <c r="B95" s="36" t="s">
        <v>306</v>
      </c>
      <c r="C95" s="37" t="s">
        <v>308</v>
      </c>
      <c r="D95" s="37" t="s">
        <v>307</v>
      </c>
      <c r="E95" s="40" t="s">
        <v>282</v>
      </c>
      <c r="F95" s="37" t="s">
        <v>105</v>
      </c>
      <c r="G95" s="7"/>
    </row>
    <row r="96" spans="2:8" x14ac:dyDescent="0.2">
      <c r="B96" s="5" t="s">
        <v>134</v>
      </c>
      <c r="D96" s="6" t="s">
        <v>36</v>
      </c>
      <c r="E96" s="6" t="s">
        <v>133</v>
      </c>
      <c r="F96" s="11">
        <v>1</v>
      </c>
      <c r="G96" s="6" t="s">
        <v>105</v>
      </c>
    </row>
    <row r="97" spans="2:8" x14ac:dyDescent="0.2">
      <c r="B97" s="5" t="s">
        <v>188</v>
      </c>
      <c r="D97" s="6" t="s">
        <v>36</v>
      </c>
      <c r="E97" s="6" t="s">
        <v>189</v>
      </c>
      <c r="F97" s="6" t="s">
        <v>190</v>
      </c>
      <c r="G97" s="6" t="s">
        <v>119</v>
      </c>
    </row>
    <row r="98" spans="2:8" x14ac:dyDescent="0.2">
      <c r="B98" s="45" t="s">
        <v>23</v>
      </c>
      <c r="D98" s="8" t="s">
        <v>13</v>
      </c>
      <c r="E98" s="9" t="s">
        <v>106</v>
      </c>
      <c r="F98" s="12">
        <v>1</v>
      </c>
      <c r="G98" s="9" t="s">
        <v>207</v>
      </c>
      <c r="H98" s="10">
        <v>2018</v>
      </c>
    </row>
  </sheetData>
  <hyperlinks>
    <hyperlink ref="A1" location="Main!A1" display="Main" xr:uid="{51C43F83-2157-4729-AD8D-12CA9807EE38}"/>
    <hyperlink ref="B25" location="Forteo!A1" display="Forteo" xr:uid="{00000000-0004-0000-0000-000004000000}"/>
    <hyperlink ref="B11" location="Cialis!A1" display="Cialis" xr:uid="{00000000-0004-0000-0000-000007000000}"/>
    <hyperlink ref="B98" location="Zyprexa!A1" display="Zyprexa Depot" xr:uid="{00000000-0004-0000-0000-00000A000000}"/>
    <hyperlink ref="B4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558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565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5"/>
  <sheetViews>
    <sheetView zoomScale="170" zoomScaleNormal="170" workbookViewId="0">
      <selection activeCell="C9" sqref="C9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950</v>
      </c>
    </row>
    <row r="3" spans="1:11" x14ac:dyDescent="0.2">
      <c r="B3" s="14" t="s">
        <v>506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950.42577800000004</v>
      </c>
      <c r="K3" s="39" t="s">
        <v>515</v>
      </c>
    </row>
    <row r="4" spans="1:11" x14ac:dyDescent="0.2">
      <c r="B4" s="14" t="s">
        <v>518</v>
      </c>
      <c r="C4" s="37" t="s">
        <v>519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902904.48910000001</v>
      </c>
      <c r="K4" s="32"/>
    </row>
    <row r="5" spans="1:11" x14ac:dyDescent="0.2">
      <c r="B5" s="14" t="s">
        <v>503</v>
      </c>
      <c r="C5" s="37" t="s">
        <v>521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6242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28892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925554.48910000001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458</v>
      </c>
    </row>
    <row r="10" spans="1:11" x14ac:dyDescent="0.2">
      <c r="B10" s="36" t="s">
        <v>553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754</v>
      </c>
    </row>
    <row r="11" spans="1:11" x14ac:dyDescent="0.2">
      <c r="B11" s="14" t="s">
        <v>533</v>
      </c>
      <c r="C11" s="37" t="s">
        <v>520</v>
      </c>
      <c r="D11" s="6" t="s">
        <v>486</v>
      </c>
      <c r="E11" s="11">
        <v>1</v>
      </c>
      <c r="F11" s="81">
        <v>44953</v>
      </c>
      <c r="G11" s="44"/>
      <c r="I11" s="21" t="s">
        <v>459</v>
      </c>
    </row>
    <row r="12" spans="1:11" x14ac:dyDescent="0.2">
      <c r="B12" s="14" t="s">
        <v>489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530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554</v>
      </c>
      <c r="G13" s="7"/>
      <c r="I13" s="21" t="s">
        <v>535</v>
      </c>
    </row>
    <row r="14" spans="1:11" x14ac:dyDescent="0.2">
      <c r="B14" s="36" t="s">
        <v>484</v>
      </c>
      <c r="C14" s="37"/>
      <c r="D14" s="37"/>
      <c r="E14" s="40"/>
      <c r="F14" s="30">
        <v>43959</v>
      </c>
      <c r="G14" s="7"/>
      <c r="I14" s="21" t="s">
        <v>797</v>
      </c>
    </row>
    <row r="15" spans="1:11" x14ac:dyDescent="0.2">
      <c r="B15" s="36" t="s">
        <v>439</v>
      </c>
      <c r="C15" s="37" t="s">
        <v>505</v>
      </c>
      <c r="D15" s="37" t="s">
        <v>266</v>
      </c>
      <c r="E15" s="40" t="s">
        <v>267</v>
      </c>
      <c r="F15" s="30">
        <v>43251</v>
      </c>
      <c r="G15" s="7"/>
    </row>
    <row r="16" spans="1:11" x14ac:dyDescent="0.2">
      <c r="B16" s="36" t="s">
        <v>522</v>
      </c>
      <c r="C16" s="37" t="s">
        <v>467</v>
      </c>
      <c r="D16" s="37" t="s">
        <v>523</v>
      </c>
      <c r="E16" s="80" t="s">
        <v>524</v>
      </c>
      <c r="F16" s="37" t="s">
        <v>283</v>
      </c>
      <c r="G16" s="44"/>
      <c r="I16" s="21" t="s">
        <v>559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16" t="s">
        <v>560</v>
      </c>
    </row>
    <row r="19" spans="2:9" x14ac:dyDescent="0.2">
      <c r="B19" s="36" t="s">
        <v>525</v>
      </c>
      <c r="C19" s="37" t="s">
        <v>480</v>
      </c>
      <c r="D19" s="37" t="s">
        <v>526</v>
      </c>
      <c r="E19" s="11" t="s">
        <v>282</v>
      </c>
      <c r="F19" s="81">
        <v>45225</v>
      </c>
      <c r="G19" s="44"/>
      <c r="I19" s="21" t="s">
        <v>561</v>
      </c>
    </row>
    <row r="20" spans="2:9" x14ac:dyDescent="0.2">
      <c r="B20" s="36" t="s">
        <v>748</v>
      </c>
      <c r="C20" s="37" t="s">
        <v>120</v>
      </c>
      <c r="D20" s="37" t="s">
        <v>179</v>
      </c>
      <c r="E20" s="11">
        <v>1</v>
      </c>
      <c r="F20" s="37" t="s">
        <v>47</v>
      </c>
      <c r="G20" s="44"/>
      <c r="I20" s="21" t="s">
        <v>562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  <c r="I22" s="16" t="s">
        <v>563</v>
      </c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21" t="s">
        <v>564</v>
      </c>
    </row>
    <row r="24" spans="2:9" x14ac:dyDescent="0.2">
      <c r="B24" s="36" t="s">
        <v>487</v>
      </c>
      <c r="C24" s="6" t="s">
        <v>488</v>
      </c>
      <c r="D24" s="6"/>
      <c r="E24" s="11"/>
      <c r="F24" s="37" t="s">
        <v>47</v>
      </c>
      <c r="G24" s="44"/>
    </row>
    <row r="25" spans="2:9" x14ac:dyDescent="0.2">
      <c r="B25" s="36" t="s">
        <v>732</v>
      </c>
      <c r="C25" s="37" t="s">
        <v>120</v>
      </c>
      <c r="D25" s="6"/>
      <c r="E25" s="11"/>
      <c r="F25" s="37" t="s">
        <v>47</v>
      </c>
      <c r="G25" s="44"/>
    </row>
    <row r="26" spans="2:9" x14ac:dyDescent="0.2">
      <c r="B26" s="36" t="s">
        <v>712</v>
      </c>
      <c r="C26" s="37" t="s">
        <v>239</v>
      </c>
      <c r="D26" s="6" t="s">
        <v>501</v>
      </c>
      <c r="E26" s="11" t="s">
        <v>500</v>
      </c>
      <c r="F26" s="37" t="s">
        <v>105</v>
      </c>
      <c r="G26" s="7"/>
    </row>
    <row r="27" spans="2:9" x14ac:dyDescent="0.2">
      <c r="B27" s="36" t="s">
        <v>567</v>
      </c>
      <c r="C27" s="37" t="s">
        <v>519</v>
      </c>
      <c r="D27" s="6"/>
      <c r="E27" s="11"/>
      <c r="F27" s="37" t="s">
        <v>105</v>
      </c>
      <c r="G27" s="7"/>
    </row>
    <row r="28" spans="2:9" x14ac:dyDescent="0.2">
      <c r="B28" s="36" t="s">
        <v>570</v>
      </c>
      <c r="C28" s="37" t="s">
        <v>713</v>
      </c>
      <c r="D28" s="6"/>
      <c r="E28" s="11"/>
      <c r="F28" s="37" t="s">
        <v>47</v>
      </c>
      <c r="G28" s="7"/>
    </row>
    <row r="29" spans="2:9" x14ac:dyDescent="0.2">
      <c r="B29" s="36" t="s">
        <v>569</v>
      </c>
      <c r="C29" s="37" t="s">
        <v>714</v>
      </c>
      <c r="D29" s="6"/>
      <c r="E29" s="11"/>
      <c r="F29" s="37" t="s">
        <v>47</v>
      </c>
      <c r="G29" s="7"/>
    </row>
    <row r="30" spans="2:9" x14ac:dyDescent="0.2">
      <c r="B30" s="36" t="s">
        <v>568</v>
      </c>
      <c r="C30" s="37" t="s">
        <v>519</v>
      </c>
      <c r="D30" s="6"/>
      <c r="E30" s="11"/>
      <c r="F30" s="37" t="s">
        <v>105</v>
      </c>
      <c r="G30" s="7"/>
    </row>
    <row r="31" spans="2:9" x14ac:dyDescent="0.2">
      <c r="B31" s="36" t="s">
        <v>715</v>
      </c>
      <c r="C31" s="37" t="s">
        <v>519</v>
      </c>
      <c r="D31" s="6"/>
      <c r="E31" s="11"/>
      <c r="F31" s="37" t="s">
        <v>105</v>
      </c>
      <c r="G31" s="7"/>
    </row>
    <row r="32" spans="2:9" x14ac:dyDescent="0.2">
      <c r="B32" s="36" t="s">
        <v>716</v>
      </c>
      <c r="C32" s="37" t="s">
        <v>717</v>
      </c>
      <c r="D32" s="6"/>
      <c r="E32" s="11"/>
      <c r="F32" s="37" t="s">
        <v>47</v>
      </c>
      <c r="G32" s="7"/>
    </row>
    <row r="33" spans="2:9" x14ac:dyDescent="0.2">
      <c r="B33" s="36" t="s">
        <v>744</v>
      </c>
      <c r="C33" s="37" t="s">
        <v>745</v>
      </c>
      <c r="D33" s="6"/>
      <c r="E33" s="11"/>
      <c r="F33" s="37" t="s">
        <v>47</v>
      </c>
      <c r="G33" s="7"/>
    </row>
    <row r="34" spans="2:9" x14ac:dyDescent="0.2">
      <c r="B34" s="36" t="s">
        <v>718</v>
      </c>
      <c r="C34" s="37" t="s">
        <v>719</v>
      </c>
      <c r="D34" s="6"/>
      <c r="E34" s="11"/>
      <c r="F34" s="37" t="s">
        <v>105</v>
      </c>
      <c r="G34" s="7"/>
      <c r="I34" s="21" t="s">
        <v>546</v>
      </c>
    </row>
    <row r="35" spans="2:9" x14ac:dyDescent="0.2">
      <c r="B35" s="36" t="s">
        <v>720</v>
      </c>
      <c r="C35" s="37" t="s">
        <v>719</v>
      </c>
      <c r="D35" s="6"/>
      <c r="E35" s="11"/>
      <c r="F35" s="37" t="s">
        <v>105</v>
      </c>
      <c r="G35" s="7"/>
    </row>
    <row r="36" spans="2:9" x14ac:dyDescent="0.2">
      <c r="B36" s="36"/>
      <c r="C36" s="37" t="s">
        <v>724</v>
      </c>
      <c r="D36" s="37" t="s">
        <v>723</v>
      </c>
      <c r="E36" s="11"/>
      <c r="F36" s="37"/>
      <c r="G36" s="7"/>
    </row>
    <row r="37" spans="2:9" x14ac:dyDescent="0.2">
      <c r="B37" s="36" t="s">
        <v>721</v>
      </c>
      <c r="C37" s="37" t="s">
        <v>722</v>
      </c>
      <c r="D37" s="6"/>
      <c r="E37" s="11"/>
      <c r="F37" s="37" t="s">
        <v>105</v>
      </c>
      <c r="G37" s="7"/>
    </row>
    <row r="38" spans="2:9" x14ac:dyDescent="0.2">
      <c r="B38" s="36" t="s">
        <v>725</v>
      </c>
      <c r="C38" s="37" t="s">
        <v>445</v>
      </c>
      <c r="D38" s="6"/>
      <c r="E38" s="11"/>
      <c r="F38" s="37" t="s">
        <v>105</v>
      </c>
      <c r="G38" s="7"/>
    </row>
    <row r="39" spans="2:9" x14ac:dyDescent="0.2">
      <c r="B39" s="36" t="s">
        <v>726</v>
      </c>
      <c r="C39" s="37" t="s">
        <v>727</v>
      </c>
      <c r="D39" s="6"/>
      <c r="E39" s="11"/>
      <c r="F39" s="37" t="s">
        <v>105</v>
      </c>
      <c r="G39" s="7"/>
    </row>
    <row r="40" spans="2:9" x14ac:dyDescent="0.2">
      <c r="B40" s="36"/>
      <c r="C40" s="37" t="s">
        <v>445</v>
      </c>
      <c r="D40" s="37" t="s">
        <v>728</v>
      </c>
      <c r="E40" s="11"/>
      <c r="F40" s="37" t="s">
        <v>105</v>
      </c>
      <c r="G40" s="7"/>
    </row>
    <row r="41" spans="2:9" x14ac:dyDescent="0.2">
      <c r="B41" s="36" t="s">
        <v>729</v>
      </c>
      <c r="C41" s="37" t="s">
        <v>239</v>
      </c>
      <c r="D41" s="37"/>
      <c r="E41" s="11"/>
      <c r="F41" s="37" t="s">
        <v>105</v>
      </c>
      <c r="G41" s="7"/>
    </row>
    <row r="42" spans="2:9" x14ac:dyDescent="0.2">
      <c r="B42" s="36" t="s">
        <v>730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741</v>
      </c>
      <c r="C43" s="37" t="s">
        <v>742</v>
      </c>
      <c r="D43" s="37" t="s">
        <v>743</v>
      </c>
      <c r="E43" s="40"/>
      <c r="F43" s="37" t="s">
        <v>105</v>
      </c>
      <c r="G43" s="7"/>
    </row>
    <row r="44" spans="2:9" x14ac:dyDescent="0.2">
      <c r="B44" s="36" t="s">
        <v>731</v>
      </c>
      <c r="C44" s="37" t="s">
        <v>467</v>
      </c>
      <c r="D44" s="37"/>
      <c r="E44" s="11"/>
      <c r="F44" s="37" t="s">
        <v>105</v>
      </c>
      <c r="G44" s="7"/>
    </row>
    <row r="45" spans="2:9" x14ac:dyDescent="0.2">
      <c r="B45" s="36" t="s">
        <v>738</v>
      </c>
      <c r="C45" s="37" t="s">
        <v>120</v>
      </c>
      <c r="D45" s="37" t="s">
        <v>738</v>
      </c>
      <c r="E45" s="11"/>
      <c r="F45" s="37" t="s">
        <v>105</v>
      </c>
      <c r="G45" s="7"/>
    </row>
    <row r="46" spans="2:9" x14ac:dyDescent="0.2">
      <c r="B46" s="36" t="s">
        <v>739</v>
      </c>
      <c r="C46" s="37" t="s">
        <v>194</v>
      </c>
      <c r="D46" s="37"/>
      <c r="E46" s="11"/>
      <c r="F46" s="37" t="s">
        <v>105</v>
      </c>
      <c r="G46" s="7"/>
    </row>
    <row r="47" spans="2:9" x14ac:dyDescent="0.2">
      <c r="B47" s="36" t="s">
        <v>740</v>
      </c>
      <c r="C47" s="37" t="s">
        <v>194</v>
      </c>
      <c r="D47" s="37"/>
      <c r="E47" s="11"/>
      <c r="F47" s="37" t="s">
        <v>105</v>
      </c>
      <c r="G47" s="7"/>
    </row>
    <row r="48" spans="2:9" x14ac:dyDescent="0.2">
      <c r="B48" s="36" t="s">
        <v>566</v>
      </c>
      <c r="C48" s="37" t="s">
        <v>733</v>
      </c>
      <c r="D48" s="37" t="s">
        <v>735</v>
      </c>
      <c r="E48" s="40"/>
      <c r="F48" s="37" t="s">
        <v>105</v>
      </c>
      <c r="G48" s="7"/>
      <c r="I48" s="21"/>
    </row>
    <row r="49" spans="2:9" x14ac:dyDescent="0.2">
      <c r="B49" s="36" t="s">
        <v>734</v>
      </c>
      <c r="C49" s="37" t="s">
        <v>737</v>
      </c>
      <c r="D49" s="37" t="s">
        <v>736</v>
      </c>
      <c r="E49" s="40"/>
      <c r="F49" s="37" t="s">
        <v>105</v>
      </c>
      <c r="G49" s="7"/>
      <c r="I49" s="21"/>
    </row>
    <row r="50" spans="2:9" x14ac:dyDescent="0.2">
      <c r="B50" s="69" t="s">
        <v>528</v>
      </c>
      <c r="C50" s="72" t="s">
        <v>529</v>
      </c>
      <c r="D50" s="72"/>
      <c r="E50" s="73"/>
      <c r="F50" s="72" t="s">
        <v>105</v>
      </c>
      <c r="G50" s="10"/>
    </row>
    <row r="52" spans="2:9" x14ac:dyDescent="0.2">
      <c r="E52" s="21" t="s">
        <v>749</v>
      </c>
    </row>
    <row r="53" spans="2:9" x14ac:dyDescent="0.2">
      <c r="E53" s="21" t="s">
        <v>545</v>
      </c>
      <c r="F53" s="33"/>
    </row>
    <row r="54" spans="2:9" x14ac:dyDescent="0.2">
      <c r="E54" s="21" t="s">
        <v>531</v>
      </c>
      <c r="F54" s="34"/>
    </row>
    <row r="55" spans="2:9" x14ac:dyDescent="0.2">
      <c r="B55" s="74"/>
      <c r="C55" s="74"/>
      <c r="E55" s="21" t="s">
        <v>504</v>
      </c>
      <c r="F55" s="33"/>
    </row>
    <row r="56" spans="2:9" x14ac:dyDescent="0.2">
      <c r="B56" s="75"/>
      <c r="F56" s="33"/>
    </row>
    <row r="57" spans="2:9" x14ac:dyDescent="0.2">
      <c r="B57" s="75"/>
      <c r="C57" s="75"/>
    </row>
    <row r="58" spans="2:9" x14ac:dyDescent="0.2">
      <c r="B58" s="75"/>
      <c r="C58" s="75"/>
    </row>
    <row r="59" spans="2:9" x14ac:dyDescent="0.2">
      <c r="B59" s="75"/>
      <c r="C59" s="75"/>
    </row>
    <row r="60" spans="2:9" x14ac:dyDescent="0.2">
      <c r="B60" s="75"/>
      <c r="C60" s="75"/>
    </row>
    <row r="61" spans="2:9" x14ac:dyDescent="0.2">
      <c r="B61" s="76"/>
      <c r="C61" s="75"/>
    </row>
    <row r="62" spans="2:9" x14ac:dyDescent="0.2">
      <c r="B62" s="76"/>
      <c r="C62" s="75"/>
    </row>
    <row r="63" spans="2:9" x14ac:dyDescent="0.2">
      <c r="B63" s="76"/>
      <c r="C63" s="75"/>
    </row>
    <row r="64" spans="2:9" x14ac:dyDescent="0.2">
      <c r="B64" s="75"/>
      <c r="C64" s="75"/>
    </row>
    <row r="65" spans="2:3" x14ac:dyDescent="0.2">
      <c r="B65" s="75"/>
      <c r="C65" s="75"/>
    </row>
    <row r="66" spans="2:3" x14ac:dyDescent="0.2">
      <c r="B66" s="76"/>
      <c r="C66" s="75"/>
    </row>
    <row r="67" spans="2:3" x14ac:dyDescent="0.2">
      <c r="B67" s="75"/>
    </row>
    <row r="68" spans="2:3" x14ac:dyDescent="0.2">
      <c r="B68" s="75"/>
    </row>
    <row r="70" spans="2:3" x14ac:dyDescent="0.2">
      <c r="B70" s="75"/>
    </row>
    <row r="71" spans="2:3" x14ac:dyDescent="0.2">
      <c r="C71" s="75"/>
    </row>
    <row r="73" spans="2:3" x14ac:dyDescent="0.2">
      <c r="B73" s="75"/>
    </row>
    <row r="75" spans="2:3" x14ac:dyDescent="0.2">
      <c r="C75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49"/>
  <sheetViews>
    <sheetView tabSelected="1" zoomScale="145" zoomScaleNormal="14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D45" sqref="D45"/>
    </sheetView>
  </sheetViews>
  <sheetFormatPr defaultColWidth="8.85546875" defaultRowHeight="12.75" x14ac:dyDescent="0.2"/>
  <cols>
    <col min="1" max="1" width="5.28515625" customWidth="1"/>
    <col min="2" max="2" width="18.85546875" customWidth="1"/>
    <col min="3" max="53" width="7" style="47" customWidth="1"/>
    <col min="54" max="54" width="6.710937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28515625" style="47" customWidth="1"/>
    <col min="127" max="127" width="4.28515625" customWidth="1"/>
    <col min="128" max="143" width="6.7109375" customWidth="1"/>
    <col min="144" max="144" width="6.7109375" style="47" customWidth="1"/>
    <col min="145" max="152" width="6.42578125" style="47" bestFit="1" customWidth="1"/>
    <col min="153" max="153" width="7" style="47" bestFit="1" customWidth="1"/>
    <col min="154" max="154" width="6.42578125" style="47" bestFit="1" customWidth="1"/>
    <col min="155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3" width="7.7109375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846</v>
      </c>
      <c r="D2" s="48" t="s">
        <v>847</v>
      </c>
      <c r="E2" s="48" t="s">
        <v>848</v>
      </c>
      <c r="F2" s="48" t="s">
        <v>849</v>
      </c>
      <c r="G2" s="48" t="s">
        <v>842</v>
      </c>
      <c r="H2" s="48" t="s">
        <v>843</v>
      </c>
      <c r="I2" s="48" t="s">
        <v>844</v>
      </c>
      <c r="J2" s="48" t="s">
        <v>845</v>
      </c>
      <c r="K2" s="48" t="s">
        <v>838</v>
      </c>
      <c r="L2" s="48" t="s">
        <v>839</v>
      </c>
      <c r="M2" s="48" t="s">
        <v>840</v>
      </c>
      <c r="N2" s="48" t="s">
        <v>841</v>
      </c>
      <c r="O2" s="48" t="s">
        <v>834</v>
      </c>
      <c r="P2" s="48" t="s">
        <v>835</v>
      </c>
      <c r="Q2" s="48" t="s">
        <v>836</v>
      </c>
      <c r="R2" s="48" t="s">
        <v>837</v>
      </c>
      <c r="S2" s="48" t="s">
        <v>832</v>
      </c>
      <c r="T2" s="48" t="s">
        <v>833</v>
      </c>
      <c r="U2" s="48" t="s">
        <v>663</v>
      </c>
      <c r="V2" s="48" t="s">
        <v>662</v>
      </c>
      <c r="W2" s="48" t="s">
        <v>650</v>
      </c>
      <c r="X2" s="48" t="s">
        <v>661</v>
      </c>
      <c r="Y2" s="48" t="s">
        <v>660</v>
      </c>
      <c r="Z2" s="48" t="s">
        <v>659</v>
      </c>
      <c r="AA2" s="48" t="s">
        <v>658</v>
      </c>
      <c r="AB2" s="48" t="s">
        <v>657</v>
      </c>
      <c r="AC2" s="48" t="s">
        <v>656</v>
      </c>
      <c r="AD2" s="48" t="s">
        <v>655</v>
      </c>
      <c r="AE2" s="48" t="s">
        <v>654</v>
      </c>
      <c r="AF2" s="48" t="s">
        <v>653</v>
      </c>
      <c r="AG2" s="48" t="s">
        <v>652</v>
      </c>
      <c r="AH2" s="48" t="s">
        <v>651</v>
      </c>
      <c r="AI2" s="48" t="s">
        <v>513</v>
      </c>
      <c r="AJ2" s="48" t="s">
        <v>512</v>
      </c>
      <c r="AK2" s="48" t="s">
        <v>511</v>
      </c>
      <c r="AL2" s="48" t="s">
        <v>510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514</v>
      </c>
      <c r="DP2" s="48" t="s">
        <v>515</v>
      </c>
      <c r="DQ2" s="48" t="s">
        <v>516</v>
      </c>
      <c r="DR2" s="48" t="s">
        <v>517</v>
      </c>
      <c r="DS2" s="48" t="s">
        <v>693</v>
      </c>
      <c r="DT2" s="48" t="s">
        <v>694</v>
      </c>
      <c r="DU2" s="48" t="s">
        <v>695</v>
      </c>
      <c r="DV2" s="48" t="s">
        <v>696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R3" si="4">SUM(DO5:DO7)</f>
        <v>3780.2000000000003</v>
      </c>
      <c r="DP3" s="52">
        <f t="shared" si="4"/>
        <v>5579.5999999999995</v>
      </c>
      <c r="DQ3" s="52">
        <f t="shared" si="4"/>
        <v>5979.5999999999995</v>
      </c>
      <c r="DR3" s="52">
        <f t="shared" si="4"/>
        <v>6379.5999999999995</v>
      </c>
      <c r="DS3" s="52"/>
      <c r="DT3" s="52"/>
      <c r="DU3" s="52"/>
      <c r="DV3" s="5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21719</v>
      </c>
      <c r="FL3" s="56">
        <f t="shared" si="5"/>
        <v>28204.705000000002</v>
      </c>
      <c r="FM3" s="56">
        <f t="shared" si="5"/>
        <v>37394.786749999999</v>
      </c>
      <c r="FN3" s="56">
        <f t="shared" si="5"/>
        <v>50365.491212499997</v>
      </c>
      <c r="FO3" s="56">
        <f t="shared" si="5"/>
        <v>59389.784051874987</v>
      </c>
      <c r="FP3" s="56">
        <f t="shared" si="5"/>
        <v>64730.943377281248</v>
      </c>
      <c r="FQ3" s="56">
        <f>SUM(FQ5:FQ7)</f>
        <v>70446.800213953131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f>+DP5-100</f>
        <v>1145.5999999999999</v>
      </c>
      <c r="DR5" s="52">
        <f>+DQ5-100</f>
        <v>1045.5999999999999</v>
      </c>
      <c r="DS5" s="52"/>
      <c r="DT5" s="52"/>
      <c r="DU5" s="52"/>
      <c r="DV5" s="52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4893.0999999999995</v>
      </c>
      <c r="FL5" s="49">
        <f>+FK5*0.95</f>
        <v>4648.4449999999997</v>
      </c>
      <c r="FM5" s="49">
        <f>+FL5*0.95</f>
        <v>4416.0227499999992</v>
      </c>
      <c r="FN5" s="49">
        <f>+FM5*0.95</f>
        <v>4195.2216124999986</v>
      </c>
      <c r="FO5" s="49">
        <f>+FN5*0.95</f>
        <v>3985.4605318749987</v>
      </c>
      <c r="FP5" s="49">
        <f>+FO5*0.95</f>
        <v>3786.1875052812484</v>
      </c>
      <c r="FQ5" s="49">
        <f>+FP5*0.9</f>
        <v>3407.5687547531238</v>
      </c>
    </row>
    <row r="6" spans="1:178" s="49" customFormat="1" x14ac:dyDescent="0.2">
      <c r="A6" s="98"/>
      <c r="B6" s="50" t="s">
        <v>507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f>+DP6+300</f>
        <v>3390.8</v>
      </c>
      <c r="DR6" s="52">
        <f>+DQ6+300</f>
        <v>3690.8</v>
      </c>
      <c r="DS6" s="52"/>
      <c r="DT6" s="52"/>
      <c r="DU6" s="52"/>
      <c r="DV6" s="52"/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2" si="6">SUM(DG6:DJ6)</f>
        <v>482.5</v>
      </c>
      <c r="FJ6" s="49">
        <f t="shared" ref="FJ6:FJ32" si="7">SUM(DK6:DN6)</f>
        <v>5163.1000000000004</v>
      </c>
      <c r="FK6" s="49">
        <f>SUM(Model!DO6:DR6)</f>
        <v>11978.900000000001</v>
      </c>
      <c r="FL6" s="49">
        <f t="shared" ref="FL6:FN7" si="8">FK6*1.4</f>
        <v>16770.460000000003</v>
      </c>
      <c r="FM6" s="49">
        <f t="shared" si="8"/>
        <v>23478.644000000004</v>
      </c>
      <c r="FN6" s="49">
        <f t="shared" si="8"/>
        <v>32870.101600000002</v>
      </c>
      <c r="FO6" s="49">
        <f>FN6*1.2</f>
        <v>39444.121919999998</v>
      </c>
      <c r="FP6" s="49">
        <f t="shared" ref="FP6:FP7" si="9">FO6*1.1</f>
        <v>43388.534112000001</v>
      </c>
      <c r="FQ6" s="49">
        <f>+FP6*1.1</f>
        <v>47727.387523200006</v>
      </c>
    </row>
    <row r="7" spans="1:178" s="49" customFormat="1" x14ac:dyDescent="0.2">
      <c r="A7" s="98"/>
      <c r="B7" s="50" t="s">
        <v>527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f>DP7+200</f>
        <v>1443.2</v>
      </c>
      <c r="DR7" s="52">
        <f>DQ7+200</f>
        <v>1643.2</v>
      </c>
      <c r="DS7" s="52"/>
      <c r="DT7" s="52"/>
      <c r="DU7" s="52"/>
      <c r="DV7" s="52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4847</v>
      </c>
      <c r="FL7" s="49">
        <f t="shared" si="8"/>
        <v>6785.7999999999993</v>
      </c>
      <c r="FM7" s="49">
        <f t="shared" si="8"/>
        <v>9500.119999999999</v>
      </c>
      <c r="FN7" s="49">
        <f t="shared" si="8"/>
        <v>13300.167999999998</v>
      </c>
      <c r="FO7" s="49">
        <f>FN7*1.2</f>
        <v>15960.201599999997</v>
      </c>
      <c r="FP7" s="49">
        <f t="shared" si="9"/>
        <v>17556.221759999997</v>
      </c>
      <c r="FQ7" s="49">
        <f>+FP7*1.1</f>
        <v>19311.843935999997</v>
      </c>
    </row>
    <row r="8" spans="1:178" s="49" customFormat="1" x14ac:dyDescent="0.2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35" si="10">SUM(CY8:DB8)</f>
        <v>871.2</v>
      </c>
      <c r="FH8" s="49">
        <f t="shared" ref="FH8:FH35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2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</v>
      </c>
      <c r="DP9" s="52">
        <v>824.7</v>
      </c>
      <c r="DQ9" s="52">
        <f t="shared" ref="DQ9:DR11" si="12">+DP9+20</f>
        <v>844.7</v>
      </c>
      <c r="DR9" s="52">
        <f t="shared" si="12"/>
        <v>864.7</v>
      </c>
      <c r="DS9" s="52"/>
      <c r="DT9" s="52"/>
      <c r="DU9" s="52"/>
      <c r="DV9" s="52"/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3">SUM(CM9:CP9)</f>
        <v>559.1</v>
      </c>
      <c r="FE9" s="49">
        <f t="shared" ref="FE9:FE19" si="14">SUM(CQ9:CT9)</f>
        <v>937.5</v>
      </c>
      <c r="FF9" s="49">
        <f t="shared" ref="FF9:FF35" si="15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3138.1000000000004</v>
      </c>
      <c r="FL9" s="49">
        <f>+FK9*1.2</f>
        <v>3765.7200000000003</v>
      </c>
      <c r="FM9" s="49">
        <f>+FL9*1.2</f>
        <v>4518.8640000000005</v>
      </c>
      <c r="FN9" s="49">
        <f>+FM9*1.1</f>
        <v>4970.7504000000008</v>
      </c>
      <c r="FO9" s="49">
        <f>+FN9*1.1</f>
        <v>5467.8254400000014</v>
      </c>
      <c r="FP9" s="49">
        <f>+FO9*1.1</f>
        <v>6014.607984000002</v>
      </c>
      <c r="FQ9" s="49">
        <f>+FP9*1.05</f>
        <v>6315.3383832000027</v>
      </c>
    </row>
    <row r="10" spans="1:178" x14ac:dyDescent="0.2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f t="shared" si="12"/>
        <v>1351.9</v>
      </c>
      <c r="DR10" s="51">
        <f t="shared" si="12"/>
        <v>1371.9</v>
      </c>
      <c r="DS10" s="51"/>
      <c r="DT10" s="51"/>
      <c r="DU10" s="51"/>
      <c r="DV10" s="51"/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3"/>
        <v>21</v>
      </c>
      <c r="FE10" s="49">
        <f t="shared" si="14"/>
        <v>255</v>
      </c>
      <c r="FF10" s="49">
        <f t="shared" si="15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5106</v>
      </c>
      <c r="FL10" s="49">
        <f>+FK10*1.01</f>
        <v>5157.0600000000004</v>
      </c>
      <c r="FM10" s="49">
        <f>+FL10*1.01</f>
        <v>5208.6306000000004</v>
      </c>
      <c r="FN10" s="49">
        <f>+FM10*1.01</f>
        <v>5260.7169060000006</v>
      </c>
      <c r="FO10" s="49">
        <f>+FN10*1.01</f>
        <v>5313.3240750600007</v>
      </c>
      <c r="FP10" s="49">
        <f>+FO10*1.01</f>
        <v>5366.4573158106004</v>
      </c>
      <c r="FQ10" s="49">
        <f>+FP10*0.1</f>
        <v>536.64573158106009</v>
      </c>
    </row>
    <row r="11" spans="1:178" x14ac:dyDescent="0.2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f t="shared" si="12"/>
        <v>789.6</v>
      </c>
      <c r="DR11" s="51">
        <f t="shared" si="12"/>
        <v>809.6</v>
      </c>
      <c r="DS11" s="51"/>
      <c r="DT11" s="51"/>
      <c r="DU11" s="51"/>
      <c r="DV11" s="51"/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3"/>
        <v>447.59999999999997</v>
      </c>
      <c r="FE11" s="49">
        <f t="shared" si="14"/>
        <v>658.3</v>
      </c>
      <c r="FF11" s="49">
        <f t="shared" si="15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3055.2999999999997</v>
      </c>
      <c r="FL11" s="49">
        <f>+FK11*1.2</f>
        <v>3666.3599999999997</v>
      </c>
      <c r="FM11" s="49">
        <f>+FL11*1.2</f>
        <v>4399.6319999999996</v>
      </c>
      <c r="FN11" s="49">
        <f>+FM11*1.1</f>
        <v>4839.5951999999997</v>
      </c>
      <c r="FO11" s="49">
        <f>+FN11*1.1</f>
        <v>5323.5547200000001</v>
      </c>
      <c r="FP11" s="49">
        <f>+FO11*1.1</f>
        <v>5855.9101920000003</v>
      </c>
      <c r="FQ11" s="49">
        <f>+FP11*0.1</f>
        <v>585.59101920000001</v>
      </c>
    </row>
    <row r="12" spans="1:178" x14ac:dyDescent="0.2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f>+DP12-5</f>
        <v>626.6</v>
      </c>
      <c r="DR12" s="51">
        <f>+DQ12-5</f>
        <v>621.6</v>
      </c>
      <c r="DS12" s="51"/>
      <c r="DT12" s="51"/>
      <c r="DU12" s="51"/>
      <c r="DV12" s="51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3"/>
        <v>2865.2</v>
      </c>
      <c r="FE12" s="49">
        <f t="shared" si="14"/>
        <v>2996.5</v>
      </c>
      <c r="FF12" s="49">
        <f t="shared" si="15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2418.5</v>
      </c>
      <c r="FL12" s="49">
        <f t="shared" ref="FL12:FQ12" si="16">+FK12*0.95</f>
        <v>2297.5749999999998</v>
      </c>
      <c r="FM12" s="49">
        <f t="shared" si="16"/>
        <v>2182.6962499999995</v>
      </c>
      <c r="FN12" s="49">
        <f t="shared" si="16"/>
        <v>2073.5614374999996</v>
      </c>
      <c r="FO12" s="49">
        <f t="shared" si="16"/>
        <v>1969.8833656249994</v>
      </c>
      <c r="FP12" s="49">
        <f t="shared" si="16"/>
        <v>1871.3891973437494</v>
      </c>
      <c r="FQ12" s="49">
        <f t="shared" si="16"/>
        <v>1777.8197374765618</v>
      </c>
    </row>
    <row r="13" spans="1:178" x14ac:dyDescent="0.2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/>
      <c r="DP13" s="51"/>
      <c r="DQ13" s="51"/>
      <c r="DR13" s="51"/>
      <c r="DS13" s="51"/>
      <c r="DT13" s="51"/>
      <c r="DU13" s="51"/>
      <c r="DV13" s="51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3"/>
        <v>2062.5</v>
      </c>
      <c r="FE13" s="49">
        <f t="shared" si="14"/>
        <v>2132.9</v>
      </c>
      <c r="FF13" s="49">
        <f t="shared" si="15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0</v>
      </c>
      <c r="FL13" s="49">
        <f t="shared" ref="FL13:FQ13" si="17">+FK13*0.5</f>
        <v>0</v>
      </c>
      <c r="FM13" s="49">
        <f t="shared" si="17"/>
        <v>0</v>
      </c>
      <c r="FN13" s="49">
        <f t="shared" si="17"/>
        <v>0</v>
      </c>
      <c r="FO13" s="49">
        <f t="shared" si="17"/>
        <v>0</v>
      </c>
      <c r="FP13" s="49">
        <f t="shared" si="17"/>
        <v>0</v>
      </c>
      <c r="FQ13" s="49">
        <f t="shared" si="17"/>
        <v>0</v>
      </c>
    </row>
    <row r="14" spans="1:178" x14ac:dyDescent="0.2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/>
      <c r="DR14" s="51"/>
      <c r="DS14" s="51"/>
      <c r="DT14" s="51"/>
      <c r="DU14" s="51"/>
      <c r="DV14" s="51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39" si="19">SUM(BC14:BF14)</f>
        <v>1063.0999999999999</v>
      </c>
      <c r="EV14" s="51">
        <f t="shared" ref="EV14:EV39" si="20">SUM(BG14:BJ14)</f>
        <v>1022.0999999999999</v>
      </c>
      <c r="EW14" s="51">
        <f t="shared" ref="EW14:EW39" si="21">SUM(BK14:BN14)</f>
        <v>1088.9000000000001</v>
      </c>
      <c r="EX14" s="51">
        <f t="shared" ref="EX14:EX40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3"/>
        <v>1335.4</v>
      </c>
      <c r="FE14" s="49">
        <f t="shared" si="14"/>
        <v>1331.4</v>
      </c>
      <c r="FF14" s="49">
        <f t="shared" si="15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429.79999999999995</v>
      </c>
      <c r="FL14" s="49">
        <f t="shared" ref="FL14:FQ14" si="23">+FK14*0.95</f>
        <v>408.30999999999995</v>
      </c>
      <c r="FM14" s="49">
        <f t="shared" si="23"/>
        <v>387.89449999999994</v>
      </c>
      <c r="FN14" s="49">
        <f t="shared" si="23"/>
        <v>368.49977499999994</v>
      </c>
      <c r="FO14" s="49">
        <f t="shared" si="23"/>
        <v>350.07478624999993</v>
      </c>
      <c r="FP14" s="49">
        <f t="shared" si="23"/>
        <v>332.57104693749994</v>
      </c>
      <c r="FQ14" s="49">
        <f t="shared" si="23"/>
        <v>315.9424945906249</v>
      </c>
    </row>
    <row r="15" spans="1:178" x14ac:dyDescent="0.2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2"/>
      <c r="DR15" s="52"/>
      <c r="DS15" s="52"/>
      <c r="DT15" s="52"/>
      <c r="DU15" s="52"/>
      <c r="DV15" s="52"/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3"/>
        <v>45.9</v>
      </c>
      <c r="FE15" s="49">
        <f t="shared" si="14"/>
        <v>202.6</v>
      </c>
      <c r="FF15" s="49">
        <f t="shared" si="15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445.1</v>
      </c>
      <c r="FL15" s="49">
        <f t="shared" ref="FL15:FP15" si="24">+FK15*1.01</f>
        <v>449.55100000000004</v>
      </c>
      <c r="FM15" s="49">
        <f t="shared" si="24"/>
        <v>454.04651000000007</v>
      </c>
      <c r="FN15" s="49">
        <f t="shared" si="24"/>
        <v>458.58697510000007</v>
      </c>
      <c r="FO15" s="49">
        <f t="shared" si="24"/>
        <v>463.17284485100009</v>
      </c>
      <c r="FP15" s="49">
        <f t="shared" si="24"/>
        <v>467.80457329951008</v>
      </c>
      <c r="FQ15" s="49">
        <f>+FP15*0.1</f>
        <v>46.780457329951012</v>
      </c>
    </row>
    <row r="16" spans="1:178" x14ac:dyDescent="0.2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/>
      <c r="DR16" s="51"/>
      <c r="DS16" s="51"/>
      <c r="DT16" s="51"/>
      <c r="DU16" s="51"/>
      <c r="DV16" s="51"/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4"/>
        <v>821.4</v>
      </c>
      <c r="FF16" s="49">
        <f t="shared" si="15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478.8</v>
      </c>
      <c r="FL16" s="49">
        <f t="shared" ref="FL16:FQ16" si="25">+FK16*0.95</f>
        <v>454.86</v>
      </c>
      <c r="FM16" s="49">
        <f t="shared" si="25"/>
        <v>432.11700000000002</v>
      </c>
      <c r="FN16" s="49">
        <f t="shared" si="25"/>
        <v>410.51114999999999</v>
      </c>
      <c r="FO16" s="49">
        <f t="shared" si="25"/>
        <v>389.9855925</v>
      </c>
      <c r="FP16" s="49">
        <f t="shared" si="25"/>
        <v>370.48631287499995</v>
      </c>
      <c r="FQ16" s="49">
        <f t="shared" si="25"/>
        <v>351.96199723124994</v>
      </c>
    </row>
    <row r="17" spans="1:173" x14ac:dyDescent="0.2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>+AQ17+15</f>
        <v>165.1</v>
      </c>
      <c r="AS17" s="111">
        <f>+AR17+15</f>
        <v>180.1</v>
      </c>
      <c r="AT17" s="111">
        <f>+AS17+15</f>
        <v>195.1</v>
      </c>
      <c r="AU17" s="111">
        <f>+AT17+15</f>
        <v>210.1</v>
      </c>
      <c r="AV17" s="111">
        <f>+AU17+15</f>
        <v>225.1</v>
      </c>
      <c r="AW17" s="111">
        <f>+AV17+15</f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/>
      <c r="DR17" s="51"/>
      <c r="DS17" s="51"/>
      <c r="DT17" s="51"/>
      <c r="DU17" s="51"/>
      <c r="DV17" s="51"/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4"/>
        <v>1851.8999999999999</v>
      </c>
      <c r="FF17" s="49">
        <f t="shared" si="15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227</v>
      </c>
      <c r="FL17" s="49">
        <f t="shared" ref="FL17:FQ18" si="26">+FK17*0.9</f>
        <v>204.3</v>
      </c>
      <c r="FM17" s="49">
        <f t="shared" si="26"/>
        <v>183.87</v>
      </c>
      <c r="FN17" s="49">
        <f t="shared" si="26"/>
        <v>165.483</v>
      </c>
      <c r="FO17" s="49">
        <f t="shared" si="26"/>
        <v>148.93470000000002</v>
      </c>
      <c r="FP17" s="49">
        <f t="shared" si="26"/>
        <v>134.04123000000001</v>
      </c>
      <c r="FQ17" s="49">
        <f t="shared" si="26"/>
        <v>120.63710700000001</v>
      </c>
    </row>
    <row r="18" spans="1:173" x14ac:dyDescent="0.2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/>
      <c r="DR18" s="51"/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4"/>
        <v>801.2</v>
      </c>
      <c r="FF18" s="49">
        <f t="shared" si="15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338.4</v>
      </c>
      <c r="FL18" s="49">
        <f t="shared" si="26"/>
        <v>304.56</v>
      </c>
      <c r="FM18" s="49">
        <f t="shared" si="26"/>
        <v>274.10399999999998</v>
      </c>
      <c r="FN18" s="49">
        <f t="shared" si="26"/>
        <v>246.6936</v>
      </c>
      <c r="FO18" s="49">
        <f t="shared" si="26"/>
        <v>222.02424000000002</v>
      </c>
      <c r="FP18" s="49">
        <f t="shared" si="26"/>
        <v>199.82181600000001</v>
      </c>
      <c r="FQ18" s="49">
        <f t="shared" si="26"/>
        <v>179.83963440000002</v>
      </c>
    </row>
    <row r="19" spans="1:173" x14ac:dyDescent="0.2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2"/>
      <c r="DR19" s="52"/>
      <c r="DS19" s="52"/>
      <c r="DT19" s="52"/>
      <c r="DU19" s="52"/>
      <c r="DV19" s="52"/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4"/>
        <v>4.9000000000000004</v>
      </c>
      <c r="FF19" s="49">
        <f t="shared" si="15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417.7</v>
      </c>
      <c r="FL19" s="49">
        <f t="shared" ref="FL19:FQ19" si="27">+FK19*1.01</f>
        <v>421.87700000000001</v>
      </c>
      <c r="FM19" s="49">
        <f t="shared" si="27"/>
        <v>426.09577000000002</v>
      </c>
      <c r="FN19" s="49">
        <f t="shared" si="27"/>
        <v>430.35672770000002</v>
      </c>
      <c r="FO19" s="49">
        <f t="shared" si="27"/>
        <v>434.66029497700004</v>
      </c>
      <c r="FP19" s="49">
        <f t="shared" si="27"/>
        <v>439.00689792677002</v>
      </c>
      <c r="FQ19" s="49">
        <f t="shared" si="27"/>
        <v>443.39696690603773</v>
      </c>
    </row>
    <row r="20" spans="1:173" x14ac:dyDescent="0.2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f>145.1-DK31</f>
        <v>94.5</v>
      </c>
      <c r="DL20" s="51">
        <v>136.6</v>
      </c>
      <c r="DM20" s="51">
        <v>141.9</v>
      </c>
      <c r="DN20" s="51">
        <f>175+355.2-DM20-DL20-DK20</f>
        <v>157.20000000000007</v>
      </c>
      <c r="DO20" s="51">
        <v>123.8</v>
      </c>
      <c r="DP20" s="51">
        <v>117</v>
      </c>
      <c r="DQ20" s="51"/>
      <c r="DR20" s="51"/>
      <c r="DS20" s="95"/>
      <c r="DT20" s="51"/>
      <c r="DU20" s="51"/>
      <c r="DV20" s="51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5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240.8</v>
      </c>
      <c r="FL20" s="49">
        <f t="shared" ref="FL20:FQ20" si="28">+FK20*0.9</f>
        <v>216.72000000000003</v>
      </c>
      <c r="FM20" s="49">
        <f t="shared" si="28"/>
        <v>195.04800000000003</v>
      </c>
      <c r="FN20" s="49">
        <f t="shared" si="28"/>
        <v>175.54320000000004</v>
      </c>
      <c r="FO20" s="49">
        <f t="shared" si="28"/>
        <v>157.98888000000005</v>
      </c>
      <c r="FP20" s="49">
        <f t="shared" si="28"/>
        <v>142.18999200000005</v>
      </c>
      <c r="FQ20" s="49">
        <f t="shared" si="28"/>
        <v>127.97099280000005</v>
      </c>
    </row>
    <row r="21" spans="1:173" x14ac:dyDescent="0.2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2"/>
      <c r="DR21" s="52"/>
      <c r="DS21" s="52"/>
      <c r="DT21" s="52"/>
      <c r="DU21" s="52"/>
      <c r="DV21" s="52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5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300.39999999999998</v>
      </c>
      <c r="FL21" s="49">
        <f t="shared" ref="FL21:FQ21" si="29">+FK21*0.9</f>
        <v>270.36</v>
      </c>
      <c r="FM21" s="49">
        <f t="shared" si="29"/>
        <v>243.32400000000001</v>
      </c>
      <c r="FN21" s="49">
        <f t="shared" si="29"/>
        <v>218.99160000000001</v>
      </c>
      <c r="FO21" s="49">
        <f t="shared" si="29"/>
        <v>197.09244000000001</v>
      </c>
      <c r="FP21" s="49">
        <f t="shared" si="29"/>
        <v>177.38319600000003</v>
      </c>
      <c r="FQ21" s="49">
        <f t="shared" si="29"/>
        <v>159.64487640000002</v>
      </c>
    </row>
    <row r="22" spans="1:173" x14ac:dyDescent="0.2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94.1-CQ38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f>180.2-DK30-DK26</f>
        <v>67.799999999999983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268.5</v>
      </c>
      <c r="DP22" s="51">
        <v>299.10000000000002</v>
      </c>
      <c r="DQ22" s="51"/>
      <c r="DR22" s="51"/>
      <c r="DS22" s="51"/>
      <c r="DT22" s="51"/>
      <c r="DU22" s="51"/>
      <c r="DV22" s="51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5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359.19999999999993</v>
      </c>
      <c r="FK22" s="49">
        <f>SUM(Model!DO22:DR22)</f>
        <v>567.6</v>
      </c>
      <c r="FL22" s="49">
        <f t="shared" ref="FL22:FQ22" si="30">+FK22*0.9</f>
        <v>510.84000000000003</v>
      </c>
      <c r="FM22" s="49">
        <f t="shared" si="30"/>
        <v>459.75600000000003</v>
      </c>
      <c r="FN22" s="49">
        <f t="shared" si="30"/>
        <v>413.78040000000004</v>
      </c>
      <c r="FO22" s="49">
        <f t="shared" si="30"/>
        <v>372.40236000000004</v>
      </c>
      <c r="FP22" s="49">
        <f t="shared" si="30"/>
        <v>335.16212400000006</v>
      </c>
      <c r="FQ22" s="49">
        <f t="shared" si="30"/>
        <v>301.64591160000009</v>
      </c>
    </row>
    <row r="23" spans="1:173" x14ac:dyDescent="0.2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/>
      <c r="DR23" s="51"/>
      <c r="DS23" s="51"/>
      <c r="DT23" s="51"/>
      <c r="DU23" s="51"/>
      <c r="DV23" s="51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5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131.19999999999999</v>
      </c>
      <c r="FL23" s="49">
        <f t="shared" ref="FL23:FQ23" si="31">+FK23*0.9</f>
        <v>118.08</v>
      </c>
      <c r="FM23" s="49">
        <f t="shared" si="31"/>
        <v>106.27200000000001</v>
      </c>
      <c r="FN23" s="49">
        <f t="shared" si="31"/>
        <v>95.644800000000004</v>
      </c>
      <c r="FO23" s="49">
        <f t="shared" si="31"/>
        <v>86.08032</v>
      </c>
      <c r="FP23" s="49">
        <f t="shared" si="31"/>
        <v>77.472288000000006</v>
      </c>
      <c r="FQ23" s="49">
        <f t="shared" si="31"/>
        <v>69.725059200000004</v>
      </c>
    </row>
    <row r="24" spans="1:173" x14ac:dyDescent="0.2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4459.9-SUM(AX25:AX60)</f>
        <v>1686.4532721010328</v>
      </c>
      <c r="AY24" s="51">
        <v>406</v>
      </c>
      <c r="AZ24" s="51"/>
      <c r="BA24" s="51">
        <f>4587-(SUM(BA25:BA60))</f>
        <v>1697.9</v>
      </c>
      <c r="BB24" s="51">
        <f>5189.6-(SUM(BB25:BB60))</f>
        <v>1904.6000000000004</v>
      </c>
      <c r="BC24" s="51">
        <f>4807.6-(SUM(BC25:BC60))</f>
        <v>2080.2000000000007</v>
      </c>
      <c r="BD24" s="51">
        <f>5150.4-(SUM(BD25:BD60))</f>
        <v>2045.4999999999995</v>
      </c>
      <c r="BE24" s="51">
        <f>5209.5-(SUM(BE25:BE60))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0</v>
      </c>
      <c r="DL24" s="51">
        <v>51</v>
      </c>
      <c r="DM24" s="51">
        <v>42.9</v>
      </c>
      <c r="DN24" s="51">
        <v>114</v>
      </c>
      <c r="DO24" s="51">
        <v>41.3</v>
      </c>
      <c r="DP24" s="51">
        <v>50</v>
      </c>
      <c r="DQ24" s="51"/>
      <c r="DR24" s="95"/>
      <c r="DS24" s="51"/>
      <c r="DT24" s="51"/>
      <c r="DU24" s="51"/>
      <c r="DV24" s="51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1727.1-FB56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5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207.9</v>
      </c>
      <c r="FK24" s="49">
        <f>SUM(Model!DO24:DR24)</f>
        <v>91.3</v>
      </c>
      <c r="FL24" s="49">
        <f t="shared" ref="FL24:FQ24" si="32">+FK24*0.9</f>
        <v>82.17</v>
      </c>
      <c r="FM24" s="49">
        <f t="shared" si="32"/>
        <v>73.953000000000003</v>
      </c>
      <c r="FN24" s="49">
        <f t="shared" si="32"/>
        <v>66.557700000000011</v>
      </c>
      <c r="FO24" s="49">
        <f t="shared" si="32"/>
        <v>59.901930000000014</v>
      </c>
      <c r="FP24" s="49">
        <f t="shared" si="32"/>
        <v>53.911737000000016</v>
      </c>
      <c r="FQ24" s="49">
        <f t="shared" si="32"/>
        <v>48.520563300000013</v>
      </c>
    </row>
    <row r="25" spans="1:173" x14ac:dyDescent="0.2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106.5</v>
      </c>
      <c r="DL25" s="51">
        <v>106.5</v>
      </c>
      <c r="DM25" s="51">
        <f>1481.4-1420</f>
        <v>61.400000000000091</v>
      </c>
      <c r="DN25" s="51">
        <v>0</v>
      </c>
      <c r="DO25" s="51">
        <v>0</v>
      </c>
      <c r="DP25" s="51">
        <v>0</v>
      </c>
      <c r="DQ25" s="51"/>
      <c r="DR25" s="51"/>
      <c r="DS25" s="51"/>
      <c r="DT25" s="51"/>
      <c r="DU25" s="51"/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5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274.40000000000009</v>
      </c>
      <c r="FK25" s="49">
        <f>SUM(Model!DO25:DR25)</f>
        <v>0</v>
      </c>
      <c r="FL25" s="49">
        <f t="shared" ref="FL25:FQ25" si="33">+FK25*0.9</f>
        <v>0</v>
      </c>
      <c r="FM25" s="49">
        <f t="shared" si="33"/>
        <v>0</v>
      </c>
      <c r="FN25" s="49">
        <f t="shared" si="33"/>
        <v>0</v>
      </c>
      <c r="FO25" s="49">
        <f t="shared" si="33"/>
        <v>0</v>
      </c>
      <c r="FP25" s="49">
        <f t="shared" si="33"/>
        <v>0</v>
      </c>
      <c r="FQ25" s="49">
        <f t="shared" si="33"/>
        <v>0</v>
      </c>
    </row>
    <row r="26" spans="1:173" x14ac:dyDescent="0.2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2"/>
      <c r="DR26" s="52"/>
      <c r="DS26" s="52"/>
      <c r="DT26" s="52"/>
      <c r="DU26" s="52"/>
      <c r="DV26" s="52"/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5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239.7</v>
      </c>
      <c r="FL26" s="49">
        <f t="shared" ref="FL26:FQ26" si="34">+FK26*0.9</f>
        <v>215.73</v>
      </c>
      <c r="FM26" s="49">
        <f t="shared" si="34"/>
        <v>194.15699999999998</v>
      </c>
      <c r="FN26" s="49">
        <f t="shared" si="34"/>
        <v>174.7413</v>
      </c>
      <c r="FO26" s="49">
        <f t="shared" si="34"/>
        <v>157.26716999999999</v>
      </c>
      <c r="FP26" s="49">
        <f t="shared" si="34"/>
        <v>141.54045299999999</v>
      </c>
      <c r="FQ26" s="49">
        <f t="shared" si="34"/>
        <v>127.38640769999999</v>
      </c>
    </row>
    <row r="27" spans="1:173" x14ac:dyDescent="0.2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2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5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0</v>
      </c>
      <c r="FK27" s="49">
        <f>SUM(Model!DO27:DR27)</f>
        <v>0</v>
      </c>
      <c r="FL27" s="49">
        <f t="shared" ref="FL27:FQ27" si="35">+FK27*0.9</f>
        <v>0</v>
      </c>
      <c r="FM27" s="49">
        <f t="shared" si="35"/>
        <v>0</v>
      </c>
      <c r="FN27" s="49">
        <f t="shared" si="35"/>
        <v>0</v>
      </c>
      <c r="FO27" s="49">
        <f t="shared" si="35"/>
        <v>0</v>
      </c>
      <c r="FP27" s="49">
        <f t="shared" si="35"/>
        <v>0</v>
      </c>
      <c r="FQ27" s="49">
        <f t="shared" si="35"/>
        <v>0</v>
      </c>
    </row>
    <row r="28" spans="1:173" x14ac:dyDescent="0.2">
      <c r="A28" s="102"/>
      <c r="B28" t="s">
        <v>493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750</v>
      </c>
      <c r="DH28" s="94" t="s">
        <v>755</v>
      </c>
      <c r="DI28" s="94" t="s">
        <v>753</v>
      </c>
      <c r="DJ28" s="94" t="s">
        <v>758</v>
      </c>
      <c r="DK28" s="94" t="s">
        <v>751</v>
      </c>
      <c r="DL28" s="94" t="s">
        <v>753</v>
      </c>
      <c r="DM28" s="94" t="s">
        <v>752</v>
      </c>
      <c r="DN28" s="94" t="s">
        <v>756</v>
      </c>
      <c r="DO28" s="51"/>
      <c r="DP28" s="51"/>
      <c r="DQ28" s="51"/>
      <c r="DR28" s="51"/>
      <c r="DS28" s="51"/>
      <c r="DT28" s="51"/>
      <c r="DU28" s="51"/>
      <c r="DV28" s="51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5"/>
        <v>590.6</v>
      </c>
      <c r="FG28" s="49">
        <f t="shared" si="10"/>
        <v>358.5</v>
      </c>
      <c r="FH28" s="49">
        <f t="shared" si="11"/>
        <v>372.5</v>
      </c>
      <c r="FI28" s="94" t="s">
        <v>759</v>
      </c>
      <c r="FJ28" s="94" t="s">
        <v>757</v>
      </c>
      <c r="FK28" s="49">
        <f>SUM(Model!DO28:DR28)</f>
        <v>0</v>
      </c>
      <c r="FL28" s="49">
        <f t="shared" ref="FL28:FQ28" si="36">+FK28*0.9</f>
        <v>0</v>
      </c>
      <c r="FM28" s="49">
        <f t="shared" si="36"/>
        <v>0</v>
      </c>
      <c r="FN28" s="49">
        <f t="shared" si="36"/>
        <v>0</v>
      </c>
      <c r="FO28" s="49">
        <f t="shared" si="36"/>
        <v>0</v>
      </c>
      <c r="FP28" s="49">
        <f t="shared" si="36"/>
        <v>0</v>
      </c>
      <c r="FQ28" s="49">
        <f t="shared" si="36"/>
        <v>0</v>
      </c>
    </row>
    <row r="29" spans="1:173" x14ac:dyDescent="0.2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f>206.2-DK25</f>
        <v>99.699999999999989</v>
      </c>
      <c r="DL29" s="51">
        <f>217.9-DL25</f>
        <v>111.4</v>
      </c>
      <c r="DM29" s="51">
        <v>118.2</v>
      </c>
      <c r="DN29" s="51">
        <f>371.1+134.4-SUM(DK29:DM29)</f>
        <v>176.2</v>
      </c>
      <c r="DO29" s="51">
        <v>163.4</v>
      </c>
      <c r="DP29" s="51">
        <v>147.5</v>
      </c>
      <c r="DQ29" s="51"/>
      <c r="DR29" s="51"/>
      <c r="DS29" s="51"/>
      <c r="DT29" s="51"/>
      <c r="DU29" s="51"/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5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310.89999999999998</v>
      </c>
      <c r="FL29" s="49">
        <f t="shared" ref="FL29:FQ29" si="37">+FK29*0.9</f>
        <v>279.81</v>
      </c>
      <c r="FM29" s="49">
        <f t="shared" si="37"/>
        <v>251.82900000000001</v>
      </c>
      <c r="FN29" s="49">
        <f t="shared" si="37"/>
        <v>226.64610000000002</v>
      </c>
      <c r="FO29" s="49">
        <f t="shared" si="37"/>
        <v>203.98149000000001</v>
      </c>
      <c r="FP29" s="49">
        <f t="shared" si="37"/>
        <v>183.58334100000002</v>
      </c>
      <c r="FQ29" s="49">
        <f t="shared" si="37"/>
        <v>165.22500690000001</v>
      </c>
    </row>
    <row r="30" spans="1:173" x14ac:dyDescent="0.2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/>
      <c r="DP30" s="51"/>
      <c r="DQ30" s="51"/>
      <c r="DR30" s="51"/>
      <c r="DS30" s="51"/>
      <c r="DT30" s="51"/>
      <c r="DU30" s="51"/>
      <c r="DV30" s="51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5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0</v>
      </c>
      <c r="FL30" s="49">
        <f t="shared" ref="FL30:FP30" si="38">+FK30*1.3</f>
        <v>0</v>
      </c>
      <c r="FM30" s="49">
        <f t="shared" si="38"/>
        <v>0</v>
      </c>
      <c r="FN30" s="49">
        <f t="shared" si="38"/>
        <v>0</v>
      </c>
      <c r="FO30" s="49">
        <f t="shared" si="38"/>
        <v>0</v>
      </c>
      <c r="FP30" s="49">
        <f t="shared" si="38"/>
        <v>0</v>
      </c>
      <c r="FQ30" s="49">
        <f>+FP30*0.1</f>
        <v>0</v>
      </c>
    </row>
    <row r="31" spans="1:173" x14ac:dyDescent="0.2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39">+DI31</f>
        <v>43</v>
      </c>
      <c r="DK31" s="51">
        <v>50.6</v>
      </c>
      <c r="DL31" s="51">
        <f>613.9-579</f>
        <v>34.899999999999977</v>
      </c>
      <c r="DM31" s="51">
        <v>13.1</v>
      </c>
      <c r="DN31" s="51">
        <v>0</v>
      </c>
      <c r="DO31" s="51"/>
      <c r="DP31" s="51">
        <v>12.4</v>
      </c>
      <c r="DQ31" s="51"/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5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98.599999999999966</v>
      </c>
      <c r="FK31" s="49">
        <f>SUM(Model!DO31:DR31)</f>
        <v>12.4</v>
      </c>
      <c r="FL31" s="49"/>
      <c r="FM31" s="49"/>
      <c r="FN31" s="49"/>
      <c r="FO31" s="49"/>
      <c r="FP31" s="49"/>
      <c r="FQ31" s="49"/>
    </row>
    <row r="32" spans="1:173" x14ac:dyDescent="0.2">
      <c r="A32" s="102"/>
      <c r="B32" s="38" t="s">
        <v>374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>
        <v>2.6</v>
      </c>
      <c r="CZ32" s="52">
        <v>8.1</v>
      </c>
      <c r="DA32" s="52">
        <v>10.6</v>
      </c>
      <c r="DB32" s="52">
        <v>13.2</v>
      </c>
      <c r="DC32" s="52">
        <v>16.899999999999999</v>
      </c>
      <c r="DD32" s="52">
        <v>7.9</v>
      </c>
      <c r="DE32" s="52">
        <v>4.9000000000000004</v>
      </c>
      <c r="DF32" s="52">
        <f>15.3+17.6-DE32-DD32-DC32</f>
        <v>3.2000000000000099</v>
      </c>
      <c r="DG32" s="52">
        <v>4.5</v>
      </c>
      <c r="DH32" s="52">
        <v>4</v>
      </c>
      <c r="DI32" s="52">
        <v>3.6</v>
      </c>
      <c r="DJ32" s="52">
        <f>20+12.1-DI32-DH32-DG32</f>
        <v>20</v>
      </c>
      <c r="DK32" s="52">
        <f>52.8+22</f>
        <v>74.8</v>
      </c>
      <c r="DL32" s="52">
        <v>5.7</v>
      </c>
      <c r="DM32" s="52">
        <v>11.4</v>
      </c>
      <c r="DN32" s="52">
        <v>23.3</v>
      </c>
      <c r="DO32" s="52">
        <v>12.5</v>
      </c>
      <c r="DP32" s="52">
        <v>30</v>
      </c>
      <c r="DQ32" s="52">
        <f t="shared" ref="DQ32:DR32" si="40">+DP32</f>
        <v>30</v>
      </c>
      <c r="DR32" s="52">
        <f t="shared" si="40"/>
        <v>30</v>
      </c>
      <c r="DS32" s="52"/>
      <c r="DT32" s="52"/>
      <c r="DU32" s="52"/>
      <c r="DV32" s="51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>
        <f t="shared" si="10"/>
        <v>34.5</v>
      </c>
      <c r="FH32" s="49">
        <f t="shared" si="11"/>
        <v>32.900000000000006</v>
      </c>
      <c r="FI32" s="49">
        <f t="shared" si="6"/>
        <v>32.1</v>
      </c>
      <c r="FJ32" s="49">
        <f t="shared" si="7"/>
        <v>115.2</v>
      </c>
      <c r="FK32" s="49">
        <f>SUM(Model!DO32:DR32)</f>
        <v>102.5</v>
      </c>
      <c r="FL32" s="49">
        <f>+FK32*0.95</f>
        <v>97.375</v>
      </c>
      <c r="FM32" s="49">
        <f t="shared" ref="FM32:FQ32" si="41">+FL32*0.95</f>
        <v>92.506249999999994</v>
      </c>
      <c r="FN32" s="49">
        <f t="shared" si="41"/>
        <v>87.880937499999987</v>
      </c>
      <c r="FO32" s="49">
        <f t="shared" si="41"/>
        <v>83.486890624999987</v>
      </c>
      <c r="FP32" s="49">
        <f t="shared" si="41"/>
        <v>79.312546093749987</v>
      </c>
      <c r="FQ32" s="49">
        <f t="shared" si="41"/>
        <v>75.346918789062485</v>
      </c>
    </row>
    <row r="33" spans="1:173" x14ac:dyDescent="0.2">
      <c r="A33" s="102"/>
      <c r="B33" s="38" t="s">
        <v>495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>
        <v>28</v>
      </c>
      <c r="CZ33" s="52">
        <v>22.7</v>
      </c>
      <c r="DA33" s="52">
        <v>24.8</v>
      </c>
      <c r="DB33" s="52">
        <v>22.3</v>
      </c>
      <c r="DC33" s="52">
        <v>21.8</v>
      </c>
      <c r="DD33" s="52">
        <v>9.3000000000000007</v>
      </c>
      <c r="DE33" s="52">
        <v>10.4</v>
      </c>
      <c r="DF33" s="52">
        <v>8.8000000000000007</v>
      </c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>
        <f t="shared" si="10"/>
        <v>97.8</v>
      </c>
      <c r="FH33" s="49">
        <f t="shared" si="11"/>
        <v>50.3</v>
      </c>
      <c r="FI33" s="49"/>
      <c r="FJ33" s="49"/>
      <c r="FK33" s="49"/>
      <c r="FL33" s="49"/>
      <c r="FM33" s="49"/>
      <c r="FN33" s="49"/>
      <c r="FO33" s="49"/>
      <c r="FP33" s="49"/>
      <c r="FQ33" s="49"/>
    </row>
    <row r="34" spans="1:173" x14ac:dyDescent="0.2">
      <c r="A34" s="102"/>
      <c r="B34" s="38" t="s">
        <v>455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>
        <v>1.4</v>
      </c>
      <c r="CZ34" s="52">
        <v>2.9</v>
      </c>
      <c r="DA34" s="52">
        <v>4</v>
      </c>
      <c r="DB34" s="52">
        <v>4.4000000000000004</v>
      </c>
      <c r="DC34" s="52">
        <v>2.5</v>
      </c>
      <c r="DD34" s="52">
        <v>9.4</v>
      </c>
      <c r="DE34" s="52">
        <v>5.3</v>
      </c>
      <c r="DF34" s="52">
        <v>6.9</v>
      </c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>
        <f t="shared" si="10"/>
        <v>12.700000000000001</v>
      </c>
      <c r="FH34" s="49">
        <f t="shared" si="11"/>
        <v>24.1</v>
      </c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">
      <c r="A35" s="102"/>
      <c r="B35" t="s">
        <v>15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>
        <v>55</v>
      </c>
      <c r="AJ35" s="51">
        <v>74.8</v>
      </c>
      <c r="AK35" s="51">
        <v>108</v>
      </c>
      <c r="AL35" s="51">
        <v>132.6</v>
      </c>
      <c r="AM35" s="51">
        <v>141.1</v>
      </c>
      <c r="AN35" s="51">
        <v>178.6</v>
      </c>
      <c r="AO35" s="51">
        <v>163.6</v>
      </c>
      <c r="AP35" s="51">
        <v>183.4</v>
      </c>
      <c r="AQ35" s="51">
        <v>119.8</v>
      </c>
      <c r="AR35" s="51">
        <v>123.5</v>
      </c>
      <c r="AS35" s="51">
        <v>140.9</v>
      </c>
      <c r="AT35" s="51">
        <v>168</v>
      </c>
      <c r="AU35" s="51">
        <v>152</v>
      </c>
      <c r="AV35" s="51">
        <v>144</v>
      </c>
      <c r="AW35" s="51">
        <v>126</v>
      </c>
      <c r="AX35" s="51">
        <v>156.30000000000001</v>
      </c>
      <c r="AY35" s="51">
        <v>139.9</v>
      </c>
      <c r="AZ35" s="51">
        <v>142.30000000000001</v>
      </c>
      <c r="BA35" s="51">
        <v>130.5</v>
      </c>
      <c r="BB35" s="51">
        <v>156.80000000000001</v>
      </c>
      <c r="BC35" s="51">
        <v>148</v>
      </c>
      <c r="BD35" s="51">
        <v>135.19999999999999</v>
      </c>
      <c r="BE35" s="51">
        <v>149.5</v>
      </c>
      <c r="BF35" s="51">
        <v>146.80000000000001</v>
      </c>
      <c r="BG35" s="51">
        <v>158.9</v>
      </c>
      <c r="BH35" s="51">
        <v>142.80000000000001</v>
      </c>
      <c r="BI35" s="51">
        <v>145.5</v>
      </c>
      <c r="BJ35" s="51">
        <v>162.19999999999999</v>
      </c>
      <c r="BK35" s="51">
        <v>146.4</v>
      </c>
      <c r="BL35" s="51">
        <v>147.1</v>
      </c>
      <c r="BM35" s="51">
        <v>127.9</v>
      </c>
      <c r="BN35" s="51">
        <v>155.4</v>
      </c>
      <c r="BO35" s="51">
        <v>138.69999999999999</v>
      </c>
      <c r="BP35" s="51">
        <v>157.69999999999999</v>
      </c>
      <c r="BQ35" s="51">
        <v>153.19999999999999</v>
      </c>
      <c r="BR35" s="51">
        <v>170.6</v>
      </c>
      <c r="BS35" s="51">
        <v>158.9</v>
      </c>
      <c r="BT35" s="51">
        <v>153</v>
      </c>
      <c r="BU35" s="51">
        <v>145.6</v>
      </c>
      <c r="BV35" s="51">
        <v>163.9</v>
      </c>
      <c r="BW35" s="51">
        <v>166.7</v>
      </c>
      <c r="BX35" s="51">
        <v>168.3</v>
      </c>
      <c r="BY35" s="51">
        <v>173.2</v>
      </c>
      <c r="BZ35" s="51">
        <v>201.1</v>
      </c>
      <c r="CA35" s="51">
        <v>154.4</v>
      </c>
      <c r="CB35" s="51">
        <v>197.4</v>
      </c>
      <c r="CC35" s="51">
        <v>191.9</v>
      </c>
      <c r="CD35" s="51">
        <v>194.9</v>
      </c>
      <c r="CE35" s="51">
        <v>173.7</v>
      </c>
      <c r="CF35" s="51">
        <v>191.8</v>
      </c>
      <c r="CG35" s="51">
        <v>196.9</v>
      </c>
      <c r="CH35" s="51">
        <v>221.6</v>
      </c>
      <c r="CI35" s="51">
        <v>188.1</v>
      </c>
      <c r="CJ35" s="51">
        <v>224.6</v>
      </c>
      <c r="CK35" s="51">
        <v>198.8</v>
      </c>
      <c r="CL35" s="51">
        <v>243.2</v>
      </c>
      <c r="CM35" s="51">
        <v>196.2</v>
      </c>
      <c r="CN35" s="51">
        <v>186.6</v>
      </c>
      <c r="CO35" s="51">
        <v>137.1</v>
      </c>
      <c r="CP35" s="51">
        <v>98.3</v>
      </c>
      <c r="CQ35" s="51">
        <v>130.69999999999999</v>
      </c>
      <c r="CR35" s="51">
        <v>114.2</v>
      </c>
      <c r="CS35" s="51">
        <v>98.7</v>
      </c>
      <c r="CT35" s="51">
        <v>107.2</v>
      </c>
      <c r="CU35" s="51">
        <v>66.2</v>
      </c>
      <c r="CV35" s="51">
        <v>82.6</v>
      </c>
      <c r="CW35" s="51">
        <v>52.1</v>
      </c>
      <c r="CX35" s="51">
        <f>242.5-CW35-CV35-CU35</f>
        <v>41.600000000000009</v>
      </c>
      <c r="CY35" s="51">
        <v>38.200000000000003</v>
      </c>
      <c r="CZ35" s="51">
        <v>22.5</v>
      </c>
      <c r="DA35" s="51">
        <v>32.700000000000003</v>
      </c>
      <c r="DB35" s="51">
        <v>35.1</v>
      </c>
      <c r="DC35" s="51">
        <v>38.6</v>
      </c>
      <c r="DD35" s="51">
        <v>40.5</v>
      </c>
      <c r="DE35" s="51">
        <v>35.200000000000003</v>
      </c>
      <c r="DF35" s="51">
        <v>36.1</v>
      </c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>
        <v>3</v>
      </c>
      <c r="EP35" s="51">
        <v>370</v>
      </c>
      <c r="EQ35" s="51">
        <v>666</v>
      </c>
      <c r="ER35" s="51">
        <v>552</v>
      </c>
      <c r="ES35" s="51">
        <v>594</v>
      </c>
      <c r="ET35" s="51">
        <f>SUM(AY35:BB35)</f>
        <v>569.5</v>
      </c>
      <c r="EU35" s="51">
        <f>SUM(BC35:BF35)</f>
        <v>579.5</v>
      </c>
      <c r="EV35" s="51">
        <f>SUM(BG35:BJ35)</f>
        <v>609.40000000000009</v>
      </c>
      <c r="EW35" s="51">
        <f>SUM(BK35:BN35)</f>
        <v>576.79999999999995</v>
      </c>
      <c r="EX35" s="51">
        <f>SUM(BO35:BR35)</f>
        <v>620.19999999999993</v>
      </c>
      <c r="EY35" s="51">
        <f>SUM(BS35:BV35)</f>
        <v>621.4</v>
      </c>
      <c r="EZ35" s="51">
        <v>709.2</v>
      </c>
      <c r="FA35" s="51">
        <v>738.5</v>
      </c>
      <c r="FB35" s="51">
        <v>784</v>
      </c>
      <c r="FC35" s="51">
        <v>854.7</v>
      </c>
      <c r="FD35" s="51">
        <f>284.9+333.3</f>
        <v>618.20000000000005</v>
      </c>
      <c r="FE35" s="51">
        <v>450.8</v>
      </c>
      <c r="FF35" s="49">
        <f t="shared" si="15"/>
        <v>242.5</v>
      </c>
      <c r="FG35" s="49">
        <f t="shared" si="10"/>
        <v>128.5</v>
      </c>
      <c r="FH35" s="49">
        <f t="shared" si="11"/>
        <v>150.4</v>
      </c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">
      <c r="A36" s="102"/>
      <c r="B36" t="s">
        <v>69</v>
      </c>
      <c r="C36">
        <v>50</v>
      </c>
      <c r="D36">
        <v>60</v>
      </c>
      <c r="E36">
        <v>70</v>
      </c>
      <c r="F36">
        <f>269-E36-D36-C36</f>
        <v>89</v>
      </c>
      <c r="G36" s="51"/>
      <c r="H36" s="51">
        <v>67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>
        <v>102</v>
      </c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>
        <v>88.7</v>
      </c>
      <c r="CZ36" s="51">
        <v>46.2</v>
      </c>
      <c r="DA36" s="51">
        <v>50.7</v>
      </c>
      <c r="DB36" s="51">
        <v>110.8</v>
      </c>
      <c r="DC36" s="51">
        <v>64.900000000000006</v>
      </c>
      <c r="DD36" s="51">
        <v>22.4</v>
      </c>
      <c r="DE36" s="51">
        <v>50.2</v>
      </c>
      <c r="DF36" s="51">
        <v>51.4</v>
      </c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>
        <v>269</v>
      </c>
      <c r="EI36" s="49"/>
      <c r="EJ36" s="49"/>
      <c r="EK36" s="49"/>
      <c r="EL36" s="49">
        <v>300</v>
      </c>
      <c r="EM36" s="49">
        <v>300.7</v>
      </c>
      <c r="EN36" s="51"/>
      <c r="EO36" s="51">
        <v>329</v>
      </c>
      <c r="EP36" s="51">
        <v>371</v>
      </c>
      <c r="EQ36" s="51">
        <v>430</v>
      </c>
      <c r="ER36" s="51">
        <v>414</v>
      </c>
      <c r="ES36" s="51">
        <v>413</v>
      </c>
      <c r="ET36" s="51">
        <f>ES36*1.05</f>
        <v>433.65000000000003</v>
      </c>
      <c r="EU36" s="51">
        <f>ET36*1.05</f>
        <v>455.33250000000004</v>
      </c>
      <c r="EV36" s="51">
        <f>EU36*1.05</f>
        <v>478.09912500000007</v>
      </c>
      <c r="EW36" s="51"/>
      <c r="EX36" s="51"/>
      <c r="EY36" s="51"/>
      <c r="EZ36" s="51"/>
      <c r="FA36" s="51"/>
      <c r="FB36" s="51"/>
      <c r="FC36" s="51"/>
      <c r="FD36" s="51"/>
      <c r="FE36" s="53"/>
      <c r="FF36" s="49"/>
      <c r="FG36" s="49">
        <f t="shared" ref="FG36" si="42">SUM(CY36:DB36)</f>
        <v>296.40000000000003</v>
      </c>
      <c r="FH36" s="49">
        <f>SUM(DC36:DF36)</f>
        <v>188.9</v>
      </c>
      <c r="FI36" s="49"/>
      <c r="FJ36" s="49"/>
    </row>
    <row r="37" spans="1:173" x14ac:dyDescent="0.2">
      <c r="A37" s="102"/>
      <c r="B37" s="38" t="s">
        <v>509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>
        <v>0.6</v>
      </c>
      <c r="CI37" s="51">
        <v>1.7</v>
      </c>
      <c r="CJ37" s="51">
        <v>4</v>
      </c>
      <c r="CK37" s="51">
        <v>5.3</v>
      </c>
      <c r="CL37" s="51">
        <v>3.8</v>
      </c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</row>
    <row r="38" spans="1:173" x14ac:dyDescent="0.2">
      <c r="A38" s="102"/>
      <c r="B38" s="38" t="s">
        <v>508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>
        <v>11.9</v>
      </c>
      <c r="CM38" s="51">
        <v>42.1</v>
      </c>
      <c r="CN38" s="51">
        <v>47.4</v>
      </c>
      <c r="CO38" s="51">
        <v>54.5</v>
      </c>
      <c r="CP38" s="51">
        <v>59</v>
      </c>
      <c r="CQ38" s="51">
        <v>64.400000000000006</v>
      </c>
      <c r="CR38" s="51">
        <v>79.900000000000006</v>
      </c>
      <c r="CS38" s="51">
        <v>76.900000000000006</v>
      </c>
      <c r="CT38" s="51">
        <v>83.5</v>
      </c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">
      <c r="A39" s="102"/>
      <c r="B39" t="s">
        <v>79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>
        <v>251.4</v>
      </c>
      <c r="AQ39" s="51">
        <f>AU39/1.01</f>
        <v>196.33663366336634</v>
      </c>
      <c r="AR39" s="51">
        <v>201</v>
      </c>
      <c r="AS39" s="51">
        <v>216</v>
      </c>
      <c r="AT39" s="51">
        <v>251.4</v>
      </c>
      <c r="AU39" s="51">
        <v>198.3</v>
      </c>
      <c r="AV39" s="51">
        <v>201</v>
      </c>
      <c r="AW39" s="51">
        <v>216</v>
      </c>
      <c r="AX39" s="51">
        <v>236.6</v>
      </c>
      <c r="AY39" s="51">
        <v>210</v>
      </c>
      <c r="AZ39" s="51">
        <v>214.7</v>
      </c>
      <c r="BA39" s="51">
        <v>236.8</v>
      </c>
      <c r="BB39" s="51">
        <v>329.4</v>
      </c>
      <c r="BC39" s="51"/>
      <c r="BD39" s="51">
        <v>254.5</v>
      </c>
      <c r="BE39" s="51">
        <v>277.10000000000002</v>
      </c>
      <c r="BF39" s="51">
        <v>326.39999999999998</v>
      </c>
      <c r="BG39" s="51">
        <v>264.10000000000002</v>
      </c>
      <c r="BH39" s="51">
        <v>275.39999999999998</v>
      </c>
      <c r="BI39" s="51">
        <v>314.60000000000002</v>
      </c>
      <c r="BJ39" s="51">
        <v>353.1</v>
      </c>
      <c r="BK39" s="51">
        <v>289.60000000000002</v>
      </c>
      <c r="BL39" s="51">
        <v>324.2</v>
      </c>
      <c r="BM39" s="51">
        <v>353.2</v>
      </c>
      <c r="BN39" s="51">
        <v>424.3</v>
      </c>
      <c r="BO39" s="51">
        <v>369.8</v>
      </c>
      <c r="BP39" s="51">
        <v>389.5</v>
      </c>
      <c r="BQ39" s="51">
        <v>451</v>
      </c>
      <c r="BR39" s="51">
        <v>468.2</v>
      </c>
      <c r="BS39" s="51">
        <v>490.7</v>
      </c>
      <c r="BT39" s="51">
        <v>512.20000000000005</v>
      </c>
      <c r="BU39" s="51">
        <v>479.4</v>
      </c>
      <c r="BV39" s="51">
        <v>554.1</v>
      </c>
      <c r="BW39" s="51">
        <v>499.1</v>
      </c>
      <c r="BX39" s="51">
        <v>543.5</v>
      </c>
      <c r="BY39" s="51">
        <v>530.29999999999995</v>
      </c>
      <c r="BZ39" s="51">
        <v>578.4</v>
      </c>
      <c r="CA39" s="51">
        <v>527.4</v>
      </c>
      <c r="CB39" s="51">
        <v>601.20000000000005</v>
      </c>
      <c r="CC39" s="51">
        <v>584.70000000000005</v>
      </c>
      <c r="CD39" s="51">
        <v>633.29999999999995</v>
      </c>
      <c r="CE39" s="51">
        <v>749.8</v>
      </c>
      <c r="CF39" s="51">
        <v>840.8</v>
      </c>
      <c r="CG39" s="51">
        <v>778.8</v>
      </c>
      <c r="CH39" s="51">
        <v>811.7</v>
      </c>
      <c r="CI39" s="51">
        <v>754.6</v>
      </c>
      <c r="CJ39" s="51">
        <v>859.8</v>
      </c>
      <c r="CK39" s="51">
        <v>706.2</v>
      </c>
      <c r="CL39" s="51">
        <v>837.6</v>
      </c>
      <c r="CM39" s="51">
        <v>769.4</v>
      </c>
      <c r="CN39" s="51">
        <v>784.8</v>
      </c>
      <c r="CO39" s="51">
        <v>740.6</v>
      </c>
      <c r="CP39" s="51">
        <v>790.9</v>
      </c>
      <c r="CQ39" s="94" t="s">
        <v>760</v>
      </c>
      <c r="CR39" s="51">
        <v>792.1</v>
      </c>
      <c r="CS39" s="51">
        <v>772.7</v>
      </c>
      <c r="CT39" s="51">
        <v>816.5</v>
      </c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>
        <v>464</v>
      </c>
      <c r="EH39" s="49">
        <v>512.4</v>
      </c>
      <c r="EI39" s="49"/>
      <c r="EJ39" s="49"/>
      <c r="EK39" s="49">
        <v>614.4</v>
      </c>
      <c r="EL39" s="49">
        <v>627.79999999999995</v>
      </c>
      <c r="EM39" s="49">
        <v>668.5</v>
      </c>
      <c r="EN39" s="51"/>
      <c r="EO39" s="51">
        <v>693</v>
      </c>
      <c r="EP39" s="51">
        <v>727</v>
      </c>
      <c r="EQ39" s="51">
        <v>798</v>
      </c>
      <c r="ER39" s="51">
        <v>864</v>
      </c>
      <c r="ES39" s="51">
        <v>882</v>
      </c>
      <c r="ET39" s="51">
        <f>ES39*1.05</f>
        <v>926.1</v>
      </c>
      <c r="EU39" s="51">
        <f t="shared" si="19"/>
        <v>858</v>
      </c>
      <c r="EV39" s="51">
        <f t="shared" si="20"/>
        <v>1207.2</v>
      </c>
      <c r="EW39" s="51">
        <f t="shared" si="21"/>
        <v>1391.3</v>
      </c>
      <c r="EX39" s="51">
        <f t="shared" si="22"/>
        <v>1678.5</v>
      </c>
      <c r="EY39" s="51">
        <f t="shared" ref="EY39:EY43" si="43">SUM(BS39:BV39)</f>
        <v>2036.4</v>
      </c>
      <c r="EZ39" s="51">
        <v>2151.5</v>
      </c>
      <c r="FA39" s="51">
        <v>2346.6</v>
      </c>
      <c r="FB39" s="51">
        <v>3181</v>
      </c>
      <c r="FC39" s="51">
        <v>3158.2</v>
      </c>
      <c r="FD39" s="51"/>
      <c r="FE39" s="51"/>
      <c r="FF39" s="49"/>
      <c r="FG39" s="49"/>
      <c r="FH39" s="49"/>
      <c r="FI39" s="49"/>
      <c r="FJ39" s="49"/>
    </row>
    <row r="40" spans="1:173" s="38" customFormat="1" x14ac:dyDescent="0.2">
      <c r="A40" s="106"/>
      <c r="B40" s="38" t="s">
        <v>261</v>
      </c>
      <c r="C40"/>
      <c r="D40"/>
      <c r="E40"/>
      <c r="F40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>
        <v>22.6</v>
      </c>
      <c r="BJ40" s="52">
        <v>4</v>
      </c>
      <c r="BK40" s="52">
        <v>8.8000000000000007</v>
      </c>
      <c r="BL40" s="52">
        <v>22.9</v>
      </c>
      <c r="BM40" s="52">
        <v>36.299999999999997</v>
      </c>
      <c r="BN40" s="52">
        <v>47</v>
      </c>
      <c r="BO40" s="52">
        <v>56.3</v>
      </c>
      <c r="BP40" s="52">
        <v>71.7</v>
      </c>
      <c r="BQ40" s="52">
        <v>83.5</v>
      </c>
      <c r="BR40" s="52">
        <v>90.9</v>
      </c>
      <c r="BS40" s="52">
        <v>115.8</v>
      </c>
      <c r="BT40" s="52">
        <v>111</v>
      </c>
      <c r="BU40" s="52">
        <v>109.7</v>
      </c>
      <c r="BV40" s="52">
        <v>120.6</v>
      </c>
      <c r="BW40" s="52">
        <v>115.9</v>
      </c>
      <c r="BX40" s="52">
        <v>137.4</v>
      </c>
      <c r="BY40" s="52">
        <v>124.9</v>
      </c>
      <c r="BZ40" s="52">
        <v>130.6</v>
      </c>
      <c r="CA40" s="52">
        <v>119.3</v>
      </c>
      <c r="CB40" s="52">
        <v>133.6</v>
      </c>
      <c r="CC40" s="52">
        <v>131.5</v>
      </c>
      <c r="CD40" s="52">
        <v>137.80000000000001</v>
      </c>
      <c r="CE40" s="52">
        <v>121.8</v>
      </c>
      <c r="CF40" s="52">
        <v>128.80000000000001</v>
      </c>
      <c r="CG40" s="52">
        <v>132.1</v>
      </c>
      <c r="CH40" s="52">
        <v>140.30000000000001</v>
      </c>
      <c r="CI40" s="52">
        <v>131.5</v>
      </c>
      <c r="CJ40" s="52">
        <v>135.1</v>
      </c>
      <c r="CK40" s="52">
        <v>127.7</v>
      </c>
      <c r="CL40" s="52">
        <v>140.9</v>
      </c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2"/>
      <c r="EO40" s="52"/>
      <c r="EP40" s="52"/>
      <c r="EQ40" s="52"/>
      <c r="ER40" s="52"/>
      <c r="ES40" s="52"/>
      <c r="ET40" s="52"/>
      <c r="EU40" s="52"/>
      <c r="EV40" s="52">
        <f>SUM(BG40:BJ40)</f>
        <v>26.6</v>
      </c>
      <c r="EW40" s="52">
        <f>SUM(BK40:BN40)</f>
        <v>115</v>
      </c>
      <c r="EX40" s="51">
        <f t="shared" si="22"/>
        <v>302.39999999999998</v>
      </c>
      <c r="EY40" s="51">
        <f t="shared" si="43"/>
        <v>457.1</v>
      </c>
      <c r="EZ40" s="52">
        <v>508.7</v>
      </c>
      <c r="FA40" s="52">
        <v>522.20000000000005</v>
      </c>
      <c r="FB40" s="52">
        <v>523</v>
      </c>
      <c r="FC40" s="52">
        <v>535.20000000000005</v>
      </c>
      <c r="FD40" s="52"/>
      <c r="FE40" s="52"/>
      <c r="FF40" s="49"/>
      <c r="FG40" s="49"/>
      <c r="FH40" s="49"/>
      <c r="FI40" s="49"/>
      <c r="FJ40" s="49"/>
    </row>
    <row r="41" spans="1:173" x14ac:dyDescent="0.2">
      <c r="A41" s="102"/>
      <c r="B41" t="s">
        <v>55</v>
      </c>
      <c r="C41"/>
      <c r="D41"/>
      <c r="E41"/>
      <c r="F41"/>
      <c r="G41" s="97"/>
      <c r="H41" s="51">
        <v>12</v>
      </c>
      <c r="I41" s="51">
        <v>22</v>
      </c>
      <c r="J41" s="51">
        <f>62-I41-H41</f>
        <v>28</v>
      </c>
      <c r="K41" s="51">
        <v>33.1</v>
      </c>
      <c r="L41" s="51">
        <v>41</v>
      </c>
      <c r="M41" s="51">
        <v>47.3</v>
      </c>
      <c r="N41" s="51">
        <f>174.8-M41-L41-K41</f>
        <v>53.400000000000013</v>
      </c>
      <c r="O41" s="51">
        <v>57</v>
      </c>
      <c r="P41" s="51">
        <v>85</v>
      </c>
      <c r="Q41" s="51">
        <v>69</v>
      </c>
      <c r="R41" s="51">
        <f>306.8-Q41-P41-O41</f>
        <v>95.800000000000011</v>
      </c>
      <c r="S41" s="51">
        <v>114.4</v>
      </c>
      <c r="T41" s="51">
        <v>86.5</v>
      </c>
      <c r="U41" s="51">
        <v>119.2</v>
      </c>
      <c r="V41" s="51">
        <f>455.8-U41-T41-S41</f>
        <v>135.70000000000002</v>
      </c>
      <c r="W41" s="51">
        <v>136</v>
      </c>
      <c r="X41" s="51">
        <v>107.9</v>
      </c>
      <c r="Y41" s="51">
        <v>155.1</v>
      </c>
      <c r="Z41" s="51">
        <f>559.3-Y41-X41-W41</f>
        <v>160.29999999999995</v>
      </c>
      <c r="AA41" s="51">
        <v>174</v>
      </c>
      <c r="AB41" s="51">
        <v>160.9</v>
      </c>
      <c r="AC41" s="51">
        <v>187</v>
      </c>
      <c r="AD41" s="51">
        <f>722.9-AC41-AB41-AA41</f>
        <v>201</v>
      </c>
      <c r="AE41" s="51">
        <v>197.5</v>
      </c>
      <c r="AF41" s="51">
        <v>219</v>
      </c>
      <c r="AG41" s="51">
        <v>197.2</v>
      </c>
      <c r="AH41" s="51">
        <f>874.6-AG41-AF41-AE41</f>
        <v>260.90000000000009</v>
      </c>
      <c r="AI41" s="51">
        <v>233.9</v>
      </c>
      <c r="AJ41" s="51">
        <v>254.6</v>
      </c>
      <c r="AK41" s="51">
        <v>250.6</v>
      </c>
      <c r="AL41" s="51">
        <v>282.60000000000002</v>
      </c>
      <c r="AM41" s="51">
        <v>279</v>
      </c>
      <c r="AN41" s="51">
        <v>293.3</v>
      </c>
      <c r="AO41" s="51">
        <v>312.7</v>
      </c>
      <c r="AP41" s="51">
        <v>329.5</v>
      </c>
      <c r="AQ41" s="51">
        <v>304.60000000000002</v>
      </c>
      <c r="AR41" s="51">
        <v>343</v>
      </c>
      <c r="AS41" s="51">
        <v>334.3</v>
      </c>
      <c r="AT41" s="51">
        <v>352.6</v>
      </c>
      <c r="AU41" s="51">
        <v>339</v>
      </c>
      <c r="AV41" s="51">
        <v>344</v>
      </c>
      <c r="AW41" s="51">
        <v>355</v>
      </c>
      <c r="AX41" s="51">
        <v>371.3</v>
      </c>
      <c r="AY41" s="51">
        <v>376.9</v>
      </c>
      <c r="AZ41" s="51">
        <v>395.6</v>
      </c>
      <c r="BA41" s="51">
        <v>394.4</v>
      </c>
      <c r="BB41" s="51">
        <v>425.5</v>
      </c>
      <c r="BC41" s="51">
        <v>426.2</v>
      </c>
      <c r="BD41" s="51">
        <v>440.1</v>
      </c>
      <c r="BE41" s="51">
        <v>440.2</v>
      </c>
      <c r="BF41" s="51">
        <v>413.3</v>
      </c>
      <c r="BG41" s="51">
        <v>367.8</v>
      </c>
      <c r="BH41" s="51">
        <v>353.2</v>
      </c>
      <c r="BI41" s="51">
        <v>331.8</v>
      </c>
      <c r="BJ41" s="51">
        <v>310.5</v>
      </c>
      <c r="BK41" s="51">
        <v>287.8</v>
      </c>
      <c r="BL41" s="51">
        <v>293.39999999999998</v>
      </c>
      <c r="BM41" s="51">
        <v>324.60000000000002</v>
      </c>
      <c r="BN41" s="51">
        <v>243.6</v>
      </c>
      <c r="BO41" s="51">
        <v>156.1</v>
      </c>
      <c r="BP41" s="51">
        <v>112.4</v>
      </c>
      <c r="BQ41" s="51">
        <v>91</v>
      </c>
      <c r="BR41" s="51">
        <v>92.6</v>
      </c>
      <c r="BS41" s="51">
        <v>0</v>
      </c>
      <c r="BT41" s="51">
        <v>0</v>
      </c>
      <c r="BU41" s="51">
        <v>0</v>
      </c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>
        <v>306.8</v>
      </c>
      <c r="EL41" s="49">
        <v>455.8</v>
      </c>
      <c r="EM41" s="49">
        <v>559.29999999999995</v>
      </c>
      <c r="EN41" s="51">
        <v>722.9</v>
      </c>
      <c r="EO41" s="51">
        <v>875</v>
      </c>
      <c r="EP41" s="51">
        <v>1022</v>
      </c>
      <c r="EQ41" s="51">
        <v>1214</v>
      </c>
      <c r="ER41" s="51">
        <v>1335</v>
      </c>
      <c r="ES41" s="51">
        <f>SUM(AU41:AX41)</f>
        <v>1409.3</v>
      </c>
      <c r="ET41" s="51">
        <f>SUM(AY41:BB41)</f>
        <v>1592.4</v>
      </c>
      <c r="EU41" s="51">
        <f>SUM(BC41:BF41)</f>
        <v>1719.8</v>
      </c>
      <c r="EV41" s="51">
        <f>SUM(BG41:BJ41)</f>
        <v>1363.3</v>
      </c>
      <c r="EW41" s="51">
        <f>SUM(BK41:BN41)</f>
        <v>1149.4000000000001</v>
      </c>
      <c r="EX41" s="51">
        <f>SUM(BO41:BR41)</f>
        <v>452.1</v>
      </c>
      <c r="EY41" s="51">
        <f t="shared" si="43"/>
        <v>0</v>
      </c>
      <c r="EZ41" s="51"/>
      <c r="FA41" s="51"/>
      <c r="FB41" s="51"/>
      <c r="FC41" s="51"/>
      <c r="FD41" s="51"/>
      <c r="FE41" s="53"/>
      <c r="FF41" s="49"/>
      <c r="FG41" s="49"/>
      <c r="FH41" s="49"/>
      <c r="FI41" s="49"/>
      <c r="FJ41" s="49"/>
    </row>
    <row r="42" spans="1:173" x14ac:dyDescent="0.2">
      <c r="A42" s="102"/>
      <c r="B42" s="38" t="s">
        <v>41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>
        <v>13.5</v>
      </c>
      <c r="AP42" s="51">
        <v>15.2</v>
      </c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3"/>
      <c r="FF42" s="49"/>
      <c r="FG42" s="49"/>
      <c r="FH42" s="49"/>
      <c r="FI42" s="49"/>
      <c r="FJ42" s="49"/>
    </row>
    <row r="43" spans="1:173" x14ac:dyDescent="0.2">
      <c r="A43" s="102"/>
      <c r="B43" t="s">
        <v>70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>
        <v>25.7</v>
      </c>
      <c r="AU43" s="51">
        <v>36</v>
      </c>
      <c r="AV43" s="51">
        <v>52</v>
      </c>
      <c r="AW43" s="51">
        <v>62</v>
      </c>
      <c r="AX43" s="51">
        <f>BB43/1.34</f>
        <v>68.731343283582078</v>
      </c>
      <c r="AY43" s="51">
        <v>72</v>
      </c>
      <c r="AZ43" s="51">
        <v>152.1</v>
      </c>
      <c r="BA43" s="51">
        <v>87.1</v>
      </c>
      <c r="BB43" s="51">
        <v>92.1</v>
      </c>
      <c r="BC43" s="51">
        <v>82.7</v>
      </c>
      <c r="BD43" s="51">
        <v>101.2</v>
      </c>
      <c r="BE43" s="51">
        <v>109.2</v>
      </c>
      <c r="BF43" s="51">
        <v>103</v>
      </c>
      <c r="BG43" s="51">
        <v>97.5</v>
      </c>
      <c r="BH43" s="51">
        <v>114.6</v>
      </c>
      <c r="BI43" s="51">
        <v>115.8</v>
      </c>
      <c r="BJ43" s="51">
        <v>120.5</v>
      </c>
      <c r="BK43" s="51">
        <v>115.7</v>
      </c>
      <c r="BL43" s="51">
        <v>106.9</v>
      </c>
      <c r="BM43" s="51">
        <v>102.7</v>
      </c>
      <c r="BN43" s="51">
        <v>105.3</v>
      </c>
      <c r="BO43" s="51">
        <v>101.8</v>
      </c>
      <c r="BP43" s="51">
        <v>103.9</v>
      </c>
      <c r="BQ43" s="51">
        <v>106.7</v>
      </c>
      <c r="BR43" s="51">
        <v>110.3</v>
      </c>
      <c r="BS43" s="51">
        <v>0</v>
      </c>
      <c r="BT43" s="51">
        <v>0</v>
      </c>
      <c r="BU43" s="51">
        <v>0</v>
      </c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>
        <v>36</v>
      </c>
      <c r="ES43" s="51">
        <v>193</v>
      </c>
      <c r="ET43" s="51">
        <f>ES43*1.75</f>
        <v>337.75</v>
      </c>
      <c r="EU43" s="51">
        <f>SUM(BC43:BF43)</f>
        <v>396.1</v>
      </c>
      <c r="EV43" s="51">
        <f>SUM(BG43:BJ43)</f>
        <v>448.4</v>
      </c>
      <c r="EW43" s="51">
        <f>SUM(BK43:BN43)</f>
        <v>430.6</v>
      </c>
      <c r="EX43" s="51">
        <f>SUM(BO43:BR43)</f>
        <v>422.7</v>
      </c>
      <c r="EY43" s="51">
        <f t="shared" si="43"/>
        <v>0</v>
      </c>
      <c r="EZ43" s="51"/>
      <c r="FA43" s="51"/>
      <c r="FB43" s="51"/>
      <c r="FC43" s="51"/>
      <c r="FD43" s="51"/>
      <c r="FE43" s="53"/>
      <c r="FF43" s="49"/>
      <c r="FG43" s="49"/>
      <c r="FH43" s="49"/>
      <c r="FI43" s="49"/>
      <c r="FJ43" s="49"/>
    </row>
    <row r="44" spans="1:173" x14ac:dyDescent="0.2">
      <c r="A44" s="102"/>
      <c r="B44" t="s">
        <v>61</v>
      </c>
      <c r="C44" s="49">
        <v>456.7</v>
      </c>
      <c r="D44" s="49">
        <v>513.4</v>
      </c>
      <c r="E44" s="49">
        <v>580.70000000000005</v>
      </c>
      <c r="F44" s="49">
        <f>2100-E44-D44-C44</f>
        <v>549.20000000000005</v>
      </c>
      <c r="G44" s="51">
        <v>579</v>
      </c>
      <c r="H44" s="51">
        <v>537</v>
      </c>
      <c r="I44" s="51">
        <v>637.5</v>
      </c>
      <c r="J44" s="51">
        <f>2400-I44-H44-G44</f>
        <v>646.5</v>
      </c>
      <c r="K44" s="51">
        <v>563.4</v>
      </c>
      <c r="L44" s="51">
        <v>597.6</v>
      </c>
      <c r="M44" s="51">
        <v>705.1</v>
      </c>
      <c r="N44" s="51">
        <f>2560-M44-L44-K44</f>
        <v>693.9000000000002</v>
      </c>
      <c r="O44" s="51">
        <v>618</v>
      </c>
      <c r="P44" s="51">
        <v>666</v>
      </c>
      <c r="Q44" s="51">
        <v>793</v>
      </c>
      <c r="R44" s="51">
        <f>2810-Q44-P44-O44</f>
        <v>733</v>
      </c>
      <c r="S44" s="51">
        <v>589.9</v>
      </c>
      <c r="T44" s="51">
        <v>688.1</v>
      </c>
      <c r="U44" s="51">
        <v>690.2</v>
      </c>
      <c r="V44" s="51">
        <f>2610-U44-T44-S44</f>
        <v>641.79999999999984</v>
      </c>
      <c r="W44" s="51">
        <v>596.20000000000005</v>
      </c>
      <c r="X44" s="51">
        <v>627.4</v>
      </c>
      <c r="Y44" s="51">
        <v>680.2</v>
      </c>
      <c r="Z44" s="51">
        <f>2570-Y44-X44-W44</f>
        <v>666.2</v>
      </c>
      <c r="AA44" s="52">
        <f>1320-AB44</f>
        <v>627.6</v>
      </c>
      <c r="AB44" s="51">
        <v>692.4</v>
      </c>
      <c r="AC44" s="51">
        <v>449.4</v>
      </c>
      <c r="AD44" s="51">
        <f>1990-AC44-AB44-AA44</f>
        <v>220.59999999999991</v>
      </c>
      <c r="AE44" s="51">
        <v>186.1</v>
      </c>
      <c r="AF44" s="51">
        <v>194.9</v>
      </c>
      <c r="AG44" s="51">
        <v>189.9</v>
      </c>
      <c r="AH44" s="51">
        <f>733.7-AG44-AF44-AE44</f>
        <v>162.8000000000001</v>
      </c>
      <c r="AI44" s="51">
        <v>149.9</v>
      </c>
      <c r="AJ44" s="51">
        <v>175</v>
      </c>
      <c r="AK44" s="51">
        <v>154.19999999999999</v>
      </c>
      <c r="AL44" s="51">
        <f>645.1-AK44-AJ44-AI44</f>
        <v>166.00000000000003</v>
      </c>
      <c r="AM44" s="51">
        <v>165</v>
      </c>
      <c r="AN44" s="51">
        <v>129.80000000000001</v>
      </c>
      <c r="AO44" s="51">
        <v>141</v>
      </c>
      <c r="AP44" s="51">
        <v>123.1</v>
      </c>
      <c r="AQ44" s="51">
        <v>112.5</v>
      </c>
      <c r="AR44" s="51">
        <v>114.2</v>
      </c>
      <c r="AS44" s="51">
        <v>102.6</v>
      </c>
      <c r="AT44" s="51">
        <v>114.4</v>
      </c>
      <c r="AU44" s="51"/>
      <c r="AV44" s="51"/>
      <c r="AW44" s="51">
        <v>78</v>
      </c>
      <c r="AX44" s="51"/>
      <c r="AY44" s="51">
        <f>AW44</f>
        <v>78</v>
      </c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1700</v>
      </c>
      <c r="EH44" s="49">
        <v>2100</v>
      </c>
      <c r="EI44" s="49"/>
      <c r="EJ44" s="49"/>
      <c r="EK44" s="49">
        <v>2810</v>
      </c>
      <c r="EL44" s="49">
        <v>2613.4</v>
      </c>
      <c r="EM44" s="49">
        <v>2573.6999999999998</v>
      </c>
      <c r="EN44" s="51">
        <v>1990</v>
      </c>
      <c r="EO44" s="51">
        <v>734</v>
      </c>
      <c r="EP44" s="51">
        <v>645</v>
      </c>
      <c r="EQ44" s="51">
        <v>559</v>
      </c>
      <c r="ER44" s="51">
        <v>454</v>
      </c>
      <c r="ES44" s="51">
        <v>327</v>
      </c>
      <c r="ET44" s="51">
        <f>ES44*0.95</f>
        <v>310.64999999999998</v>
      </c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3"/>
      <c r="FF44" s="49"/>
      <c r="FG44" s="49"/>
      <c r="FH44" s="49"/>
      <c r="FI44" s="49"/>
      <c r="FJ44" s="49"/>
    </row>
    <row r="45" spans="1:173" x14ac:dyDescent="0.2">
      <c r="A45" s="102"/>
      <c r="B45" t="s">
        <v>63</v>
      </c>
      <c r="C45" s="49">
        <v>150</v>
      </c>
      <c r="D45" s="49">
        <v>115.8</v>
      </c>
      <c r="E45" s="49">
        <v>150</v>
      </c>
      <c r="F45" s="49">
        <f>227.5-E45-D45-C45+494.7</f>
        <v>306.39999999999998</v>
      </c>
      <c r="G45" s="51">
        <v>157</v>
      </c>
      <c r="H45" s="51">
        <v>124</v>
      </c>
      <c r="I45" s="51">
        <v>125</v>
      </c>
      <c r="J45" s="52">
        <f>540-I45-H45-G45</f>
        <v>134</v>
      </c>
      <c r="K45" s="51">
        <v>140.30000000000001</v>
      </c>
      <c r="L45" s="51">
        <v>100</v>
      </c>
      <c r="M45" s="51">
        <v>100</v>
      </c>
      <c r="N45" s="52">
        <f>442.2-K45-L45-M45</f>
        <v>101.89999999999998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f>227.5+494.7</f>
        <v>722.2</v>
      </c>
      <c r="EI45" s="49"/>
      <c r="EJ45" s="49"/>
      <c r="EK45" s="49"/>
      <c r="EL45" s="49"/>
      <c r="EM45" s="49">
        <v>285.39999999999998</v>
      </c>
      <c r="EN45" s="51"/>
      <c r="EO45" s="51">
        <v>198</v>
      </c>
      <c r="EP45" s="51">
        <v>171</v>
      </c>
      <c r="EQ45" s="51">
        <v>138</v>
      </c>
      <c r="ER45" s="51">
        <v>118</v>
      </c>
      <c r="ES45" s="51">
        <v>90</v>
      </c>
      <c r="ET45" s="51">
        <f>ES45*0.9</f>
        <v>81</v>
      </c>
      <c r="EU45" s="51">
        <f>ET45*0.9</f>
        <v>72.900000000000006</v>
      </c>
      <c r="EV45" s="51"/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/>
      <c r="FH45" s="49"/>
      <c r="FI45" s="49"/>
      <c r="FJ45" s="49"/>
    </row>
    <row r="46" spans="1:173" x14ac:dyDescent="0.2">
      <c r="A46" s="102"/>
      <c r="B46" t="s">
        <v>64</v>
      </c>
      <c r="C46">
        <v>30</v>
      </c>
      <c r="D46">
        <v>35</v>
      </c>
      <c r="E46">
        <v>40</v>
      </c>
      <c r="F46">
        <f>169-E46-D46-C46</f>
        <v>64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>
        <v>169</v>
      </c>
      <c r="EI46" s="49"/>
      <c r="EJ46" s="49"/>
      <c r="EK46" s="49"/>
      <c r="EL46" s="49"/>
      <c r="EM46" s="49"/>
      <c r="EN46" s="51"/>
      <c r="EO46" s="51">
        <v>38</v>
      </c>
      <c r="EP46" s="51">
        <v>32</v>
      </c>
      <c r="EQ46" s="51">
        <v>55</v>
      </c>
      <c r="ER46" s="51">
        <v>28</v>
      </c>
      <c r="ES46" s="51">
        <v>17</v>
      </c>
      <c r="ET46" s="51">
        <v>16</v>
      </c>
      <c r="EU46" s="51">
        <v>16</v>
      </c>
      <c r="EV46" s="51"/>
      <c r="EW46" s="51"/>
      <c r="EX46" s="51"/>
      <c r="EY46" s="51"/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</row>
    <row r="47" spans="1:173" x14ac:dyDescent="0.2">
      <c r="A47" s="102"/>
      <c r="B47" s="38" t="s">
        <v>768</v>
      </c>
      <c r="C47">
        <v>120</v>
      </c>
      <c r="D47">
        <v>130</v>
      </c>
      <c r="E47">
        <v>140</v>
      </c>
      <c r="F47">
        <f>548-E47-D47-C47</f>
        <v>158</v>
      </c>
      <c r="G47" s="51">
        <v>150</v>
      </c>
      <c r="H47" s="51">
        <v>118</v>
      </c>
      <c r="I47" s="51">
        <v>126.9</v>
      </c>
      <c r="J47" s="51">
        <f>531-I47-H47-G47</f>
        <v>136.10000000000002</v>
      </c>
      <c r="K47" s="51">
        <v>163.6</v>
      </c>
      <c r="L47" s="51">
        <v>119.4</v>
      </c>
      <c r="M47" s="51">
        <v>132.19999999999999</v>
      </c>
      <c r="N47" s="51">
        <f>526.5-M47-L47-K47</f>
        <v>111.29999999999998</v>
      </c>
      <c r="O47" s="51">
        <f>319-P47-Q47</f>
        <v>145</v>
      </c>
      <c r="P47" s="51">
        <v>77</v>
      </c>
      <c r="Q47" s="51">
        <v>97</v>
      </c>
      <c r="R47" s="51">
        <f>418-Q47-P47-O47</f>
        <v>99</v>
      </c>
      <c r="S47" s="51">
        <v>111.5</v>
      </c>
      <c r="T47" s="51">
        <v>81.3</v>
      </c>
      <c r="U47" s="51">
        <v>82</v>
      </c>
      <c r="V47" s="51">
        <f>418-U47-T47-S47</f>
        <v>143.19999999999999</v>
      </c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>
        <v>548</v>
      </c>
      <c r="EI47" s="49"/>
      <c r="EJ47" s="49"/>
      <c r="EK47" s="49">
        <v>418</v>
      </c>
      <c r="EL47" s="49">
        <v>354.7</v>
      </c>
      <c r="EM47" s="49">
        <v>321.39999999999998</v>
      </c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</row>
    <row r="48" spans="1:173" x14ac:dyDescent="0.2">
      <c r="A48" s="102"/>
      <c r="B48" t="s">
        <v>65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>
        <v>75</v>
      </c>
      <c r="EP48" s="51">
        <v>52</v>
      </c>
      <c r="EQ48" s="51">
        <v>46</v>
      </c>
      <c r="ER48" s="51">
        <v>34</v>
      </c>
      <c r="ES48" s="51">
        <v>32</v>
      </c>
      <c r="ET48" s="51">
        <f>ES48*0.8</f>
        <v>25.6</v>
      </c>
      <c r="EU48" s="51">
        <f>ET48*0.8</f>
        <v>20.480000000000004</v>
      </c>
      <c r="EV48" s="51"/>
      <c r="EW48" s="51"/>
      <c r="EX48" s="51"/>
      <c r="EY48" s="51"/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</row>
    <row r="49" spans="1:173" x14ac:dyDescent="0.2">
      <c r="A49" s="102"/>
      <c r="B49" t="s">
        <v>66</v>
      </c>
      <c r="C49"/>
      <c r="D49"/>
      <c r="E49"/>
      <c r="F49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>
        <v>25</v>
      </c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>
        <v>205</v>
      </c>
      <c r="EN49" s="51"/>
      <c r="EO49" s="51">
        <v>145</v>
      </c>
      <c r="EP49" s="51">
        <v>173</v>
      </c>
      <c r="EQ49" s="51">
        <v>198</v>
      </c>
      <c r="ER49" s="51">
        <v>240</v>
      </c>
      <c r="ES49" s="51">
        <v>154</v>
      </c>
      <c r="ET49" s="51">
        <v>136</v>
      </c>
      <c r="EU49" s="51">
        <v>143</v>
      </c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</row>
    <row r="50" spans="1:173" x14ac:dyDescent="0.2">
      <c r="A50" s="102"/>
      <c r="B50" t="s">
        <v>67</v>
      </c>
      <c r="C50"/>
      <c r="D50"/>
      <c r="E50"/>
      <c r="F50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51"/>
      <c r="EO50" s="51">
        <v>122</v>
      </c>
      <c r="EP50" s="51">
        <v>63</v>
      </c>
      <c r="EQ50" s="51">
        <v>44</v>
      </c>
      <c r="ER50" s="51">
        <v>25</v>
      </c>
      <c r="ES50" s="51">
        <v>31</v>
      </c>
      <c r="ET50" s="51">
        <f>ES50*0.9</f>
        <v>27.900000000000002</v>
      </c>
      <c r="EU50" s="51">
        <f>ET50*0.9</f>
        <v>25.110000000000003</v>
      </c>
      <c r="EV50" s="51">
        <f>EU50*0.9</f>
        <v>22.599000000000004</v>
      </c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</row>
    <row r="51" spans="1:173" x14ac:dyDescent="0.2">
      <c r="A51" s="102"/>
      <c r="B51" t="s">
        <v>71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>
        <v>46</v>
      </c>
      <c r="EP51" s="51">
        <v>43</v>
      </c>
      <c r="EQ51" s="51">
        <v>34</v>
      </c>
      <c r="ER51" s="51">
        <v>52</v>
      </c>
      <c r="ES51" s="51">
        <v>34</v>
      </c>
      <c r="ET51" s="51">
        <v>34</v>
      </c>
      <c r="EU51" s="51">
        <v>35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</row>
    <row r="52" spans="1:173" x14ac:dyDescent="0.2">
      <c r="A52" s="102"/>
      <c r="B52" t="s">
        <v>72</v>
      </c>
      <c r="C52"/>
      <c r="D52"/>
      <c r="E52"/>
      <c r="F52"/>
      <c r="G52" s="51">
        <v>20</v>
      </c>
      <c r="H52" s="51">
        <v>37</v>
      </c>
      <c r="I52" s="51">
        <v>38.5</v>
      </c>
      <c r="J52" s="51">
        <f>149-I52-H52-G52</f>
        <v>53.5</v>
      </c>
      <c r="K52" s="51">
        <v>51.7</v>
      </c>
      <c r="L52" s="51">
        <v>59.8</v>
      </c>
      <c r="M52" s="51">
        <v>63.3</v>
      </c>
      <c r="N52" s="51">
        <f>254.4-M52-L52-K52</f>
        <v>79.600000000000009</v>
      </c>
      <c r="O52" s="51">
        <v>70</v>
      </c>
      <c r="P52" s="51">
        <v>101</v>
      </c>
      <c r="Q52" s="51">
        <v>87</v>
      </c>
      <c r="R52" s="51">
        <f>365.4-Q52-P52-O52</f>
        <v>107.39999999999998</v>
      </c>
      <c r="S52" s="51">
        <v>101</v>
      </c>
      <c r="T52" s="51">
        <v>114.2</v>
      </c>
      <c r="U52" s="51">
        <v>107.3</v>
      </c>
      <c r="V52" s="51">
        <f>447.3-U52-T52-S52</f>
        <v>124.80000000000001</v>
      </c>
      <c r="W52" s="51">
        <v>110.3</v>
      </c>
      <c r="X52" s="51">
        <v>104.5</v>
      </c>
      <c r="Y52" s="51">
        <v>97.7</v>
      </c>
      <c r="Z52" s="51">
        <f>418.1-Y52-X52-W52</f>
        <v>105.60000000000004</v>
      </c>
      <c r="AA52" s="51">
        <v>110.7</v>
      </c>
      <c r="AB52" s="51">
        <v>110.1</v>
      </c>
      <c r="AC52" s="51">
        <v>105.1</v>
      </c>
      <c r="AD52" s="51">
        <f>431.4-AC52-AB52-AA52</f>
        <v>105.49999999999996</v>
      </c>
      <c r="AE52" s="51">
        <v>91.7</v>
      </c>
      <c r="AF52" s="51">
        <v>101</v>
      </c>
      <c r="AG52" s="51">
        <v>92.4</v>
      </c>
      <c r="AH52" s="51">
        <f>384-AG52-AF52-AE52</f>
        <v>98.90000000000002</v>
      </c>
      <c r="AI52" s="51">
        <v>93.1</v>
      </c>
      <c r="AJ52" s="51">
        <v>94.5</v>
      </c>
      <c r="AK52" s="51">
        <v>88.2</v>
      </c>
      <c r="AL52" s="51">
        <f>364.4-AK52-AJ52-AI52</f>
        <v>88.6</v>
      </c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>
        <v>67</v>
      </c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>
        <v>365.4</v>
      </c>
      <c r="EL52" s="49">
        <v>447.3</v>
      </c>
      <c r="EM52" s="49">
        <v>418.1</v>
      </c>
      <c r="EN52" s="51">
        <v>431.4</v>
      </c>
      <c r="EO52" s="51">
        <v>384</v>
      </c>
      <c r="EP52" s="51">
        <v>364</v>
      </c>
      <c r="EQ52" s="51">
        <v>363</v>
      </c>
      <c r="ER52" s="51">
        <v>297</v>
      </c>
      <c r="ES52" s="51">
        <v>296</v>
      </c>
      <c r="ET52" s="51">
        <f>ES52*0.95</f>
        <v>281.2</v>
      </c>
      <c r="EU52" s="51">
        <f>ET52*0.95</f>
        <v>267.14</v>
      </c>
      <c r="EV52" s="51">
        <f>EU52*0.95</f>
        <v>253.78299999999999</v>
      </c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</row>
    <row r="53" spans="1:173" x14ac:dyDescent="0.2">
      <c r="A53" s="102"/>
      <c r="B53" t="s">
        <v>73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60</v>
      </c>
      <c r="EP53" s="51">
        <v>70</v>
      </c>
      <c r="EQ53" s="51">
        <v>42</v>
      </c>
      <c r="ER53" s="51">
        <v>34</v>
      </c>
      <c r="ES53" s="51">
        <v>23</v>
      </c>
      <c r="ET53" s="51">
        <v>22</v>
      </c>
      <c r="EU53" s="51">
        <v>22</v>
      </c>
      <c r="EV53" s="51">
        <v>22</v>
      </c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</row>
    <row r="54" spans="1:173" x14ac:dyDescent="0.2">
      <c r="A54" s="102"/>
      <c r="B54" t="s">
        <v>68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>
        <v>133.19999999999999</v>
      </c>
      <c r="AJ54" s="51">
        <v>116.3</v>
      </c>
      <c r="AK54" s="51">
        <v>67.099999999999994</v>
      </c>
      <c r="AL54" s="51">
        <f>431.2-AK54-AJ54-AI54</f>
        <v>114.60000000000002</v>
      </c>
      <c r="AM54" s="51">
        <v>153.30000000000001</v>
      </c>
      <c r="AN54" s="51">
        <v>112.4</v>
      </c>
      <c r="AO54" s="51">
        <v>58.3</v>
      </c>
      <c r="AP54" s="51">
        <v>128.9</v>
      </c>
      <c r="AQ54" s="51">
        <v>168.7</v>
      </c>
      <c r="AR54" s="51">
        <v>105</v>
      </c>
      <c r="AS54" s="51">
        <f>AW54/1.2</f>
        <v>64.166666666666671</v>
      </c>
      <c r="AT54" s="51">
        <v>155</v>
      </c>
      <c r="AU54" s="51">
        <v>189</v>
      </c>
      <c r="AV54" s="51">
        <v>93</v>
      </c>
      <c r="AW54" s="51">
        <v>77</v>
      </c>
      <c r="AX54" s="51">
        <f>BB54/1.04</f>
        <v>89.615384615384613</v>
      </c>
      <c r="AY54" s="51"/>
      <c r="AZ54" s="51"/>
      <c r="BA54" s="51">
        <v>97.8</v>
      </c>
      <c r="BB54" s="51">
        <v>93.2</v>
      </c>
      <c r="BC54" s="51">
        <v>84.1</v>
      </c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>
        <v>37.9</v>
      </c>
      <c r="EM54" s="49">
        <v>223</v>
      </c>
      <c r="EN54" s="51"/>
      <c r="EO54" s="51">
        <v>392</v>
      </c>
      <c r="EP54" s="51">
        <v>430</v>
      </c>
      <c r="EQ54" s="51">
        <v>453</v>
      </c>
      <c r="ER54" s="51">
        <v>493</v>
      </c>
      <c r="ES54" s="51">
        <v>428</v>
      </c>
      <c r="ET54" s="51">
        <f>SUM(AY54:BB54)</f>
        <v>191</v>
      </c>
      <c r="EU54" s="51">
        <f>SUM(BC54:BF54)</f>
        <v>84.1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</row>
    <row r="55" spans="1:173" x14ac:dyDescent="0.2">
      <c r="A55" s="102"/>
      <c r="B55" t="s">
        <v>74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>
        <v>22</v>
      </c>
      <c r="AF55" s="51">
        <v>22.6</v>
      </c>
      <c r="AG55" s="51">
        <v>21.2</v>
      </c>
      <c r="AH55" s="51">
        <f>100.2-AG55-AF55-AE55</f>
        <v>34.4</v>
      </c>
      <c r="AI55" s="51">
        <v>35.9</v>
      </c>
      <c r="AJ55" s="51">
        <v>36.1</v>
      </c>
      <c r="AK55" s="51">
        <v>37.799999999999997</v>
      </c>
      <c r="AL55" s="51">
        <f>160.4-AK55-AJ55-AI55</f>
        <v>50.6</v>
      </c>
      <c r="AM55" s="51"/>
      <c r="AN55" s="51"/>
      <c r="AO55" s="51"/>
      <c r="AP55" s="51">
        <v>55.3</v>
      </c>
      <c r="AQ55" s="51">
        <v>59.5</v>
      </c>
      <c r="AR55" s="51"/>
      <c r="AS55" s="51">
        <v>45.5</v>
      </c>
      <c r="AT55" s="51">
        <v>51.8</v>
      </c>
      <c r="AU55" s="51">
        <v>50</v>
      </c>
      <c r="AV55" s="51">
        <v>48</v>
      </c>
      <c r="AW55" s="51">
        <v>42</v>
      </c>
      <c r="AX55" s="51"/>
      <c r="AY55" s="51">
        <v>40</v>
      </c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51">
        <v>21.2</v>
      </c>
      <c r="EO55" s="51">
        <v>98</v>
      </c>
      <c r="EP55" s="51">
        <v>161</v>
      </c>
      <c r="EQ55" s="51">
        <v>202</v>
      </c>
      <c r="ER55" s="51">
        <v>215</v>
      </c>
      <c r="ES55" s="51">
        <v>212</v>
      </c>
      <c r="ET55" s="51">
        <f>ES55*0.8</f>
        <v>169.60000000000002</v>
      </c>
      <c r="EU55" s="51">
        <f>ET55*0.8</f>
        <v>135.68000000000004</v>
      </c>
      <c r="EV55" s="51">
        <f>EU55*0.8</f>
        <v>108.54400000000004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</row>
    <row r="56" spans="1:173" x14ac:dyDescent="0.2">
      <c r="A56" s="102"/>
      <c r="B56" t="s">
        <v>17</v>
      </c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51">
        <v>33</v>
      </c>
      <c r="P56" s="51">
        <v>15</v>
      </c>
      <c r="Q56" s="51">
        <v>33</v>
      </c>
      <c r="R56" s="51">
        <f>144.1-Q56-P56-O56</f>
        <v>63.099999999999994</v>
      </c>
      <c r="S56" s="51">
        <v>54.6</v>
      </c>
      <c r="T56" s="51">
        <v>66.599999999999994</v>
      </c>
      <c r="U56" s="51">
        <v>92.8</v>
      </c>
      <c r="V56" s="51">
        <f>326.1-U56-T56-S56</f>
        <v>112.10000000000002</v>
      </c>
      <c r="W56" s="51">
        <v>100.5</v>
      </c>
      <c r="X56" s="51">
        <v>133.69999999999999</v>
      </c>
      <c r="Y56" s="51">
        <v>141.5</v>
      </c>
      <c r="Z56" s="51">
        <f>521.5-Y56-X56-W56</f>
        <v>145.80000000000001</v>
      </c>
      <c r="AA56" s="51">
        <v>149</v>
      </c>
      <c r="AB56" s="51">
        <v>167</v>
      </c>
      <c r="AC56" s="51">
        <v>183.1</v>
      </c>
      <c r="AD56" s="51">
        <f>664.8-AC56-AB56-AA56</f>
        <v>165.69999999999993</v>
      </c>
      <c r="AE56" s="51">
        <v>177.9</v>
      </c>
      <c r="AF56" s="51">
        <v>188.2</v>
      </c>
      <c r="AG56" s="51">
        <v>217.4</v>
      </c>
      <c r="AH56" s="51">
        <f>821.9-AG56-AF56-AE56</f>
        <v>238.4</v>
      </c>
      <c r="AI56" s="51">
        <v>214</v>
      </c>
      <c r="AJ56" s="51">
        <v>223.5</v>
      </c>
      <c r="AK56" s="51">
        <v>240</v>
      </c>
      <c r="AL56" s="51">
        <v>244.6</v>
      </c>
      <c r="AM56" s="51">
        <v>232.8</v>
      </c>
      <c r="AN56" s="51">
        <v>276.60000000000002</v>
      </c>
      <c r="AO56" s="51">
        <v>246.1</v>
      </c>
      <c r="AP56" s="51">
        <v>257.3</v>
      </c>
      <c r="AQ56" s="51">
        <v>248.9</v>
      </c>
      <c r="AR56" s="51">
        <v>261.60000000000002</v>
      </c>
      <c r="AS56" s="51">
        <v>260.3</v>
      </c>
      <c r="AT56" s="51">
        <v>265.3</v>
      </c>
      <c r="AU56" s="51">
        <v>242</v>
      </c>
      <c r="AV56" s="51">
        <v>276</v>
      </c>
      <c r="AW56" s="51">
        <v>258</v>
      </c>
      <c r="AX56" s="51">
        <v>270.3</v>
      </c>
      <c r="AY56" s="51">
        <v>263.8</v>
      </c>
      <c r="AZ56" s="51">
        <v>278</v>
      </c>
      <c r="BA56" s="51">
        <v>263.2</v>
      </c>
      <c r="BB56" s="51">
        <v>285.8</v>
      </c>
      <c r="BC56" s="51">
        <v>261.10000000000002</v>
      </c>
      <c r="BD56" s="51">
        <v>279.8</v>
      </c>
      <c r="BE56" s="51">
        <v>265.7</v>
      </c>
      <c r="BF56" s="51">
        <v>269</v>
      </c>
      <c r="BG56" s="51">
        <v>256.89999999999998</v>
      </c>
      <c r="BH56" s="51">
        <v>251.3</v>
      </c>
      <c r="BI56" s="51">
        <v>259.5</v>
      </c>
      <c r="BJ56" s="51">
        <v>262.7</v>
      </c>
      <c r="BK56" s="51">
        <v>241.6</v>
      </c>
      <c r="BL56" s="51">
        <v>259.5</v>
      </c>
      <c r="BM56" s="51">
        <v>256.8</v>
      </c>
      <c r="BN56" s="51">
        <v>266.5</v>
      </c>
      <c r="BO56" s="51">
        <v>266.10000000000002</v>
      </c>
      <c r="BP56" s="51">
        <v>263.5</v>
      </c>
      <c r="BQ56" s="51">
        <v>270.10000000000002</v>
      </c>
      <c r="BR56" s="51">
        <v>267.10000000000002</v>
      </c>
      <c r="BS56" s="51">
        <v>256.2</v>
      </c>
      <c r="BT56" s="51">
        <v>265.89999999999998</v>
      </c>
      <c r="BU56" s="51">
        <v>247</v>
      </c>
      <c r="BV56" s="51">
        <v>241</v>
      </c>
      <c r="BW56" s="51">
        <v>240.6</v>
      </c>
      <c r="BX56" s="51">
        <v>278.7</v>
      </c>
      <c r="BY56" s="51">
        <v>255.3</v>
      </c>
      <c r="BZ56" s="51">
        <v>275.89999999999998</v>
      </c>
      <c r="CA56" s="51">
        <v>150.1</v>
      </c>
      <c r="CB56" s="51">
        <v>108.3</v>
      </c>
      <c r="CC56" s="51">
        <v>89.5</v>
      </c>
      <c r="CD56" s="51">
        <v>72.099999999999994</v>
      </c>
      <c r="CE56" s="51">
        <v>66.8</v>
      </c>
      <c r="CF56" s="51">
        <v>59.7</v>
      </c>
      <c r="CG56" s="51">
        <v>58</v>
      </c>
      <c r="CH56" s="51">
        <v>52.8</v>
      </c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>
        <v>144.1</v>
      </c>
      <c r="EL56" s="49">
        <v>326.10000000000002</v>
      </c>
      <c r="EM56" s="49">
        <v>521.5</v>
      </c>
      <c r="EN56" s="51">
        <v>664.8</v>
      </c>
      <c r="EO56" s="51">
        <v>822</v>
      </c>
      <c r="EP56" s="51">
        <v>922</v>
      </c>
      <c r="EQ56" s="51">
        <v>1013</v>
      </c>
      <c r="ER56" s="51">
        <v>1036</v>
      </c>
      <c r="ES56" s="51">
        <f>SUM(AU56:AX56)</f>
        <v>1046.3</v>
      </c>
      <c r="ET56" s="51">
        <f>SUM(AY56:BB56)</f>
        <v>1090.8</v>
      </c>
      <c r="EU56" s="51">
        <f>SUM(BC56:BF56)</f>
        <v>1075.6000000000001</v>
      </c>
      <c r="EV56" s="51">
        <f>SUM(BG56:BJ56)</f>
        <v>1030.4000000000001</v>
      </c>
      <c r="EW56" s="51">
        <f>SUM(BK56:BN56)</f>
        <v>1024.4000000000001</v>
      </c>
      <c r="EX56" s="51">
        <f>SUM(BO56:BR56)</f>
        <v>1066.8000000000002</v>
      </c>
      <c r="EY56" s="51">
        <f>SUM(BS56:BV56)</f>
        <v>1010.0999999999999</v>
      </c>
      <c r="EZ56" s="51">
        <v>1050.4000000000001</v>
      </c>
      <c r="FA56" s="51">
        <v>419.8</v>
      </c>
      <c r="FB56" s="51">
        <v>237.3</v>
      </c>
      <c r="FC56" s="51"/>
      <c r="FD56" s="51"/>
      <c r="FE56" s="51"/>
      <c r="FF56" s="49"/>
      <c r="FG56" s="49"/>
      <c r="FH56" s="49"/>
      <c r="FI56" s="49"/>
      <c r="FJ56" s="49"/>
    </row>
    <row r="57" spans="1:173" x14ac:dyDescent="0.2">
      <c r="A57" s="102"/>
      <c r="B57" s="38" t="s">
        <v>238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</row>
    <row r="58" spans="1:173" s="38" customFormat="1" x14ac:dyDescent="0.2">
      <c r="A58" s="106"/>
      <c r="B58" s="38" t="s">
        <v>275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49"/>
      <c r="FG58" s="49"/>
      <c r="FH58" s="49"/>
      <c r="FI58" s="49"/>
      <c r="FJ58" s="49"/>
    </row>
    <row r="59" spans="1:173" x14ac:dyDescent="0.2">
      <c r="A59" s="102"/>
      <c r="B59" t="s">
        <v>80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>
        <v>155.19999999999999</v>
      </c>
      <c r="BH59" s="51">
        <v>179.5</v>
      </c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>
        <f>5957.3-SUM(BV5:BV56)</f>
        <v>601.19999999999982</v>
      </c>
      <c r="BW59" s="51">
        <f>5602-SUM(BW5:BW56)</f>
        <v>608.79999999999927</v>
      </c>
      <c r="BX59" s="51">
        <f>5929.7-SUM(BX5:BX56)</f>
        <v>569.60000000000036</v>
      </c>
      <c r="BY59" s="51">
        <f>5772.6-SUM(BY5:BY56)</f>
        <v>587.50000000000091</v>
      </c>
      <c r="BZ59" s="51">
        <f>5808.8-SUM(BZ5:BZ56)</f>
        <v>613.70000000000073</v>
      </c>
      <c r="CA59" s="51">
        <f>4683.1-SUM(CA5:CA56)</f>
        <v>462.69999999999982</v>
      </c>
      <c r="CB59" s="51">
        <f>4935.6-SUM(CB5:CB56)</f>
        <v>505.49999999999909</v>
      </c>
      <c r="CC59" s="51">
        <f>4875.6-SUM(CC5:CC56)</f>
        <v>479.30000000000018</v>
      </c>
      <c r="CD59" s="51">
        <f>5121.3-SUM(CD5:CD56)</f>
        <v>387.39999999999964</v>
      </c>
      <c r="CE59" s="51">
        <f>4644.7-SUM(CE5:CE57)</f>
        <v>346.5</v>
      </c>
      <c r="CF59" s="51">
        <f>4978.7-SUM(CF5:CF56)</f>
        <v>340.80000000000018</v>
      </c>
      <c r="CG59" s="51">
        <f>4959.7-SUM(CG5:CG56)</f>
        <v>365.19999999999891</v>
      </c>
      <c r="CH59" s="51">
        <f>5375.6-SUM(CH5:CH56)</f>
        <v>365.30000000000018</v>
      </c>
      <c r="CI59" s="51">
        <f>4865.1-SUM(CI5:CI40)</f>
        <v>463.70000000000073</v>
      </c>
      <c r="CJ59" s="51">
        <f>5404.8-SUM(CJ5:CJ40)</f>
        <v>490.10000000000036</v>
      </c>
      <c r="CK59" s="51">
        <f>5191.7-SUM(CK5:CK40)</f>
        <v>492.09999999999945</v>
      </c>
      <c r="CL59" s="51">
        <f>5760.5-SUM(CL5:CL40)</f>
        <v>528.10000000000036</v>
      </c>
      <c r="CM59" s="51">
        <f>5228.3-SUM(CM5:CM39)</f>
        <v>474.60000000000036</v>
      </c>
      <c r="CN59" s="51">
        <f>5824.3-SUM(CN5:CN39)</f>
        <v>514.19999999999982</v>
      </c>
      <c r="CO59" s="51">
        <f>5658-SUM(CO5:CO39)</f>
        <v>403.29999999999927</v>
      </c>
      <c r="CP59" s="51">
        <f>6160.7-SUM(CP5:CP39)</f>
        <v>420.99999999999909</v>
      </c>
      <c r="CQ59" s="51"/>
      <c r="CR59" s="51">
        <f>6355.2-SUM(CR5:CR39)</f>
        <v>-101.89999999999964</v>
      </c>
      <c r="CS59" s="51">
        <f>6061.9-SUM(CS5:CS39)</f>
        <v>-94.599999999999454</v>
      </c>
      <c r="CT59" s="51">
        <f>6438.6-SUM(CT5:CT39)</f>
        <v>331.80000000000018</v>
      </c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59</v>
      </c>
      <c r="EP59" s="51">
        <v>58</v>
      </c>
      <c r="EQ59" s="51">
        <v>57</v>
      </c>
      <c r="ER59" s="51">
        <v>69</v>
      </c>
      <c r="ES59" s="51">
        <v>65</v>
      </c>
      <c r="ET59" s="51">
        <v>65</v>
      </c>
      <c r="EU59" s="51">
        <v>65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49"/>
      <c r="FG59" s="49"/>
      <c r="FH59" s="49"/>
      <c r="FI59" s="49"/>
      <c r="FJ59" s="49"/>
    </row>
    <row r="60" spans="1:173" x14ac:dyDescent="0.2">
      <c r="A60" s="102"/>
      <c r="B60" t="s">
        <v>76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35</v>
      </c>
      <c r="EP60" s="51">
        <v>32</v>
      </c>
      <c r="EQ60" s="51">
        <v>19</v>
      </c>
      <c r="ER60" s="51">
        <v>12</v>
      </c>
      <c r="ES60" s="51">
        <v>14</v>
      </c>
      <c r="ET60" s="51">
        <v>10</v>
      </c>
      <c r="EU60" s="51">
        <v>10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49"/>
      <c r="FG60" s="49"/>
      <c r="FH60" s="49"/>
      <c r="FI60" s="49"/>
      <c r="FJ60" s="49"/>
    </row>
    <row r="61" spans="1:173" x14ac:dyDescent="0.2">
      <c r="A61" s="102"/>
      <c r="B61" s="38" t="s">
        <v>249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>
        <f>5210.5-SUM(BF9:BF60)</f>
        <v>481.80000000000018</v>
      </c>
      <c r="BG61" s="51">
        <f>4891.8-SUM(BG9:BG60)</f>
        <v>186.30000000000018</v>
      </c>
      <c r="BH61" s="51">
        <f>5113.5-SUM(BH9:BH60)</f>
        <v>71.599999999999454</v>
      </c>
      <c r="BI61" s="51">
        <f>5562-SUM(BI9:BI57)</f>
        <v>424.29999999999927</v>
      </c>
      <c r="BJ61" s="51">
        <f>5934-SUM(BJ9:BJ57)</f>
        <v>449</v>
      </c>
      <c r="BK61" s="51">
        <f>5485.5-SUM(BK9:BK57)</f>
        <v>390.59999999999945</v>
      </c>
      <c r="BL61" s="51">
        <f>5748.7-SUM(BL9:BL57)</f>
        <v>410.40000000000055</v>
      </c>
      <c r="BM61" s="51">
        <f>5654.8-SUM(BM9:BM57)</f>
        <v>381.39999999999964</v>
      </c>
      <c r="BN61" s="51"/>
      <c r="BO61" s="51">
        <f>5839.2-SUM(BO9:BO57)</f>
        <v>410.09999999999854</v>
      </c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2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Z61" s="51">
        <v>707.5</v>
      </c>
      <c r="FE61" s="47"/>
      <c r="FF61" s="47"/>
      <c r="FG61" s="49"/>
      <c r="FH61" s="49"/>
      <c r="FI61" s="49"/>
      <c r="FJ61" s="49"/>
    </row>
    <row r="62" spans="1:173" s="55" customFormat="1" x14ac:dyDescent="0.2">
      <c r="A62" s="107"/>
      <c r="B62" s="55" t="s">
        <v>379</v>
      </c>
      <c r="C62" s="56">
        <f t="shared" ref="C62:F62" si="44">SUM(C9:C61)</f>
        <v>976.7</v>
      </c>
      <c r="D62" s="56">
        <f t="shared" si="44"/>
        <v>1044.1999999999998</v>
      </c>
      <c r="E62" s="56">
        <f t="shared" si="44"/>
        <v>1190.7</v>
      </c>
      <c r="F62" s="56">
        <f t="shared" si="44"/>
        <v>1390.6</v>
      </c>
      <c r="G62" s="56">
        <f t="shared" ref="G62:J62" si="45">SUM(G9:G61)</f>
        <v>1113</v>
      </c>
      <c r="H62" s="56">
        <f t="shared" si="45"/>
        <v>1107</v>
      </c>
      <c r="I62" s="56">
        <f t="shared" si="45"/>
        <v>1176.5</v>
      </c>
      <c r="J62" s="56">
        <f t="shared" si="45"/>
        <v>1326.5</v>
      </c>
      <c r="K62" s="56">
        <f t="shared" ref="K62:N62" si="46">SUM(K9:K61)</f>
        <v>1270.3</v>
      </c>
      <c r="L62" s="56">
        <f t="shared" si="46"/>
        <v>1297.9000000000001</v>
      </c>
      <c r="M62" s="56">
        <f t="shared" si="46"/>
        <v>1486.1000000000001</v>
      </c>
      <c r="N62" s="56">
        <f t="shared" si="46"/>
        <v>1602.8</v>
      </c>
      <c r="O62" s="56">
        <f t="shared" ref="O62:R62" si="47">SUM(O9:O61)</f>
        <v>1430</v>
      </c>
      <c r="P62" s="56">
        <f t="shared" si="47"/>
        <v>1533</v>
      </c>
      <c r="Q62" s="56">
        <f t="shared" si="47"/>
        <v>1733</v>
      </c>
      <c r="R62" s="56">
        <f t="shared" si="47"/>
        <v>1818.2999999999997</v>
      </c>
      <c r="S62" s="56">
        <f t="shared" ref="S62:V62" si="48">SUM(S9:S61)</f>
        <v>1618</v>
      </c>
      <c r="T62" s="56">
        <f t="shared" si="48"/>
        <v>1758.4</v>
      </c>
      <c r="U62" s="56">
        <f t="shared" si="48"/>
        <v>1945.4</v>
      </c>
      <c r="V62" s="56">
        <f t="shared" si="48"/>
        <v>2139.8999999999996</v>
      </c>
      <c r="W62" s="56">
        <f t="shared" ref="W62:Z62" si="49">SUM(W9:W61)</f>
        <v>1746.8999999999999</v>
      </c>
      <c r="X62" s="56">
        <f t="shared" si="49"/>
        <v>1865.9</v>
      </c>
      <c r="Y62" s="56">
        <f t="shared" si="49"/>
        <v>2092.6000000000004</v>
      </c>
      <c r="Z62" s="56">
        <f t="shared" si="49"/>
        <v>2173.6999999999998</v>
      </c>
      <c r="AA62" s="56">
        <f t="shared" ref="AA62:AD62" si="50">SUM(AA9:AA61)</f>
        <v>2097</v>
      </c>
      <c r="AB62" s="56">
        <f t="shared" si="50"/>
        <v>2277.3000000000002</v>
      </c>
      <c r="AC62" s="56">
        <f t="shared" si="50"/>
        <v>2156.1</v>
      </c>
      <c r="AD62" s="56">
        <f t="shared" si="50"/>
        <v>2056.5</v>
      </c>
      <c r="AE62" s="56">
        <f t="shared" ref="AE62:AH62" si="51">SUM(AE9:AE61)</f>
        <v>1906.5</v>
      </c>
      <c r="AF62" s="56">
        <f t="shared" si="51"/>
        <v>2094.9</v>
      </c>
      <c r="AG62" s="56">
        <f t="shared" si="51"/>
        <v>2163.6000000000004</v>
      </c>
      <c r="AH62" s="56">
        <f t="shared" si="51"/>
        <v>2273.6000000000004</v>
      </c>
      <c r="AI62" s="56">
        <f t="shared" ref="AI62:CC62" si="52">SUM(AI9:AI61)</f>
        <v>2388.6999999999998</v>
      </c>
      <c r="AJ62" s="56">
        <f t="shared" si="52"/>
        <v>2585.6</v>
      </c>
      <c r="AK62" s="56">
        <f t="shared" si="52"/>
        <v>2652.3999999999996</v>
      </c>
      <c r="AL62" s="56">
        <f t="shared" si="52"/>
        <v>2920.9999999999995</v>
      </c>
      <c r="AM62" s="56">
        <f t="shared" si="52"/>
        <v>2746.8</v>
      </c>
      <c r="AN62" s="56">
        <f t="shared" si="52"/>
        <v>2955.7000000000003</v>
      </c>
      <c r="AO62" s="56">
        <f t="shared" si="52"/>
        <v>2751.9</v>
      </c>
      <c r="AP62" s="56">
        <f t="shared" si="52"/>
        <v>3320.8</v>
      </c>
      <c r="AQ62" s="56">
        <f t="shared" si="52"/>
        <v>3209.4366336633661</v>
      </c>
      <c r="AR62" s="56">
        <f t="shared" si="52"/>
        <v>3330.7</v>
      </c>
      <c r="AS62" s="56">
        <f t="shared" si="52"/>
        <v>3344.2333333333336</v>
      </c>
      <c r="AT62" s="56">
        <f t="shared" si="52"/>
        <v>3650.4000000000005</v>
      </c>
      <c r="AU62" s="56">
        <f t="shared" si="52"/>
        <v>3437.8</v>
      </c>
      <c r="AV62" s="56">
        <f t="shared" si="52"/>
        <v>3648.1</v>
      </c>
      <c r="AW62" s="56">
        <f t="shared" si="52"/>
        <v>3939.8</v>
      </c>
      <c r="AX62" s="56">
        <f t="shared" si="52"/>
        <v>5680.6</v>
      </c>
      <c r="AY62" s="56">
        <f t="shared" si="52"/>
        <v>4308.9000000000005</v>
      </c>
      <c r="AZ62" s="56">
        <f t="shared" si="52"/>
        <v>4193.8</v>
      </c>
      <c r="BA62" s="56">
        <f t="shared" si="52"/>
        <v>5899.2999999999993</v>
      </c>
      <c r="BB62" s="56">
        <f t="shared" si="52"/>
        <v>6665.7000000000007</v>
      </c>
      <c r="BC62" s="56">
        <f t="shared" si="52"/>
        <v>6241.8000000000011</v>
      </c>
      <c r="BD62" s="56">
        <f t="shared" si="52"/>
        <v>6703.4999999999991</v>
      </c>
      <c r="BE62" s="56">
        <f t="shared" si="52"/>
        <v>6796.9000000000005</v>
      </c>
      <c r="BF62" s="56">
        <f t="shared" si="52"/>
        <v>5210.5</v>
      </c>
      <c r="BG62" s="56">
        <f t="shared" si="52"/>
        <v>4891.8</v>
      </c>
      <c r="BH62" s="56">
        <f t="shared" si="52"/>
        <v>5113.5</v>
      </c>
      <c r="BI62" s="56">
        <f t="shared" si="52"/>
        <v>5562</v>
      </c>
      <c r="BJ62" s="56">
        <f t="shared" si="52"/>
        <v>5934</v>
      </c>
      <c r="BK62" s="56">
        <f t="shared" si="52"/>
        <v>5485.5</v>
      </c>
      <c r="BL62" s="56">
        <f t="shared" si="52"/>
        <v>5748.7</v>
      </c>
      <c r="BM62" s="56">
        <f t="shared" si="52"/>
        <v>5654.8</v>
      </c>
      <c r="BN62" s="56">
        <f t="shared" si="52"/>
        <v>6187.2000000000007</v>
      </c>
      <c r="BO62" s="56">
        <f t="shared" si="52"/>
        <v>5839.2</v>
      </c>
      <c r="BP62" s="56">
        <f t="shared" si="52"/>
        <v>6252.7999999999984</v>
      </c>
      <c r="BQ62" s="56">
        <f t="shared" si="52"/>
        <v>6148.1</v>
      </c>
      <c r="BR62" s="56">
        <f t="shared" si="52"/>
        <v>6047.3</v>
      </c>
      <c r="BS62" s="56">
        <f t="shared" si="52"/>
        <v>5602.4000000000005</v>
      </c>
      <c r="BT62" s="56">
        <f t="shared" si="52"/>
        <v>5600.4999999999991</v>
      </c>
      <c r="BU62" s="56">
        <f t="shared" si="52"/>
        <v>5442.5</v>
      </c>
      <c r="BV62" s="56">
        <f t="shared" si="52"/>
        <v>5957.3</v>
      </c>
      <c r="BW62" s="56">
        <f t="shared" si="52"/>
        <v>5602</v>
      </c>
      <c r="BX62" s="56">
        <f t="shared" si="52"/>
        <v>5929.7</v>
      </c>
      <c r="BY62" s="56">
        <f t="shared" si="52"/>
        <v>5772.6</v>
      </c>
      <c r="BZ62" s="56">
        <f t="shared" si="52"/>
        <v>5808.8</v>
      </c>
      <c r="CA62" s="56">
        <f t="shared" si="52"/>
        <v>4683.1000000000004</v>
      </c>
      <c r="CB62" s="56">
        <f t="shared" si="52"/>
        <v>4935.6000000000004</v>
      </c>
      <c r="CC62" s="56">
        <f t="shared" si="52"/>
        <v>4875.6000000000004</v>
      </c>
      <c r="CD62" s="56">
        <f t="shared" ref="CD62:CZ62" si="53">SUM(CD5:CD61)</f>
        <v>5121.3</v>
      </c>
      <c r="CE62" s="56">
        <f t="shared" si="53"/>
        <v>4644.7</v>
      </c>
      <c r="CF62" s="56">
        <f t="shared" si="53"/>
        <v>4978.7</v>
      </c>
      <c r="CG62" s="56">
        <f t="shared" si="53"/>
        <v>4959.7</v>
      </c>
      <c r="CH62" s="56">
        <f t="shared" si="53"/>
        <v>5375.6</v>
      </c>
      <c r="CI62" s="56">
        <f t="shared" si="53"/>
        <v>4865.1000000000004</v>
      </c>
      <c r="CJ62" s="56">
        <f t="shared" si="53"/>
        <v>5404.8</v>
      </c>
      <c r="CK62" s="56">
        <f t="shared" si="53"/>
        <v>5191.7</v>
      </c>
      <c r="CL62" s="56">
        <f t="shared" si="53"/>
        <v>5760.5</v>
      </c>
      <c r="CM62" s="56">
        <f t="shared" si="53"/>
        <v>5228.3</v>
      </c>
      <c r="CN62" s="56">
        <f t="shared" si="53"/>
        <v>5824.3</v>
      </c>
      <c r="CO62" s="56">
        <f t="shared" si="53"/>
        <v>5658</v>
      </c>
      <c r="CP62" s="56">
        <f t="shared" si="53"/>
        <v>6160.7</v>
      </c>
      <c r="CQ62" s="56">
        <f t="shared" si="53"/>
        <v>4963.8</v>
      </c>
      <c r="CR62" s="56">
        <f t="shared" si="53"/>
        <v>6355.2</v>
      </c>
      <c r="CS62" s="56">
        <f t="shared" si="53"/>
        <v>6061.9</v>
      </c>
      <c r="CT62" s="56">
        <f t="shared" si="53"/>
        <v>6438.6</v>
      </c>
      <c r="CU62" s="56">
        <f t="shared" si="53"/>
        <v>5092.0999999999976</v>
      </c>
      <c r="CV62" s="56">
        <f t="shared" si="53"/>
        <v>5636.8000000000011</v>
      </c>
      <c r="CW62" s="56">
        <f t="shared" si="53"/>
        <v>5476.6</v>
      </c>
      <c r="CX62" s="56">
        <f t="shared" si="53"/>
        <v>6113.7999999999993</v>
      </c>
      <c r="CY62" s="56">
        <f t="shared" si="53"/>
        <v>5859.7999999999975</v>
      </c>
      <c r="CZ62" s="56">
        <f t="shared" si="53"/>
        <v>5499.3999999999987</v>
      </c>
      <c r="DA62" s="56">
        <f>SUM(DA5:DA51)</f>
        <v>5740.5999999999985</v>
      </c>
      <c r="DB62" s="56">
        <f>SUM(DB5:DB53)</f>
        <v>7440.0999999999995</v>
      </c>
      <c r="DC62" s="56">
        <f>SUM(DC5:DC51)</f>
        <v>6805.6</v>
      </c>
      <c r="DD62" s="56">
        <f>SUM(DD5:DD53)</f>
        <v>6739.9999999999973</v>
      </c>
      <c r="DE62" s="56">
        <f>SUM(DE5:DE51)</f>
        <v>6772.9999999999982</v>
      </c>
      <c r="DF62" s="56">
        <f>SUM(DF5:DF53)</f>
        <v>7999.9</v>
      </c>
      <c r="DG62" s="56">
        <f>SUM(DG5:DG32)</f>
        <v>7810.0999999999995</v>
      </c>
      <c r="DH62" s="56">
        <f>SUM(DH5:DH40)</f>
        <v>6487.9000000000015</v>
      </c>
      <c r="DI62" s="56">
        <f t="shared" ref="DI62:DR62" si="54">SUM(DI5:DI32)</f>
        <v>6941.5</v>
      </c>
      <c r="DJ62" s="56">
        <f t="shared" si="54"/>
        <v>7301.9000000000015</v>
      </c>
      <c r="DK62" s="56">
        <f t="shared" si="54"/>
        <v>6960.2</v>
      </c>
      <c r="DL62" s="56">
        <f t="shared" si="54"/>
        <v>7733.1999999999989</v>
      </c>
      <c r="DM62" s="56">
        <f t="shared" si="54"/>
        <v>8078.699999999998</v>
      </c>
      <c r="DN62" s="56">
        <f t="shared" si="54"/>
        <v>9353.0000000000036</v>
      </c>
      <c r="DO62" s="56">
        <f t="shared" si="54"/>
        <v>8767.9</v>
      </c>
      <c r="DP62" s="56">
        <f t="shared" si="54"/>
        <v>11302.8</v>
      </c>
      <c r="DQ62" s="56">
        <f t="shared" si="54"/>
        <v>9622.4</v>
      </c>
      <c r="DR62" s="56">
        <f t="shared" si="54"/>
        <v>10077.4</v>
      </c>
      <c r="DS62" s="56"/>
      <c r="DT62" s="56"/>
      <c r="DU62" s="56"/>
      <c r="DV62" s="56"/>
      <c r="DW62" s="57"/>
      <c r="DX62" s="57">
        <v>2140</v>
      </c>
      <c r="DY62" s="57"/>
      <c r="DZ62" s="57"/>
      <c r="EA62" s="57"/>
      <c r="EB62" s="57"/>
      <c r="EC62" s="57"/>
      <c r="ED62" s="57"/>
      <c r="EE62" s="57"/>
      <c r="EF62" s="57">
        <v>5198.5</v>
      </c>
      <c r="EG62" s="57">
        <v>5711.6</v>
      </c>
      <c r="EH62" s="57">
        <v>6508.8</v>
      </c>
      <c r="EI62" s="57">
        <v>6998.3</v>
      </c>
      <c r="EJ62" s="57">
        <v>7987.7</v>
      </c>
      <c r="EK62" s="57">
        <v>9236.7999999999993</v>
      </c>
      <c r="EL62" s="57">
        <v>10002.9</v>
      </c>
      <c r="EM62" s="57">
        <v>10862.2</v>
      </c>
      <c r="EN62" s="56">
        <v>11629</v>
      </c>
      <c r="EO62" s="56">
        <f t="shared" ref="EO62:EZ62" si="55">SUM(EO9:EO61)</f>
        <v>11156.2</v>
      </c>
      <c r="EP62" s="56">
        <f t="shared" si="55"/>
        <v>12585</v>
      </c>
      <c r="EQ62" s="56">
        <f t="shared" si="55"/>
        <v>13859</v>
      </c>
      <c r="ER62" s="56">
        <f t="shared" si="55"/>
        <v>14650</v>
      </c>
      <c r="ES62" s="56">
        <f t="shared" si="55"/>
        <v>15783.499999999998</v>
      </c>
      <c r="ET62" s="56">
        <f t="shared" si="55"/>
        <v>18565.199999999997</v>
      </c>
      <c r="EU62" s="56">
        <f t="shared" si="55"/>
        <v>19604.942499999997</v>
      </c>
      <c r="EV62" s="56">
        <f t="shared" si="55"/>
        <v>20974.425124999998</v>
      </c>
      <c r="EW62" s="56">
        <f t="shared" si="55"/>
        <v>21893.8</v>
      </c>
      <c r="EX62" s="56">
        <f t="shared" si="55"/>
        <v>23877.3</v>
      </c>
      <c r="EY62" s="56">
        <f t="shared" si="55"/>
        <v>22001.5</v>
      </c>
      <c r="EZ62" s="56">
        <f t="shared" si="55"/>
        <v>23113.100000000002</v>
      </c>
      <c r="FA62" s="56">
        <f t="shared" ref="FA62:FQ62" si="56">SUM(FA5:FA61)</f>
        <v>19615.7</v>
      </c>
      <c r="FB62" s="56">
        <f t="shared" si="56"/>
        <v>20030.3</v>
      </c>
      <c r="FC62" s="56">
        <f t="shared" si="56"/>
        <v>21623.4</v>
      </c>
      <c r="FD62" s="56">
        <f t="shared" si="56"/>
        <v>19974.200000000004</v>
      </c>
      <c r="FE62" s="56">
        <f t="shared" si="56"/>
        <v>21493.1</v>
      </c>
      <c r="FF62" s="56">
        <f t="shared" si="56"/>
        <v>22319.3</v>
      </c>
      <c r="FG62" s="56">
        <f t="shared" si="56"/>
        <v>24539.899999999998</v>
      </c>
      <c r="FH62" s="56">
        <f t="shared" si="56"/>
        <v>28318.499999999996</v>
      </c>
      <c r="FI62" s="56">
        <f t="shared" si="56"/>
        <v>28541.400000000005</v>
      </c>
      <c r="FJ62" s="56">
        <f t="shared" si="56"/>
        <v>32125.100000000002</v>
      </c>
      <c r="FK62" s="56">
        <f t="shared" si="56"/>
        <v>39770.500000000007</v>
      </c>
      <c r="FL62" s="56">
        <f t="shared" si="56"/>
        <v>47125.962999999996</v>
      </c>
      <c r="FM62" s="56">
        <f t="shared" si="56"/>
        <v>57479.582630000004</v>
      </c>
      <c r="FN62" s="56">
        <f t="shared" si="56"/>
        <v>71050.032421299984</v>
      </c>
      <c r="FO62" s="56">
        <f t="shared" si="56"/>
        <v>80791.425591762993</v>
      </c>
      <c r="FP62" s="56">
        <f t="shared" si="56"/>
        <v>86973.595620568114</v>
      </c>
      <c r="FQ62" s="56">
        <f t="shared" si="56"/>
        <v>82196.219479557665</v>
      </c>
    </row>
    <row r="63" spans="1:173" x14ac:dyDescent="0.2">
      <c r="A63" s="102"/>
      <c r="B63" t="s">
        <v>58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>
        <v>865.7</v>
      </c>
      <c r="AQ63" s="51">
        <v>859</v>
      </c>
      <c r="AR63" s="51">
        <v>871.3</v>
      </c>
      <c r="AS63" s="51">
        <v>845.7</v>
      </c>
      <c r="AT63" s="51">
        <v>898.2</v>
      </c>
      <c r="AU63" s="51">
        <v>806.5</v>
      </c>
      <c r="AV63" s="47">
        <v>861</v>
      </c>
      <c r="AW63" s="51">
        <v>906.2</v>
      </c>
      <c r="AX63" s="51">
        <v>1066.7</v>
      </c>
      <c r="AY63" s="51">
        <v>922.5</v>
      </c>
      <c r="AZ63" s="51">
        <v>998.9</v>
      </c>
      <c r="BA63" s="51">
        <v>1054.5999999999999</v>
      </c>
      <c r="BB63" s="51">
        <v>1272.8</v>
      </c>
      <c r="BC63" s="51">
        <v>1111.3</v>
      </c>
      <c r="BD63" s="51">
        <v>1200.9000000000001</v>
      </c>
      <c r="BE63" s="51">
        <v>1155.2</v>
      </c>
      <c r="BF63" s="51">
        <v>899.6</v>
      </c>
      <c r="BG63" s="51">
        <v>816.4</v>
      </c>
      <c r="BH63" s="51">
        <v>947.4</v>
      </c>
      <c r="BI63" s="51">
        <v>1051.9000000000001</v>
      </c>
      <c r="BJ63" s="51">
        <v>1431.3</v>
      </c>
      <c r="BK63" s="51">
        <v>1122.5</v>
      </c>
      <c r="BL63" s="51">
        <v>1023.9</v>
      </c>
      <c r="BM63" s="51">
        <v>987.6</v>
      </c>
      <c r="BN63" s="51">
        <v>1232.2</v>
      </c>
      <c r="BO63" s="51">
        <v>1180.0999999999999</v>
      </c>
      <c r="BP63" s="51">
        <v>1228</v>
      </c>
      <c r="BQ63" s="51">
        <v>1338.1</v>
      </c>
      <c r="BR63" s="51">
        <v>1321.7</v>
      </c>
      <c r="BS63" s="51">
        <v>1197.9000000000001</v>
      </c>
      <c r="BT63" s="51">
        <v>1146.7</v>
      </c>
      <c r="BU63" s="51">
        <v>1203.5999999999999</v>
      </c>
      <c r="BV63" s="51">
        <v>1248.3</v>
      </c>
      <c r="BW63" s="51">
        <v>1158.3</v>
      </c>
      <c r="BX63" s="51">
        <v>1165.2</v>
      </c>
      <c r="BY63" s="51">
        <v>1198.0999999999999</v>
      </c>
      <c r="BZ63" s="51">
        <v>1386.5</v>
      </c>
      <c r="CA63" s="51">
        <v>1222.7</v>
      </c>
      <c r="CB63" s="51">
        <v>1189.7</v>
      </c>
      <c r="CC63" s="51">
        <v>1267</v>
      </c>
      <c r="CD63" s="51">
        <v>1253.0999999999999</v>
      </c>
      <c r="CE63" s="51">
        <v>1192.7</v>
      </c>
      <c r="CF63" s="51">
        <v>1033.9000000000001</v>
      </c>
      <c r="CG63" s="51">
        <v>1236.9000000000001</v>
      </c>
      <c r="CH63" s="51">
        <v>1389.2</v>
      </c>
      <c r="CI63" s="51">
        <v>1323</v>
      </c>
      <c r="CJ63" s="51">
        <v>1298.4000000000001</v>
      </c>
      <c r="CK63" s="51">
        <v>1400.9</v>
      </c>
      <c r="CL63" s="51">
        <v>1466</v>
      </c>
      <c r="CM63" s="51">
        <v>1347.9</v>
      </c>
      <c r="CN63" s="51">
        <v>1571.7</v>
      </c>
      <c r="CO63" s="51">
        <v>1586.3</v>
      </c>
      <c r="CP63" s="51">
        <v>1644.9</v>
      </c>
      <c r="CQ63" s="51">
        <v>1571.3</v>
      </c>
      <c r="CR63" s="51">
        <v>1702.7</v>
      </c>
      <c r="CS63" s="51">
        <v>1562.3</v>
      </c>
      <c r="CT63" s="51">
        <v>1593.7</v>
      </c>
      <c r="CU63" s="51">
        <v>1010.5</v>
      </c>
      <c r="CV63" s="51">
        <v>1073.3</v>
      </c>
      <c r="CW63" s="51">
        <v>1118.4000000000001</v>
      </c>
      <c r="CX63" s="51">
        <v>1229.4000000000001</v>
      </c>
      <c r="CY63" s="51">
        <v>1156.5</v>
      </c>
      <c r="CZ63" s="51">
        <v>1119.2</v>
      </c>
      <c r="DA63" s="51">
        <v>1199.9000000000001</v>
      </c>
      <c r="DB63" s="51">
        <v>1719.8</v>
      </c>
      <c r="DC63" s="51">
        <v>1671.4</v>
      </c>
      <c r="DD63" s="51">
        <v>1398</v>
      </c>
      <c r="DE63" s="51">
        <v>1421.8</v>
      </c>
      <c r="DF63" s="51">
        <v>2050.1999999999998</v>
      </c>
      <c r="DG63" s="51">
        <v>1867.5</v>
      </c>
      <c r="DH63" s="51">
        <v>1309.2</v>
      </c>
      <c r="DI63" s="51">
        <v>1579.1</v>
      </c>
      <c r="DJ63" s="51">
        <f>1548.1-124.1</f>
        <v>1424</v>
      </c>
      <c r="DK63" s="51">
        <f>1626.7-125.8</f>
        <v>1500.9</v>
      </c>
      <c r="DL63" s="51">
        <f>1807.4-126.4</f>
        <v>1681</v>
      </c>
      <c r="DM63" s="51">
        <f t="shared" ref="DM63" si="57">+DM62-DM64</f>
        <v>1696.5269999999991</v>
      </c>
      <c r="DN63" s="51">
        <f>1788-129</f>
        <v>1659</v>
      </c>
      <c r="DO63" s="51">
        <f>1673.5-139.1</f>
        <v>1534.4</v>
      </c>
      <c r="DP63" s="51">
        <f>2170.2-139.1</f>
        <v>2031.1</v>
      </c>
      <c r="DQ63" s="51">
        <f t="shared" ref="DQ63:DR63" si="58">+DQ62-DQ64</f>
        <v>1828.2559999999994</v>
      </c>
      <c r="DR63" s="51">
        <f t="shared" si="58"/>
        <v>1914.7059999999992</v>
      </c>
      <c r="DS63" s="51"/>
      <c r="DT63" s="51"/>
      <c r="DU63" s="51"/>
      <c r="DV63" s="51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>
        <v>1946</v>
      </c>
      <c r="EK63" s="49">
        <v>2015.1</v>
      </c>
      <c r="EL63" s="49">
        <v>2098</v>
      </c>
      <c r="EM63" s="49">
        <v>2055.6999999999998</v>
      </c>
      <c r="EN63" s="51">
        <v>2160</v>
      </c>
      <c r="EO63" s="51">
        <v>2177</v>
      </c>
      <c r="EP63" s="51">
        <v>2675</v>
      </c>
      <c r="EQ63" s="51">
        <v>3224</v>
      </c>
      <c r="ER63" s="51">
        <v>3474</v>
      </c>
      <c r="ES63" s="51">
        <v>3501</v>
      </c>
      <c r="ET63" s="51">
        <f>ET62-ET64</f>
        <v>4084.3439999999991</v>
      </c>
      <c r="EU63" s="51">
        <f>EU62-EU64</f>
        <v>-980.75749999999971</v>
      </c>
      <c r="EV63" s="51">
        <f>EV62-EV64</f>
        <v>3720.1251249999987</v>
      </c>
      <c r="EW63" s="51">
        <f>SUM(BK63:BN63)</f>
        <v>4366.2</v>
      </c>
      <c r="EX63" s="51">
        <f>SUM(BO63:BR63)</f>
        <v>5067.8999999999996</v>
      </c>
      <c r="EY63" s="51">
        <f>SUM(BS63:BV63)</f>
        <v>4796.5</v>
      </c>
      <c r="EZ63" s="51">
        <f t="shared" ref="EZ63:FA63" si="59">EZ62-EZ64</f>
        <v>23113.100000000002</v>
      </c>
      <c r="FA63" s="51">
        <f t="shared" si="59"/>
        <v>19615.7</v>
      </c>
      <c r="FB63" s="51"/>
      <c r="FC63" s="51"/>
      <c r="FD63" s="51">
        <v>4447.7</v>
      </c>
      <c r="FE63" s="51">
        <v>4681.7</v>
      </c>
      <c r="FF63" s="49">
        <f t="shared" ref="FF63" si="60">SUM(CU63:CX63)</f>
        <v>4431.6000000000004</v>
      </c>
      <c r="FG63" s="49">
        <f t="shared" ref="FG63" si="61">SUM(CY63:DB63)</f>
        <v>5195.3999999999996</v>
      </c>
      <c r="FH63" s="49">
        <f>SUM(DC63:DF63)</f>
        <v>6541.4</v>
      </c>
      <c r="FI63" s="49">
        <f>SUM(DG63:DJ63)</f>
        <v>6179.7999999999993</v>
      </c>
      <c r="FJ63" s="49">
        <f>SUM(DK63:DN63)</f>
        <v>6537.4269999999997</v>
      </c>
      <c r="FK63" s="49">
        <f>SUM(Model!DO63:DR63)</f>
        <v>7308.4619999999986</v>
      </c>
      <c r="FL63" s="49">
        <f t="shared" ref="FL63:FQ63" si="62">FL62-FL64</f>
        <v>9896.4522299999953</v>
      </c>
      <c r="FM63" s="49">
        <f t="shared" si="62"/>
        <v>12070.712352299997</v>
      </c>
      <c r="FN63" s="49">
        <f t="shared" si="62"/>
        <v>14920.506808472994</v>
      </c>
      <c r="FO63" s="49">
        <f t="shared" si="62"/>
        <v>16966.199374270225</v>
      </c>
      <c r="FP63" s="49">
        <f t="shared" si="62"/>
        <v>18264.455080319298</v>
      </c>
      <c r="FQ63" s="49">
        <f t="shared" si="62"/>
        <v>12329.432921933651</v>
      </c>
    </row>
    <row r="64" spans="1:173" x14ac:dyDescent="0.2">
      <c r="A64" s="102"/>
      <c r="B64" t="s">
        <v>123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>
        <f t="shared" ref="AP64:AX64" si="63">AP62-AP63</f>
        <v>2455.1000000000004</v>
      </c>
      <c r="AQ64" s="51">
        <f t="shared" si="63"/>
        <v>2350.4366336633661</v>
      </c>
      <c r="AR64" s="51">
        <f t="shared" si="63"/>
        <v>2459.3999999999996</v>
      </c>
      <c r="AS64" s="51">
        <f t="shared" si="63"/>
        <v>2498.5333333333338</v>
      </c>
      <c r="AT64" s="51">
        <f t="shared" si="63"/>
        <v>2752.2000000000007</v>
      </c>
      <c r="AU64" s="51">
        <f t="shared" si="63"/>
        <v>2631.3</v>
      </c>
      <c r="AV64" s="51">
        <f t="shared" si="63"/>
        <v>2787.1</v>
      </c>
      <c r="AW64" s="51">
        <f t="shared" si="63"/>
        <v>3033.6000000000004</v>
      </c>
      <c r="AX64" s="51">
        <f t="shared" si="63"/>
        <v>4613.9000000000005</v>
      </c>
      <c r="AY64" s="51">
        <f t="shared" ref="AY64:BG64" si="64">AY62-AY63</f>
        <v>3386.4000000000005</v>
      </c>
      <c r="AZ64" s="51">
        <f t="shared" si="64"/>
        <v>3194.9</v>
      </c>
      <c r="BA64" s="51">
        <f t="shared" si="64"/>
        <v>4844.6999999999989</v>
      </c>
      <c r="BB64" s="51">
        <f t="shared" si="64"/>
        <v>5392.9000000000005</v>
      </c>
      <c r="BC64" s="51">
        <f t="shared" si="64"/>
        <v>5130.5000000000009</v>
      </c>
      <c r="BD64" s="51">
        <f t="shared" si="64"/>
        <v>5502.5999999999985</v>
      </c>
      <c r="BE64" s="51">
        <f t="shared" si="64"/>
        <v>5641.7000000000007</v>
      </c>
      <c r="BF64" s="51">
        <f t="shared" si="64"/>
        <v>4310.8999999999996</v>
      </c>
      <c r="BG64" s="51">
        <f t="shared" si="64"/>
        <v>4075.4</v>
      </c>
      <c r="BH64" s="51">
        <f t="shared" ref="BH64:BM64" si="65">BH62-BH63</f>
        <v>4166.1000000000004</v>
      </c>
      <c r="BI64" s="51">
        <f t="shared" si="65"/>
        <v>4510.1000000000004</v>
      </c>
      <c r="BJ64" s="51">
        <f t="shared" si="65"/>
        <v>4502.7</v>
      </c>
      <c r="BK64" s="51">
        <f t="shared" si="65"/>
        <v>4363</v>
      </c>
      <c r="BL64" s="51">
        <f t="shared" si="65"/>
        <v>4724.8</v>
      </c>
      <c r="BM64" s="51">
        <f t="shared" si="65"/>
        <v>4667.2</v>
      </c>
      <c r="BN64" s="51">
        <f>+BN62-BN63</f>
        <v>4955.0000000000009</v>
      </c>
      <c r="BO64" s="51">
        <f>+BO62-BO63</f>
        <v>4659.1000000000004</v>
      </c>
      <c r="BP64" s="51">
        <f>BP62-BP63</f>
        <v>5024.7999999999984</v>
      </c>
      <c r="BQ64" s="51">
        <f>BQ62-BQ63</f>
        <v>4810</v>
      </c>
      <c r="BR64" s="51">
        <f>+BR62-BR63</f>
        <v>4725.6000000000004</v>
      </c>
      <c r="BS64" s="51">
        <f>+BS62-BS63</f>
        <v>4404.5</v>
      </c>
      <c r="BT64" s="51">
        <f>+BT62-BT63</f>
        <v>4453.7999999999993</v>
      </c>
      <c r="BU64" s="51">
        <f>+BU62-BU63</f>
        <v>4238.8999999999996</v>
      </c>
      <c r="BV64" s="51">
        <f>+BV62-BV63</f>
        <v>4709</v>
      </c>
      <c r="BW64" s="51">
        <f t="shared" ref="BW64:BZ64" si="66">+BW62-BW63</f>
        <v>4443.7</v>
      </c>
      <c r="BX64" s="51">
        <f t="shared" si="66"/>
        <v>4764.5</v>
      </c>
      <c r="BY64" s="51">
        <f t="shared" si="66"/>
        <v>4574.5</v>
      </c>
      <c r="BZ64" s="51">
        <f t="shared" si="66"/>
        <v>4422.3</v>
      </c>
      <c r="CA64" s="51">
        <f t="shared" ref="CA64" si="67">CA62-CA63</f>
        <v>3460.4000000000005</v>
      </c>
      <c r="CB64" s="51">
        <f t="shared" ref="CB64:CC64" si="68">CB62-CB63</f>
        <v>3745.9000000000005</v>
      </c>
      <c r="CC64" s="51">
        <f t="shared" si="68"/>
        <v>3608.6000000000004</v>
      </c>
      <c r="CD64" s="51">
        <f t="shared" ref="CD64" si="69">CD62-CD63</f>
        <v>3868.2000000000003</v>
      </c>
      <c r="CE64" s="51">
        <f t="shared" ref="CE64:CF64" si="70">CE62-CE63</f>
        <v>3452</v>
      </c>
      <c r="CF64" s="51">
        <f t="shared" si="70"/>
        <v>3944.7999999999997</v>
      </c>
      <c r="CG64" s="51">
        <f t="shared" ref="CG64:CI64" si="71">CG62-CG63</f>
        <v>3722.7999999999997</v>
      </c>
      <c r="CH64" s="51">
        <f t="shared" si="71"/>
        <v>3986.4000000000005</v>
      </c>
      <c r="CI64" s="51">
        <f t="shared" si="71"/>
        <v>3542.1000000000004</v>
      </c>
      <c r="CJ64" s="51">
        <f t="shared" ref="CJ64:CK64" si="72">CJ62-CJ63</f>
        <v>4106.3999999999996</v>
      </c>
      <c r="CK64" s="51">
        <f t="shared" si="72"/>
        <v>3790.7999999999997</v>
      </c>
      <c r="CL64" s="51">
        <f t="shared" ref="CL64:CM64" si="73">CL62-CL63</f>
        <v>4294.5</v>
      </c>
      <c r="CM64" s="51">
        <f t="shared" si="73"/>
        <v>3880.4</v>
      </c>
      <c r="CN64" s="51">
        <f t="shared" ref="CN64:CP64" si="74">CN62-CN63</f>
        <v>4252.6000000000004</v>
      </c>
      <c r="CO64" s="51">
        <f t="shared" si="74"/>
        <v>4071.7</v>
      </c>
      <c r="CP64" s="51">
        <f t="shared" si="74"/>
        <v>4515.7999999999993</v>
      </c>
      <c r="CQ64" s="51">
        <f t="shared" ref="CQ64:CR64" si="75">CQ62-CQ63</f>
        <v>3392.5</v>
      </c>
      <c r="CR64" s="51">
        <f t="shared" si="75"/>
        <v>4652.5</v>
      </c>
      <c r="CS64" s="51">
        <f t="shared" ref="CS64:CT64" si="76">CS62-CS63</f>
        <v>4499.5999999999995</v>
      </c>
      <c r="CT64" s="51">
        <f t="shared" si="76"/>
        <v>4844.9000000000005</v>
      </c>
      <c r="CU64" s="51">
        <f t="shared" ref="CU64:DG64" si="77">CU62-CU63</f>
        <v>4081.5999999999976</v>
      </c>
      <c r="CV64" s="51">
        <f t="shared" si="77"/>
        <v>4563.5000000000009</v>
      </c>
      <c r="CW64" s="51">
        <f t="shared" si="77"/>
        <v>4358.2000000000007</v>
      </c>
      <c r="CX64" s="51">
        <f t="shared" si="77"/>
        <v>4884.3999999999996</v>
      </c>
      <c r="CY64" s="51">
        <f t="shared" si="77"/>
        <v>4703.2999999999975</v>
      </c>
      <c r="CZ64" s="51">
        <f t="shared" si="77"/>
        <v>4380.1999999999989</v>
      </c>
      <c r="DA64" s="51">
        <f t="shared" si="77"/>
        <v>4540.6999999999989</v>
      </c>
      <c r="DB64" s="51">
        <f t="shared" si="77"/>
        <v>5720.2999999999993</v>
      </c>
      <c r="DC64" s="51">
        <f t="shared" si="77"/>
        <v>5134.2000000000007</v>
      </c>
      <c r="DD64" s="51">
        <f t="shared" si="77"/>
        <v>5341.9999999999973</v>
      </c>
      <c r="DE64" s="51">
        <f t="shared" si="77"/>
        <v>5351.199999999998</v>
      </c>
      <c r="DF64" s="51">
        <f t="shared" si="77"/>
        <v>5949.7</v>
      </c>
      <c r="DG64" s="51">
        <f t="shared" si="77"/>
        <v>5942.5999999999995</v>
      </c>
      <c r="DH64" s="51">
        <f>DH62-DH63</f>
        <v>5178.7000000000016</v>
      </c>
      <c r="DI64" s="51">
        <f>+DI62-DI63</f>
        <v>5362.4</v>
      </c>
      <c r="DJ64" s="51">
        <f>+DJ62-DJ63</f>
        <v>5877.9000000000015</v>
      </c>
      <c r="DK64" s="51">
        <f>DK62-DK63</f>
        <v>5459.2999999999993</v>
      </c>
      <c r="DL64" s="51">
        <f>+DL62-DL63</f>
        <v>6052.1999999999989</v>
      </c>
      <c r="DM64" s="51">
        <f t="shared" ref="DM64" si="78">+DM62*0.79</f>
        <v>6382.1729999999989</v>
      </c>
      <c r="DN64" s="51">
        <f>+DN62-DN63</f>
        <v>7694.0000000000036</v>
      </c>
      <c r="DO64" s="51">
        <f>+DO62-DO63</f>
        <v>7233.5</v>
      </c>
      <c r="DP64" s="51">
        <f>+DP62-DP63</f>
        <v>9271.6999999999989</v>
      </c>
      <c r="DQ64" s="51">
        <f t="shared" ref="DQ64:DR64" si="79">+DQ62*0.81</f>
        <v>7794.1440000000002</v>
      </c>
      <c r="DR64" s="51">
        <f t="shared" si="79"/>
        <v>8162.6940000000004</v>
      </c>
      <c r="DS64" s="51"/>
      <c r="DT64" s="51"/>
      <c r="DU64" s="51"/>
      <c r="DV64" s="51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>
        <f>+EJ62-EJ63</f>
        <v>6041.7</v>
      </c>
      <c r="EK64" s="49">
        <f>+EK62-EK63</f>
        <v>7221.6999999999989</v>
      </c>
      <c r="EL64" s="49">
        <f t="shared" ref="EL64:EN64" si="80">+EL62-EL63</f>
        <v>7904.9</v>
      </c>
      <c r="EM64" s="49">
        <f t="shared" si="80"/>
        <v>8806.5</v>
      </c>
      <c r="EN64" s="49">
        <f t="shared" si="80"/>
        <v>9469</v>
      </c>
      <c r="EO64" s="51">
        <f t="shared" ref="EO64:ES64" si="81">EO62-EO63</f>
        <v>8979.2000000000007</v>
      </c>
      <c r="EP64" s="51">
        <f t="shared" si="81"/>
        <v>9910</v>
      </c>
      <c r="EQ64" s="51">
        <f t="shared" si="81"/>
        <v>10635</v>
      </c>
      <c r="ER64" s="51">
        <f t="shared" si="81"/>
        <v>11176</v>
      </c>
      <c r="ES64" s="51">
        <f t="shared" si="81"/>
        <v>12282.499999999998</v>
      </c>
      <c r="ET64" s="51">
        <f>ET62*ET85</f>
        <v>14480.855999999998</v>
      </c>
      <c r="EU64" s="51">
        <f>SUM(BC64:BF64)</f>
        <v>20585.699999999997</v>
      </c>
      <c r="EV64" s="51">
        <f>SUM(BG64:BJ64)</f>
        <v>17254.3</v>
      </c>
      <c r="EW64" s="51">
        <f>EW62-EW63</f>
        <v>17527.599999999999</v>
      </c>
      <c r="EX64" s="51">
        <f>EX62-EX63</f>
        <v>18809.400000000001</v>
      </c>
      <c r="EY64" s="51">
        <f>EY62-EY63</f>
        <v>17205</v>
      </c>
      <c r="EZ64" s="51">
        <f t="shared" ref="EZ64:FA64" si="82">EZ62*EZ85</f>
        <v>0</v>
      </c>
      <c r="FA64" s="51">
        <f t="shared" si="82"/>
        <v>0</v>
      </c>
      <c r="FB64" s="51"/>
      <c r="FC64" s="51"/>
      <c r="FD64" s="51">
        <f t="shared" ref="FD64:FE64" si="83">+FD62-FD63</f>
        <v>15526.500000000004</v>
      </c>
      <c r="FE64" s="51">
        <f t="shared" si="83"/>
        <v>16811.399999999998</v>
      </c>
      <c r="FF64" s="51">
        <f>+FF62-FF63</f>
        <v>17887.699999999997</v>
      </c>
      <c r="FG64" s="51">
        <f>+FG62-FG63</f>
        <v>19344.5</v>
      </c>
      <c r="FH64" s="51">
        <f>+FH62-FH63</f>
        <v>21777.1</v>
      </c>
      <c r="FI64" s="51">
        <f>+FI62-FI63</f>
        <v>22361.600000000006</v>
      </c>
      <c r="FJ64" s="51">
        <f>+FJ62-FJ63</f>
        <v>25587.673000000003</v>
      </c>
      <c r="FK64" s="51">
        <f>FK62-FK63</f>
        <v>32462.038000000008</v>
      </c>
      <c r="FL64" s="51">
        <f t="shared" ref="FL64:FO64" si="84">FL62*0.79</f>
        <v>37229.510770000001</v>
      </c>
      <c r="FM64" s="51">
        <f t="shared" si="84"/>
        <v>45408.870277700007</v>
      </c>
      <c r="FN64" s="51">
        <f t="shared" si="84"/>
        <v>56129.52561282699</v>
      </c>
      <c r="FO64" s="51">
        <f t="shared" si="84"/>
        <v>63825.226217492767</v>
      </c>
      <c r="FP64" s="51">
        <f>FP62*0.79</f>
        <v>68709.140540248816</v>
      </c>
      <c r="FQ64" s="51">
        <f>FQ62*0.85</f>
        <v>69866.786557624015</v>
      </c>
    </row>
    <row r="65" spans="1:251" x14ac:dyDescent="0.2">
      <c r="A65" s="102"/>
      <c r="B65" t="s">
        <v>59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>
        <v>1098</v>
      </c>
      <c r="AQ65" s="51">
        <v>1090</v>
      </c>
      <c r="AR65" s="51">
        <v>1146.0999999999999</v>
      </c>
      <c r="AS65" s="51">
        <v>1070.9000000000001</v>
      </c>
      <c r="AT65" s="51">
        <v>1190</v>
      </c>
      <c r="AU65" s="51">
        <v>1143</v>
      </c>
      <c r="AV65" s="51">
        <v>1238</v>
      </c>
      <c r="AW65" s="51">
        <v>1302.3</v>
      </c>
      <c r="AX65" s="51">
        <v>1422.1</v>
      </c>
      <c r="AY65" s="51">
        <v>1336.8</v>
      </c>
      <c r="AZ65" s="51">
        <v>1524.7</v>
      </c>
      <c r="BA65" s="51">
        <v>1477.8</v>
      </c>
      <c r="BB65" s="51">
        <v>1755.8</v>
      </c>
      <c r="BC65" s="51">
        <v>1550.5</v>
      </c>
      <c r="BD65" s="51">
        <v>1700.1</v>
      </c>
      <c r="BE65" s="51">
        <v>1649.2</v>
      </c>
      <c r="BF65" s="51">
        <v>1718.6</v>
      </c>
      <c r="BG65" s="51">
        <v>1529.2</v>
      </c>
      <c r="BH65" s="51">
        <v>1708.2</v>
      </c>
      <c r="BI65" s="51">
        <v>1701.8</v>
      </c>
      <c r="BJ65" s="51">
        <v>1953.3</v>
      </c>
      <c r="BK65" s="51">
        <v>1614.4</v>
      </c>
      <c r="BL65" s="51">
        <v>1755.4</v>
      </c>
      <c r="BM65" s="51">
        <v>1694.9</v>
      </c>
      <c r="BN65" s="51">
        <v>1988.7</v>
      </c>
      <c r="BO65" s="51">
        <v>1785.7</v>
      </c>
      <c r="BP65" s="51">
        <v>2043</v>
      </c>
      <c r="BQ65" s="51">
        <v>1917.8</v>
      </c>
      <c r="BR65" s="51">
        <v>2133.4</v>
      </c>
      <c r="BS65" s="51">
        <v>1847.5</v>
      </c>
      <c r="BT65" s="51">
        <v>1931.1</v>
      </c>
      <c r="BU65" s="51">
        <v>1757.4</v>
      </c>
      <c r="BV65" s="51">
        <v>1977.5</v>
      </c>
      <c r="BW65" s="51">
        <v>1652</v>
      </c>
      <c r="BX65" s="51">
        <v>1867.6</v>
      </c>
      <c r="BY65" s="51">
        <v>1652.4</v>
      </c>
      <c r="BZ65" s="51">
        <v>1953.6</v>
      </c>
      <c r="CA65" s="51">
        <v>1484.9</v>
      </c>
      <c r="CB65" s="51">
        <v>1663.9</v>
      </c>
      <c r="CC65" s="51">
        <v>1672.1</v>
      </c>
      <c r="CD65" s="51">
        <v>1799.9</v>
      </c>
      <c r="CE65" s="51">
        <v>1523.5</v>
      </c>
      <c r="CF65" s="51">
        <v>1635.4</v>
      </c>
      <c r="CG65" s="51">
        <v>1575.7</v>
      </c>
      <c r="CH65" s="51">
        <v>1798.4</v>
      </c>
      <c r="CI65" s="51">
        <v>1473.9</v>
      </c>
      <c r="CJ65" s="51">
        <v>1622.6</v>
      </c>
      <c r="CK65" s="51">
        <v>1565.4</v>
      </c>
      <c r="CL65" s="51">
        <v>1790.1</v>
      </c>
      <c r="CM65" s="51">
        <v>1567.7</v>
      </c>
      <c r="CN65" s="51">
        <v>1730.4</v>
      </c>
      <c r="CO65" s="51">
        <v>1578.5</v>
      </c>
      <c r="CP65" s="51">
        <v>1803.5</v>
      </c>
      <c r="CQ65" s="51">
        <v>1500</v>
      </c>
      <c r="CR65" s="51">
        <v>1653.7</v>
      </c>
      <c r="CS65" s="51">
        <v>1616.6</v>
      </c>
      <c r="CT65" s="51">
        <v>1861.5</v>
      </c>
      <c r="CU65" s="51">
        <v>1517.1</v>
      </c>
      <c r="CV65" s="51">
        <v>1586.3</v>
      </c>
      <c r="CW65" s="51">
        <v>1412.3</v>
      </c>
      <c r="CX65" s="51">
        <v>1698.1</v>
      </c>
      <c r="CY65" s="51">
        <v>1549.6</v>
      </c>
      <c r="CZ65" s="51">
        <v>1448.6</v>
      </c>
      <c r="DA65" s="51">
        <v>1569.1</v>
      </c>
      <c r="DB65" s="51">
        <v>1553.9</v>
      </c>
      <c r="DC65" s="51">
        <v>1576</v>
      </c>
      <c r="DD65" s="51">
        <v>1685.7</v>
      </c>
      <c r="DE65" s="51">
        <v>1577.9</v>
      </c>
      <c r="DF65" s="51">
        <v>1592</v>
      </c>
      <c r="DG65" s="51">
        <v>1557.9</v>
      </c>
      <c r="DH65" s="51">
        <v>1781.9</v>
      </c>
      <c r="DI65" s="51">
        <v>1614.2</v>
      </c>
      <c r="DJ65" s="51">
        <v>1643.2</v>
      </c>
      <c r="DK65" s="51">
        <v>1749.2</v>
      </c>
      <c r="DL65" s="51">
        <v>1925.4</v>
      </c>
      <c r="DM65" s="51">
        <f t="shared" ref="DM65:DM66" si="85">+DI65</f>
        <v>1614.2</v>
      </c>
      <c r="DN65" s="51">
        <v>1924.6</v>
      </c>
      <c r="DO65" s="51">
        <v>1952.2</v>
      </c>
      <c r="DP65" s="51">
        <v>2117.3000000000002</v>
      </c>
      <c r="DQ65" s="51">
        <f t="shared" ref="DQ65:DQ66" si="86">+DM65*1.1</f>
        <v>1775.6200000000001</v>
      </c>
      <c r="DR65" s="51">
        <f t="shared" ref="DR65:DR66" si="87">+DN65*1.1</f>
        <v>2117.06</v>
      </c>
      <c r="DS65" s="51"/>
      <c r="DT65" s="51"/>
      <c r="DU65" s="51"/>
      <c r="DV65" s="51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>
        <v>2233.1</v>
      </c>
      <c r="EK65" s="49">
        <v>2658.3</v>
      </c>
      <c r="EL65" s="49">
        <v>2757.6</v>
      </c>
      <c r="EM65" s="49">
        <v>3228.3</v>
      </c>
      <c r="EN65" s="51">
        <v>3417</v>
      </c>
      <c r="EO65" s="51">
        <v>3424</v>
      </c>
      <c r="EP65" s="51">
        <v>4055</v>
      </c>
      <c r="EQ65" s="51">
        <v>4284</v>
      </c>
      <c r="ER65" s="51">
        <v>4497</v>
      </c>
      <c r="ES65" s="51">
        <v>4752</v>
      </c>
      <c r="ET65" s="51">
        <f>ES65*1.03</f>
        <v>4894.5600000000004</v>
      </c>
      <c r="EU65" s="51">
        <f>SUM(BC65:BF65)</f>
        <v>6618.4</v>
      </c>
      <c r="EV65" s="51">
        <f>SUM(BG65:BJ65)</f>
        <v>6892.5</v>
      </c>
      <c r="EW65" s="51">
        <f>SUM(BK65:BN65)</f>
        <v>7053.4000000000005</v>
      </c>
      <c r="EX65" s="51">
        <f t="shared" ref="EX65:EX66" si="88">SUM(BO65:BR65)</f>
        <v>7879.9</v>
      </c>
      <c r="EY65" s="51">
        <f t="shared" ref="EY65" si="89">SUM(BS65:BV65)</f>
        <v>7513.5</v>
      </c>
      <c r="EZ65" s="51">
        <f>EY65*0.95</f>
        <v>7137.8249999999998</v>
      </c>
      <c r="FA65" s="51">
        <f>EZ65*0.8</f>
        <v>5710.26</v>
      </c>
      <c r="FB65" s="51"/>
      <c r="FC65" s="51"/>
      <c r="FD65" s="51">
        <v>5982.4</v>
      </c>
      <c r="FE65" s="51">
        <v>5975.1</v>
      </c>
      <c r="FF65" s="49">
        <f t="shared" ref="FF65:FF66" si="90">SUM(CU65:CX65)</f>
        <v>6213.7999999999993</v>
      </c>
      <c r="FG65" s="49">
        <f t="shared" ref="FG65:FG66" si="91">SUM(CY65:DB65)</f>
        <v>6121.1999999999989</v>
      </c>
      <c r="FH65" s="49">
        <f>SUM(DC65:DF65)</f>
        <v>6431.6</v>
      </c>
      <c r="FI65" s="49">
        <f>SUM(DG65:DJ65)</f>
        <v>6597.2</v>
      </c>
      <c r="FJ65" s="49">
        <f>SUM(DK65:DN65)</f>
        <v>7213.4</v>
      </c>
      <c r="FK65" s="49">
        <f>SUM(Model!DO65:DR65)</f>
        <v>7962.18</v>
      </c>
      <c r="FL65" s="49">
        <f t="shared" ref="FL65:FP65" si="92">+FL62*0.25</f>
        <v>11781.490749999999</v>
      </c>
      <c r="FM65" s="49">
        <f t="shared" si="92"/>
        <v>14369.895657500001</v>
      </c>
      <c r="FN65" s="49">
        <f t="shared" si="92"/>
        <v>17762.508105324996</v>
      </c>
      <c r="FO65" s="49">
        <f t="shared" si="92"/>
        <v>20197.856397940748</v>
      </c>
      <c r="FP65" s="49">
        <f t="shared" si="92"/>
        <v>21743.398905142029</v>
      </c>
      <c r="FQ65" s="49">
        <f>+FQ62*0.25</f>
        <v>20549.054869889416</v>
      </c>
    </row>
    <row r="66" spans="1:251" x14ac:dyDescent="0.2">
      <c r="A66" s="102"/>
      <c r="B66" t="s">
        <v>60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>
        <v>706</v>
      </c>
      <c r="AQ66" s="51">
        <v>702</v>
      </c>
      <c r="AR66" s="51">
        <v>762.4</v>
      </c>
      <c r="AS66" s="51">
        <v>751</v>
      </c>
      <c r="AT66" s="51">
        <v>810</v>
      </c>
      <c r="AU66" s="51">
        <v>741</v>
      </c>
      <c r="AV66" s="51">
        <v>775</v>
      </c>
      <c r="AW66" s="51">
        <v>788.8</v>
      </c>
      <c r="AX66" s="51">
        <v>890</v>
      </c>
      <c r="AY66" s="51">
        <v>834.2</v>
      </c>
      <c r="AZ66" s="51">
        <v>854.4</v>
      </c>
      <c r="BA66" s="51">
        <v>844.5</v>
      </c>
      <c r="BB66" s="51">
        <v>953.6</v>
      </c>
      <c r="BC66" s="51">
        <v>877.1</v>
      </c>
      <c r="BD66" s="51">
        <v>951.5</v>
      </c>
      <c r="BE66" s="51">
        <v>953</v>
      </c>
      <c r="BF66" s="51">
        <v>1036.0999999999999</v>
      </c>
      <c r="BG66" s="51">
        <v>947.3</v>
      </c>
      <c r="BH66" s="51">
        <v>1040.4000000000001</v>
      </c>
      <c r="BI66" s="51">
        <v>1122.0999999999999</v>
      </c>
      <c r="BJ66" s="51">
        <v>1216.7</v>
      </c>
      <c r="BK66" s="51">
        <v>1039.0999999999999</v>
      </c>
      <c r="BL66" s="51">
        <v>1187.2</v>
      </c>
      <c r="BM66" s="51">
        <v>1219.8</v>
      </c>
      <c r="BN66" s="51">
        <v>1438.1</v>
      </c>
      <c r="BO66" s="51">
        <v>1124</v>
      </c>
      <c r="BP66" s="51">
        <v>1260.5999999999999</v>
      </c>
      <c r="BQ66" s="51">
        <v>1280.9000000000001</v>
      </c>
      <c r="BR66" s="51">
        <v>1355.3</v>
      </c>
      <c r="BS66" s="51">
        <v>1151.5</v>
      </c>
      <c r="BT66" s="51">
        <v>1320.7</v>
      </c>
      <c r="BU66" s="51">
        <v>1342.8</v>
      </c>
      <c r="BV66" s="51">
        <v>1463.1</v>
      </c>
      <c r="BW66" s="51">
        <v>1348.1</v>
      </c>
      <c r="BX66" s="51">
        <v>1330.4</v>
      </c>
      <c r="BY66" s="51">
        <v>1377.4</v>
      </c>
      <c r="BZ66" s="51">
        <v>1475.4</v>
      </c>
      <c r="CA66" s="51">
        <v>1109.3</v>
      </c>
      <c r="CB66" s="51">
        <v>1195.4000000000001</v>
      </c>
      <c r="CC66" s="51">
        <v>1243.2</v>
      </c>
      <c r="CD66" s="51">
        <v>1185.7</v>
      </c>
      <c r="CE66" s="51">
        <v>1039.3</v>
      </c>
      <c r="CF66" s="51">
        <v>1169.5</v>
      </c>
      <c r="CG66" s="51">
        <v>1143.4000000000001</v>
      </c>
      <c r="CH66" s="51">
        <v>1444.2</v>
      </c>
      <c r="CI66" s="51">
        <v>1221</v>
      </c>
      <c r="CJ66" s="51">
        <v>1335.9</v>
      </c>
      <c r="CK66" s="51">
        <v>1236.4000000000001</v>
      </c>
      <c r="CL66" s="51">
        <v>1450.6</v>
      </c>
      <c r="CM66" s="51">
        <v>1258.3</v>
      </c>
      <c r="CN66" s="51">
        <v>1272.0999999999999</v>
      </c>
      <c r="CO66" s="51">
        <v>1340</v>
      </c>
      <c r="CP66" s="51">
        <v>1486.9</v>
      </c>
      <c r="CQ66" s="51">
        <v>1176.9000000000001</v>
      </c>
      <c r="CR66" s="51">
        <v>1333.1</v>
      </c>
      <c r="CS66" s="51">
        <v>1343.3</v>
      </c>
      <c r="CT66" s="51">
        <v>1453.8</v>
      </c>
      <c r="CU66" s="51">
        <v>1230.5</v>
      </c>
      <c r="CV66" s="51">
        <v>1402.2</v>
      </c>
      <c r="CW66" s="51">
        <v>1380.9</v>
      </c>
      <c r="CX66" s="51">
        <v>1581.4</v>
      </c>
      <c r="CY66" s="51">
        <v>1392.1</v>
      </c>
      <c r="CZ66" s="51">
        <v>1390.2</v>
      </c>
      <c r="DA66" s="51">
        <v>1465.4</v>
      </c>
      <c r="DB66" s="51">
        <v>1838</v>
      </c>
      <c r="DC66" s="51">
        <v>1672.1</v>
      </c>
      <c r="DD66" s="51">
        <v>1672.8</v>
      </c>
      <c r="DE66" s="51">
        <v>1708.9</v>
      </c>
      <c r="DF66" s="51">
        <v>1959.4</v>
      </c>
      <c r="DG66" s="51">
        <v>1610.1</v>
      </c>
      <c r="DH66" s="51">
        <v>1625.1</v>
      </c>
      <c r="DI66" s="51">
        <v>1802.9</v>
      </c>
      <c r="DJ66" s="51">
        <v>1995.9</v>
      </c>
      <c r="DK66" s="51">
        <v>1985.1</v>
      </c>
      <c r="DL66" s="51">
        <v>2356.5</v>
      </c>
      <c r="DM66" s="51">
        <f t="shared" si="85"/>
        <v>1802.9</v>
      </c>
      <c r="DN66" s="51">
        <v>2562.6999999999998</v>
      </c>
      <c r="DO66" s="51">
        <v>2522.8000000000002</v>
      </c>
      <c r="DP66" s="51">
        <v>2711.2</v>
      </c>
      <c r="DQ66" s="51">
        <f t="shared" si="86"/>
        <v>1983.1900000000003</v>
      </c>
      <c r="DR66" s="51">
        <f t="shared" si="87"/>
        <v>2818.9700000000003</v>
      </c>
      <c r="DS66" s="51"/>
      <c r="DT66" s="51"/>
      <c r="DU66" s="51"/>
      <c r="DV66" s="51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>
        <v>1370.2</v>
      </c>
      <c r="EK66" s="49">
        <v>1738.9</v>
      </c>
      <c r="EL66" s="49">
        <v>1783.6</v>
      </c>
      <c r="EM66" s="49">
        <v>2018.5</v>
      </c>
      <c r="EN66" s="51">
        <v>2235</v>
      </c>
      <c r="EO66" s="51">
        <v>2149</v>
      </c>
      <c r="EP66" s="51">
        <v>2350</v>
      </c>
      <c r="EQ66" s="51">
        <v>2691</v>
      </c>
      <c r="ER66" s="51">
        <v>3026</v>
      </c>
      <c r="ES66" s="51">
        <v>3130</v>
      </c>
      <c r="ET66" s="51">
        <f>ES66*1.02</f>
        <v>3192.6</v>
      </c>
      <c r="EU66" s="51">
        <f>SUM(BC66:BF66)</f>
        <v>3817.7</v>
      </c>
      <c r="EV66" s="51">
        <f>SUM(BG66:BJ66)</f>
        <v>4326.5</v>
      </c>
      <c r="EW66" s="51">
        <f>SUM(BK66:BN66)</f>
        <v>4884.2000000000007</v>
      </c>
      <c r="EX66" s="51">
        <f t="shared" si="88"/>
        <v>5020.8</v>
      </c>
      <c r="EY66" s="51">
        <f>SUM(BS66:BV66)</f>
        <v>5278.1</v>
      </c>
      <c r="EZ66" s="51"/>
      <c r="FA66" s="51"/>
      <c r="FB66" s="51"/>
      <c r="FC66" s="51"/>
      <c r="FD66" s="51">
        <v>5096.2</v>
      </c>
      <c r="FE66" s="51">
        <v>5051.2</v>
      </c>
      <c r="FF66" s="49">
        <f t="shared" si="90"/>
        <v>5595</v>
      </c>
      <c r="FG66" s="49">
        <f t="shared" si="91"/>
        <v>6085.7000000000007</v>
      </c>
      <c r="FH66" s="49">
        <f>SUM(DC66:DF66)</f>
        <v>7013.1999999999989</v>
      </c>
      <c r="FI66" s="49">
        <f>SUM(DG66:DJ66)</f>
        <v>7034</v>
      </c>
      <c r="FJ66" s="49">
        <f>SUM(DK66:DN66)</f>
        <v>8707.2000000000007</v>
      </c>
      <c r="FK66" s="49">
        <f>SUM(Model!DO66:DR66)</f>
        <v>10036.16</v>
      </c>
      <c r="FL66" s="49"/>
      <c r="FM66" s="49"/>
      <c r="FN66" s="49"/>
      <c r="FO66" s="49"/>
      <c r="FP66" s="49"/>
      <c r="FQ66" s="49"/>
    </row>
    <row r="67" spans="1:251" x14ac:dyDescent="0.2">
      <c r="A67" s="102"/>
      <c r="B67" s="38" t="s">
        <v>250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>
        <f t="shared" ref="BF67:BK67" si="93">BF66+BF65</f>
        <v>2754.7</v>
      </c>
      <c r="BG67" s="51">
        <f t="shared" si="93"/>
        <v>2476.5</v>
      </c>
      <c r="BH67" s="51">
        <f t="shared" si="93"/>
        <v>2748.6000000000004</v>
      </c>
      <c r="BI67" s="51">
        <f t="shared" si="93"/>
        <v>2823.8999999999996</v>
      </c>
      <c r="BJ67" s="51">
        <f t="shared" si="93"/>
        <v>3170</v>
      </c>
      <c r="BK67" s="51">
        <f t="shared" si="93"/>
        <v>2653.5</v>
      </c>
      <c r="BL67" s="51">
        <f t="shared" ref="BL67:BN67" si="94">BL66+BL65</f>
        <v>2942.6000000000004</v>
      </c>
      <c r="BM67" s="51">
        <f t="shared" si="94"/>
        <v>2914.7</v>
      </c>
      <c r="BN67" s="51">
        <f t="shared" si="94"/>
        <v>3426.8</v>
      </c>
      <c r="BO67" s="51">
        <f>BO66+BO65</f>
        <v>2909.7</v>
      </c>
      <c r="BP67" s="51">
        <f>BP66+BP65</f>
        <v>3303.6</v>
      </c>
      <c r="BQ67" s="51">
        <f>BQ66+BQ65</f>
        <v>3198.7</v>
      </c>
      <c r="BR67" s="51">
        <f>BR66+BR65</f>
        <v>3488.7</v>
      </c>
      <c r="BS67" s="51">
        <f>+BS66+BS65</f>
        <v>2999</v>
      </c>
      <c r="BT67" s="51">
        <f>+BT66+BT65</f>
        <v>3251.8</v>
      </c>
      <c r="BU67" s="51">
        <f>+BU66+BU65</f>
        <v>3100.2</v>
      </c>
      <c r="BV67" s="51">
        <f>+BV66+BV65</f>
        <v>3440.6</v>
      </c>
      <c r="BW67" s="51">
        <f t="shared" ref="BW67:BZ67" si="95">+BW66+BW65</f>
        <v>3000.1</v>
      </c>
      <c r="BX67" s="51">
        <f t="shared" si="95"/>
        <v>3198</v>
      </c>
      <c r="BY67" s="51">
        <f t="shared" si="95"/>
        <v>3029.8</v>
      </c>
      <c r="BZ67" s="51">
        <f t="shared" si="95"/>
        <v>3429</v>
      </c>
      <c r="CA67" s="51">
        <f t="shared" ref="CA67" si="96">SUM(CA65:CA66)</f>
        <v>2594.1999999999998</v>
      </c>
      <c r="CB67" s="51">
        <f t="shared" ref="CB67:CC67" si="97">SUM(CB65:CB66)</f>
        <v>2859.3</v>
      </c>
      <c r="CC67" s="51">
        <f t="shared" si="97"/>
        <v>2915.3</v>
      </c>
      <c r="CD67" s="51">
        <f t="shared" ref="CD67" si="98">SUM(CD65:CD66)</f>
        <v>2985.6000000000004</v>
      </c>
      <c r="CE67" s="51">
        <f t="shared" ref="CE67:CF67" si="99">SUM(CE65:CE66)</f>
        <v>2562.8000000000002</v>
      </c>
      <c r="CF67" s="51">
        <f t="shared" si="99"/>
        <v>2804.9</v>
      </c>
      <c r="CG67" s="51">
        <f t="shared" ref="CG67:CI67" si="100">SUM(CG65:CG66)</f>
        <v>2719.1000000000004</v>
      </c>
      <c r="CH67" s="51">
        <f t="shared" si="100"/>
        <v>3242.6000000000004</v>
      </c>
      <c r="CI67" s="51">
        <f t="shared" si="100"/>
        <v>2694.9</v>
      </c>
      <c r="CJ67" s="51">
        <f t="shared" ref="CJ67:CK67" si="101">SUM(CJ65:CJ66)</f>
        <v>2958.5</v>
      </c>
      <c r="CK67" s="51">
        <f t="shared" si="101"/>
        <v>2801.8</v>
      </c>
      <c r="CL67" s="51">
        <f t="shared" ref="CL67:CM67" si="102">SUM(CL65:CL66)</f>
        <v>3240.7</v>
      </c>
      <c r="CM67" s="51">
        <f t="shared" si="102"/>
        <v>2826</v>
      </c>
      <c r="CN67" s="51">
        <f t="shared" ref="CN67" si="103">SUM(CN65:CN66)</f>
        <v>3002.5</v>
      </c>
      <c r="CO67" s="51">
        <f t="shared" ref="CO67:CP67" si="104">SUM(CO65:CO66)</f>
        <v>2918.5</v>
      </c>
      <c r="CP67" s="51">
        <f t="shared" si="104"/>
        <v>3290.4</v>
      </c>
      <c r="CQ67" s="51">
        <f t="shared" ref="CQ67:CR67" si="105">SUM(CQ65:CQ66)</f>
        <v>2676.9</v>
      </c>
      <c r="CR67" s="51">
        <f t="shared" si="105"/>
        <v>2986.8</v>
      </c>
      <c r="CS67" s="51">
        <f t="shared" ref="CS67:CT67" si="106">SUM(CS65:CS66)</f>
        <v>2959.8999999999996</v>
      </c>
      <c r="CT67" s="51">
        <f t="shared" si="106"/>
        <v>3315.3</v>
      </c>
      <c r="CU67" s="51">
        <f t="shared" ref="CU67:DG67" si="107">SUM(CU65:CU66)</f>
        <v>2747.6</v>
      </c>
      <c r="CV67" s="51">
        <f t="shared" si="107"/>
        <v>2988.5</v>
      </c>
      <c r="CW67" s="51">
        <f t="shared" si="107"/>
        <v>2793.2</v>
      </c>
      <c r="CX67" s="51">
        <f t="shared" si="107"/>
        <v>3279.5</v>
      </c>
      <c r="CY67" s="51">
        <f t="shared" si="107"/>
        <v>2941.7</v>
      </c>
      <c r="CZ67" s="51">
        <f t="shared" si="107"/>
        <v>2838.8</v>
      </c>
      <c r="DA67" s="51">
        <f t="shared" si="107"/>
        <v>3034.5</v>
      </c>
      <c r="DB67" s="51">
        <f t="shared" si="107"/>
        <v>3391.9</v>
      </c>
      <c r="DC67" s="51">
        <f t="shared" si="107"/>
        <v>3248.1</v>
      </c>
      <c r="DD67" s="51">
        <f t="shared" si="107"/>
        <v>3358.5</v>
      </c>
      <c r="DE67" s="51">
        <f t="shared" si="107"/>
        <v>3286.8</v>
      </c>
      <c r="DF67" s="51">
        <f t="shared" si="107"/>
        <v>3551.4</v>
      </c>
      <c r="DG67" s="51">
        <f t="shared" si="107"/>
        <v>3168</v>
      </c>
      <c r="DH67" s="51">
        <f t="shared" ref="DH67:DN67" si="108">SUM(DH65:DH66)</f>
        <v>3407</v>
      </c>
      <c r="DI67" s="51">
        <f t="shared" si="108"/>
        <v>3417.1000000000004</v>
      </c>
      <c r="DJ67" s="51">
        <f t="shared" si="108"/>
        <v>3639.1000000000004</v>
      </c>
      <c r="DK67" s="51">
        <f t="shared" si="108"/>
        <v>3734.3</v>
      </c>
      <c r="DL67" s="51">
        <f t="shared" si="108"/>
        <v>4281.8999999999996</v>
      </c>
      <c r="DM67" s="51">
        <f t="shared" si="108"/>
        <v>3417.1000000000004</v>
      </c>
      <c r="DN67" s="51">
        <f t="shared" si="108"/>
        <v>4487.2999999999993</v>
      </c>
      <c r="DO67" s="51">
        <f t="shared" ref="DO67:DR67" si="109">SUM(DO65:DO66)</f>
        <v>4475</v>
      </c>
      <c r="DP67" s="51">
        <f t="shared" si="109"/>
        <v>4828.5</v>
      </c>
      <c r="DQ67" s="51">
        <f t="shared" si="109"/>
        <v>3758.8100000000004</v>
      </c>
      <c r="DR67" s="51">
        <f t="shared" si="109"/>
        <v>4936.0300000000007</v>
      </c>
      <c r="DS67" s="51"/>
      <c r="DT67" s="51"/>
      <c r="DU67" s="51"/>
      <c r="DV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>
        <f t="shared" ref="EJ67" si="110">EJ66+EJ65</f>
        <v>3603.3</v>
      </c>
      <c r="EK67" s="51">
        <f t="shared" ref="EK67:EM67" si="111">EK66+EK65</f>
        <v>4397.2000000000007</v>
      </c>
      <c r="EL67" s="51">
        <f t="shared" si="111"/>
        <v>4541.2</v>
      </c>
      <c r="EM67" s="51">
        <f t="shared" si="111"/>
        <v>5246.8</v>
      </c>
      <c r="EN67" s="51">
        <f t="shared" ref="EN67:ET67" si="112">EN66+EN65</f>
        <v>5652</v>
      </c>
      <c r="EO67" s="51">
        <f t="shared" si="112"/>
        <v>5573</v>
      </c>
      <c r="EP67" s="51">
        <f t="shared" si="112"/>
        <v>6405</v>
      </c>
      <c r="EQ67" s="51">
        <f t="shared" si="112"/>
        <v>6975</v>
      </c>
      <c r="ER67" s="51">
        <f t="shared" si="112"/>
        <v>7523</v>
      </c>
      <c r="ES67" s="51">
        <f t="shared" si="112"/>
        <v>7882</v>
      </c>
      <c r="ET67" s="51">
        <f t="shared" si="112"/>
        <v>8087.16</v>
      </c>
      <c r="EU67" s="51">
        <f>EU66+EU65</f>
        <v>10436.099999999999</v>
      </c>
      <c r="EV67" s="51">
        <f t="shared" ref="EV67:FB67" si="113">EV66+EV65</f>
        <v>11219</v>
      </c>
      <c r="EW67" s="51">
        <f>EW66+EW65</f>
        <v>11937.600000000002</v>
      </c>
      <c r="EX67" s="51">
        <f>EX66+EX65</f>
        <v>12900.7</v>
      </c>
      <c r="EY67" s="51">
        <f>EY66+EY65</f>
        <v>12791.6</v>
      </c>
      <c r="EZ67" s="51">
        <f t="shared" si="113"/>
        <v>7137.8249999999998</v>
      </c>
      <c r="FA67" s="51">
        <f t="shared" si="113"/>
        <v>5710.26</v>
      </c>
      <c r="FB67" s="51">
        <f t="shared" si="113"/>
        <v>0</v>
      </c>
      <c r="FC67" s="51"/>
      <c r="FD67" s="51">
        <f>FD66+FD65</f>
        <v>11078.599999999999</v>
      </c>
      <c r="FE67" s="51">
        <f t="shared" ref="FE67:FF67" si="114">FE66+FE65</f>
        <v>11026.3</v>
      </c>
      <c r="FF67" s="51">
        <f t="shared" si="114"/>
        <v>11808.8</v>
      </c>
      <c r="FG67" s="51">
        <f>FG66+FG65</f>
        <v>12206.9</v>
      </c>
      <c r="FH67" s="51">
        <f>FH66+FH65</f>
        <v>13444.8</v>
      </c>
      <c r="FI67" s="51">
        <f>FI66+FI65</f>
        <v>13631.2</v>
      </c>
      <c r="FJ67" s="51">
        <f>FJ66+FJ65</f>
        <v>15920.6</v>
      </c>
      <c r="FK67" s="51">
        <f>FK66+FK65</f>
        <v>17998.34</v>
      </c>
      <c r="FL67" s="51">
        <f t="shared" ref="FL67" si="115">FL66+FL65</f>
        <v>11781.490749999999</v>
      </c>
      <c r="FM67" s="51">
        <f t="shared" ref="FM67" si="116">FM66+FM65</f>
        <v>14369.895657500001</v>
      </c>
      <c r="FN67" s="51">
        <f t="shared" ref="FN67" si="117">FN66+FN65</f>
        <v>17762.508105324996</v>
      </c>
      <c r="FO67" s="51">
        <f t="shared" ref="FO67" si="118">FO66+FO65</f>
        <v>20197.856397940748</v>
      </c>
      <c r="FP67" s="51">
        <f>FP66+FP65</f>
        <v>21743.398905142029</v>
      </c>
      <c r="FQ67" s="51">
        <f>FQ66+FQ65</f>
        <v>20549.054869889416</v>
      </c>
    </row>
    <row r="68" spans="1:251" x14ac:dyDescent="0.2">
      <c r="A68" s="102"/>
      <c r="B68" s="38" t="s">
        <v>251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f t="shared" ref="AP68:AY68" si="119">AP64-AP65-AP66</f>
        <v>651.10000000000036</v>
      </c>
      <c r="AQ68" s="51">
        <f t="shared" si="119"/>
        <v>558.43663366336614</v>
      </c>
      <c r="AR68" s="51">
        <f t="shared" si="119"/>
        <v>550.89999999999975</v>
      </c>
      <c r="AS68" s="51">
        <f t="shared" si="119"/>
        <v>676.63333333333367</v>
      </c>
      <c r="AT68" s="51">
        <f t="shared" si="119"/>
        <v>752.20000000000073</v>
      </c>
      <c r="AU68" s="51">
        <f t="shared" si="119"/>
        <v>747.30000000000018</v>
      </c>
      <c r="AV68" s="51">
        <f t="shared" si="119"/>
        <v>774.09999999999991</v>
      </c>
      <c r="AW68" s="51">
        <f t="shared" si="119"/>
        <v>942.50000000000045</v>
      </c>
      <c r="AX68" s="51">
        <f t="shared" si="119"/>
        <v>2301.8000000000006</v>
      </c>
      <c r="AY68" s="51">
        <f t="shared" si="119"/>
        <v>1215.4000000000003</v>
      </c>
      <c r="AZ68" s="51">
        <f t="shared" ref="AZ68:BE68" si="120">AZ64-AZ65-AZ66</f>
        <v>815.80000000000007</v>
      </c>
      <c r="BA68" s="51">
        <f t="shared" si="120"/>
        <v>2522.3999999999987</v>
      </c>
      <c r="BB68" s="51">
        <f t="shared" si="120"/>
        <v>2683.5000000000005</v>
      </c>
      <c r="BC68" s="51">
        <f t="shared" si="120"/>
        <v>2702.900000000001</v>
      </c>
      <c r="BD68" s="51">
        <f t="shared" si="120"/>
        <v>2850.9999999999986</v>
      </c>
      <c r="BE68" s="51">
        <f t="shared" si="120"/>
        <v>3039.5000000000009</v>
      </c>
      <c r="BF68" s="51">
        <f t="shared" ref="BF68:BK68" si="121">BF64-BF67</f>
        <v>1556.1999999999998</v>
      </c>
      <c r="BG68" s="51">
        <f t="shared" si="121"/>
        <v>1598.9</v>
      </c>
      <c r="BH68" s="51">
        <f t="shared" si="121"/>
        <v>1417.5</v>
      </c>
      <c r="BI68" s="51">
        <f t="shared" si="121"/>
        <v>1686.2000000000007</v>
      </c>
      <c r="BJ68" s="51">
        <f t="shared" si="121"/>
        <v>1332.6999999999998</v>
      </c>
      <c r="BK68" s="51">
        <f t="shared" si="121"/>
        <v>1709.5</v>
      </c>
      <c r="BL68" s="51">
        <f t="shared" ref="BL68:BN68" si="122">BL64-BL67</f>
        <v>1782.1999999999998</v>
      </c>
      <c r="BM68" s="51">
        <f t="shared" si="122"/>
        <v>1752.5</v>
      </c>
      <c r="BN68" s="51">
        <f t="shared" si="122"/>
        <v>1528.2000000000007</v>
      </c>
      <c r="BO68" s="51">
        <f>BO64-BO67</f>
        <v>1749.4000000000005</v>
      </c>
      <c r="BP68" s="51">
        <f>BP64-BP67</f>
        <v>1721.1999999999985</v>
      </c>
      <c r="BQ68" s="51">
        <f>BQ64-BQ67</f>
        <v>1611.3000000000002</v>
      </c>
      <c r="BR68" s="51">
        <f>BR64-BR67</f>
        <v>1236.9000000000005</v>
      </c>
      <c r="BS68" s="51">
        <f>+BS64-BS67</f>
        <v>1405.5</v>
      </c>
      <c r="BT68" s="51">
        <f>+BT64-BT67</f>
        <v>1201.9999999999991</v>
      </c>
      <c r="BU68" s="51">
        <f>+BU64-BU67</f>
        <v>1138.6999999999998</v>
      </c>
      <c r="BV68" s="51">
        <f>+BV64-BV67</f>
        <v>1268.4000000000001</v>
      </c>
      <c r="BW68" s="51">
        <f t="shared" ref="BW68:BZ68" si="123">+BW64-BW67</f>
        <v>1443.6</v>
      </c>
      <c r="BX68" s="51">
        <f t="shared" si="123"/>
        <v>1566.5</v>
      </c>
      <c r="BY68" s="51">
        <f t="shared" si="123"/>
        <v>1544.6999999999998</v>
      </c>
      <c r="BZ68" s="51">
        <f t="shared" si="123"/>
        <v>993.30000000000018</v>
      </c>
      <c r="CA68" s="51">
        <f t="shared" ref="CA68" si="124">CA64-CA67</f>
        <v>866.20000000000073</v>
      </c>
      <c r="CB68" s="51">
        <f t="shared" ref="CB68:CC68" si="125">CB64-CB67</f>
        <v>886.60000000000036</v>
      </c>
      <c r="CC68" s="51">
        <f t="shared" si="125"/>
        <v>693.30000000000018</v>
      </c>
      <c r="CD68" s="51">
        <f t="shared" ref="CD68" si="126">CD64-CD67</f>
        <v>882.59999999999991</v>
      </c>
      <c r="CE68" s="51">
        <f t="shared" ref="CE68:CF68" si="127">CE64-CE67</f>
        <v>889.19999999999982</v>
      </c>
      <c r="CF68" s="51">
        <f t="shared" si="127"/>
        <v>1139.8999999999996</v>
      </c>
      <c r="CG68" s="51">
        <f t="shared" ref="CG68:CI68" si="128">CG64-CG67</f>
        <v>1003.6999999999994</v>
      </c>
      <c r="CH68" s="51">
        <f t="shared" si="128"/>
        <v>743.80000000000018</v>
      </c>
      <c r="CI68" s="51">
        <f t="shared" si="128"/>
        <v>847.20000000000027</v>
      </c>
      <c r="CJ68" s="51">
        <f t="shared" ref="CJ68:CK68" si="129">CJ64-CJ67</f>
        <v>1147.8999999999996</v>
      </c>
      <c r="CK68" s="51">
        <f t="shared" si="129"/>
        <v>988.99999999999955</v>
      </c>
      <c r="CL68" s="51">
        <f t="shared" ref="CL68:CM68" si="130">CL64-CL67</f>
        <v>1053.8000000000002</v>
      </c>
      <c r="CM68" s="51">
        <f t="shared" si="130"/>
        <v>1054.4000000000001</v>
      </c>
      <c r="CN68" s="51">
        <f t="shared" ref="CN68" si="131">CN64-CN67</f>
        <v>1250.1000000000004</v>
      </c>
      <c r="CO68" s="51">
        <f t="shared" ref="CO68:CP68" si="132">CO64-CO67</f>
        <v>1153.1999999999998</v>
      </c>
      <c r="CP68" s="51">
        <f t="shared" si="132"/>
        <v>1225.3999999999992</v>
      </c>
      <c r="CQ68" s="51">
        <f t="shared" ref="CQ68:CR68" si="133">CQ64-CQ67</f>
        <v>715.59999999999991</v>
      </c>
      <c r="CR68" s="51">
        <f t="shared" si="133"/>
        <v>1665.6999999999998</v>
      </c>
      <c r="CS68" s="51">
        <f t="shared" ref="CS68:CT68" si="134">CS64-CS67</f>
        <v>1539.6999999999998</v>
      </c>
      <c r="CT68" s="51">
        <f t="shared" si="134"/>
        <v>1529.6000000000004</v>
      </c>
      <c r="CU68" s="51">
        <f t="shared" ref="CU68:DG68" si="135">CU64-CU67</f>
        <v>1333.9999999999977</v>
      </c>
      <c r="CV68" s="51">
        <f t="shared" si="135"/>
        <v>1575.0000000000009</v>
      </c>
      <c r="CW68" s="51">
        <f t="shared" si="135"/>
        <v>1565.0000000000009</v>
      </c>
      <c r="CX68" s="51">
        <f t="shared" si="135"/>
        <v>1604.8999999999996</v>
      </c>
      <c r="CY68" s="51">
        <f t="shared" si="135"/>
        <v>1761.5999999999976</v>
      </c>
      <c r="CZ68" s="51">
        <f t="shared" si="135"/>
        <v>1541.3999999999987</v>
      </c>
      <c r="DA68" s="51">
        <f t="shared" si="135"/>
        <v>1506.1999999999989</v>
      </c>
      <c r="DB68" s="51">
        <f t="shared" si="135"/>
        <v>2328.3999999999992</v>
      </c>
      <c r="DC68" s="51">
        <f t="shared" si="135"/>
        <v>1886.1000000000008</v>
      </c>
      <c r="DD68" s="51">
        <f t="shared" si="135"/>
        <v>1983.4999999999973</v>
      </c>
      <c r="DE68" s="51">
        <f t="shared" si="135"/>
        <v>2064.3999999999978</v>
      </c>
      <c r="DF68" s="51">
        <f t="shared" si="135"/>
        <v>2398.2999999999997</v>
      </c>
      <c r="DG68" s="51">
        <f t="shared" si="135"/>
        <v>2774.5999999999995</v>
      </c>
      <c r="DH68" s="51">
        <f t="shared" ref="DH68:DN68" si="136">DH64-DH67</f>
        <v>1771.7000000000016</v>
      </c>
      <c r="DI68" s="51">
        <f t="shared" si="136"/>
        <v>1945.2999999999993</v>
      </c>
      <c r="DJ68" s="51">
        <f t="shared" si="136"/>
        <v>2238.8000000000011</v>
      </c>
      <c r="DK68" s="51">
        <f t="shared" si="136"/>
        <v>1724.9999999999991</v>
      </c>
      <c r="DL68" s="51">
        <f t="shared" si="136"/>
        <v>1770.2999999999993</v>
      </c>
      <c r="DM68" s="51">
        <f t="shared" si="136"/>
        <v>2965.0729999999985</v>
      </c>
      <c r="DN68" s="51">
        <f t="shared" si="136"/>
        <v>3206.7000000000044</v>
      </c>
      <c r="DO68" s="51">
        <f t="shared" ref="DO68:DR68" si="137">DO64-DO67</f>
        <v>2758.5</v>
      </c>
      <c r="DP68" s="51">
        <f t="shared" si="137"/>
        <v>4443.1999999999989</v>
      </c>
      <c r="DQ68" s="51">
        <f t="shared" si="137"/>
        <v>4035.3339999999998</v>
      </c>
      <c r="DR68" s="51">
        <f t="shared" si="137"/>
        <v>3226.6639999999998</v>
      </c>
      <c r="DS68" s="51"/>
      <c r="DT68" s="51"/>
      <c r="DU68" s="51"/>
      <c r="DV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>
        <f t="shared" ref="EJ68" si="138">EJ64-EJ65-EJ66</f>
        <v>2438.3999999999996</v>
      </c>
      <c r="EK68" s="51">
        <f t="shared" ref="EK68:EM68" si="139">EK64-EK65-EK66</f>
        <v>2824.4999999999986</v>
      </c>
      <c r="EL68" s="51">
        <f t="shared" si="139"/>
        <v>3363.6999999999994</v>
      </c>
      <c r="EM68" s="51">
        <f t="shared" si="139"/>
        <v>3559.7</v>
      </c>
      <c r="EN68" s="51">
        <f t="shared" ref="EN68:EV68" si="140">EN64-EN65-EN66</f>
        <v>3817</v>
      </c>
      <c r="EO68" s="51">
        <f t="shared" si="140"/>
        <v>3406.2000000000007</v>
      </c>
      <c r="EP68" s="51">
        <f t="shared" si="140"/>
        <v>3505</v>
      </c>
      <c r="EQ68" s="51">
        <f t="shared" si="140"/>
        <v>3660</v>
      </c>
      <c r="ER68" s="51">
        <f t="shared" si="140"/>
        <v>3653</v>
      </c>
      <c r="ES68" s="51">
        <f t="shared" si="140"/>
        <v>4400.4999999999982</v>
      </c>
      <c r="ET68" s="51">
        <f t="shared" si="140"/>
        <v>6393.6959999999981</v>
      </c>
      <c r="EU68" s="51">
        <f>EU64-EU65-EU66</f>
        <v>10149.599999999999</v>
      </c>
      <c r="EV68" s="51">
        <f t="shared" si="140"/>
        <v>6035.2999999999993</v>
      </c>
      <c r="EW68" s="51">
        <f>EW64-EW65-EW66</f>
        <v>5589.9999999999964</v>
      </c>
      <c r="EX68" s="51">
        <f>EX64-EX65-EX66</f>
        <v>5908.7000000000016</v>
      </c>
      <c r="EY68" s="51">
        <f>EY64-EY65-EY66</f>
        <v>4413.3999999999996</v>
      </c>
      <c r="EZ68" s="51">
        <f t="shared" ref="EZ68:FB68" si="141">EZ64-EZ65-EZ66</f>
        <v>-7137.8249999999998</v>
      </c>
      <c r="FA68" s="51">
        <f t="shared" si="141"/>
        <v>-5710.26</v>
      </c>
      <c r="FB68" s="51">
        <f t="shared" si="141"/>
        <v>0</v>
      </c>
      <c r="FC68" s="51"/>
      <c r="FD68" s="51">
        <f t="shared" ref="FD68:FF68" si="142">+FD64-FD67</f>
        <v>4447.9000000000051</v>
      </c>
      <c r="FE68" s="51">
        <f t="shared" si="142"/>
        <v>5785.0999999999985</v>
      </c>
      <c r="FF68" s="51">
        <f t="shared" si="142"/>
        <v>6078.8999999999978</v>
      </c>
      <c r="FG68" s="51">
        <f>+FG64-FG67</f>
        <v>7137.6</v>
      </c>
      <c r="FH68" s="51">
        <f>+FH64-FH67</f>
        <v>8332.2999999999993</v>
      </c>
      <c r="FI68" s="51">
        <f>+FI64-FI67</f>
        <v>8730.4000000000051</v>
      </c>
      <c r="FJ68" s="51">
        <f>+FJ64-FJ67</f>
        <v>9667.0730000000021</v>
      </c>
      <c r="FK68" s="51">
        <f>+FK64-FK67</f>
        <v>14463.698000000008</v>
      </c>
      <c r="FL68" s="51">
        <f t="shared" ref="FL68" si="143">+FL64-FL67</f>
        <v>25448.020020000004</v>
      </c>
      <c r="FM68" s="51">
        <f t="shared" ref="FM68" si="144">+FM64-FM67</f>
        <v>31038.974620200006</v>
      </c>
      <c r="FN68" s="51">
        <f t="shared" ref="FN68" si="145">+FN64-FN67</f>
        <v>38367.017507501994</v>
      </c>
      <c r="FO68" s="51">
        <f t="shared" ref="FO68" si="146">+FO64-FO67</f>
        <v>43627.369819552019</v>
      </c>
      <c r="FP68" s="51">
        <f>+FP64-FP67</f>
        <v>46965.741635106788</v>
      </c>
      <c r="FQ68" s="51">
        <f>+FQ64-FQ67</f>
        <v>49317.731687734602</v>
      </c>
    </row>
    <row r="69" spans="1:251" x14ac:dyDescent="0.2">
      <c r="A69" s="102"/>
      <c r="B69" t="s">
        <v>78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v>69.099999999999994</v>
      </c>
      <c r="AQ69" s="51">
        <v>99</v>
      </c>
      <c r="AR69" s="51">
        <v>45.4</v>
      </c>
      <c r="AS69" s="51">
        <v>85</v>
      </c>
      <c r="AT69" s="51">
        <v>85.2</v>
      </c>
      <c r="AU69" s="51">
        <v>32</v>
      </c>
      <c r="AV69" s="51">
        <v>47</v>
      </c>
      <c r="AW69" s="51">
        <v>-4.8</v>
      </c>
      <c r="AX69" s="51">
        <v>38.9</v>
      </c>
      <c r="AY69" s="51">
        <v>38.299999999999997</v>
      </c>
      <c r="AZ69" s="51">
        <v>1.8</v>
      </c>
      <c r="BA69" s="51">
        <v>49.8</v>
      </c>
      <c r="BB69" s="51">
        <v>32.1</v>
      </c>
      <c r="BC69" s="51">
        <v>20.3</v>
      </c>
      <c r="BD69" s="51">
        <v>32.299999999999997</v>
      </c>
      <c r="BE69" s="51">
        <v>2.5</v>
      </c>
      <c r="BF69" s="51">
        <v>-48.2</v>
      </c>
      <c r="BG69" s="51">
        <v>-70.7</v>
      </c>
      <c r="BH69" s="51">
        <v>-24.1</v>
      </c>
      <c r="BI69" s="51">
        <f>-44-22.9</f>
        <v>-66.900000000000006</v>
      </c>
      <c r="BJ69" s="51">
        <v>-67.8</v>
      </c>
      <c r="BK69" s="51">
        <v>74.5</v>
      </c>
      <c r="BL69" s="51">
        <f>-36.5+18.1-18.4</f>
        <v>-36.799999999999997</v>
      </c>
      <c r="BM69" s="51">
        <f>-30.9+9.2-21.7</f>
        <v>-43.4</v>
      </c>
      <c r="BN69" s="51">
        <v>-39.4</v>
      </c>
      <c r="BO69" s="51">
        <v>-11.2</v>
      </c>
      <c r="BP69" s="51">
        <v>-57.6</v>
      </c>
      <c r="BQ69" s="51">
        <f>-22.8-60.6</f>
        <v>-83.4</v>
      </c>
      <c r="BR69" s="51">
        <v>-26.8</v>
      </c>
      <c r="BS69" s="51">
        <f>-19.2-26.8</f>
        <v>-46</v>
      </c>
      <c r="BT69" s="51">
        <f>-15.8-0.7</f>
        <v>-16.5</v>
      </c>
      <c r="BU69" s="51">
        <f>-21.3+22</f>
        <v>0.69999999999999929</v>
      </c>
      <c r="BV69" s="51">
        <v>-52</v>
      </c>
      <c r="BW69" s="51">
        <f>-16.7+50.5</f>
        <v>33.799999999999997</v>
      </c>
      <c r="BX69" s="51">
        <v>11.9</v>
      </c>
      <c r="BY69" s="51">
        <v>-31.3</v>
      </c>
      <c r="BZ69" s="51">
        <v>9.1</v>
      </c>
      <c r="CA69" s="51">
        <v>56</v>
      </c>
      <c r="CB69" s="51">
        <v>53.8</v>
      </c>
      <c r="CC69" s="51">
        <v>93.5</v>
      </c>
      <c r="CD69" s="51">
        <v>137.19999999999999</v>
      </c>
      <c r="CE69" s="51">
        <v>92.7</v>
      </c>
      <c r="CF69" s="51">
        <v>-123.3</v>
      </c>
      <c r="CG69" s="51">
        <v>86.5</v>
      </c>
      <c r="CH69" s="51">
        <v>44.7</v>
      </c>
      <c r="CI69" s="51">
        <v>-149</v>
      </c>
      <c r="CJ69" s="51">
        <v>21.2</v>
      </c>
      <c r="CK69" s="51">
        <v>27.2</v>
      </c>
      <c r="CL69" s="51">
        <v>15.8</v>
      </c>
      <c r="CM69" s="51">
        <v>78.3</v>
      </c>
      <c r="CN69" s="51">
        <v>60.4</v>
      </c>
      <c r="CO69" s="51">
        <f>-16.8+66.7</f>
        <v>49.900000000000006</v>
      </c>
      <c r="CP69" s="51">
        <f>-10.2+122.1</f>
        <v>111.89999999999999</v>
      </c>
      <c r="CQ69" s="51">
        <v>67.5</v>
      </c>
      <c r="CR69" s="51">
        <v>38</v>
      </c>
      <c r="CS69" s="51">
        <f>-37.3+21.9</f>
        <v>-15.399999999999999</v>
      </c>
      <c r="CT69" s="51">
        <f>-35.7+20.4</f>
        <v>-15.300000000000004</v>
      </c>
      <c r="CU69" s="51">
        <v>55.9</v>
      </c>
      <c r="CV69" s="51">
        <v>91.5</v>
      </c>
      <c r="CW69" s="51">
        <v>90.1</v>
      </c>
      <c r="CX69" s="51">
        <v>82.7</v>
      </c>
      <c r="CY69" s="51">
        <v>78.2</v>
      </c>
      <c r="CZ69" s="51">
        <v>81.2</v>
      </c>
      <c r="DA69" s="51">
        <v>83.8</v>
      </c>
      <c r="DB69" s="51">
        <v>83.4</v>
      </c>
      <c r="DC69" s="51">
        <v>-34.6</v>
      </c>
      <c r="DD69" s="51">
        <v>81.5</v>
      </c>
      <c r="DE69" s="51">
        <v>77.599999999999994</v>
      </c>
      <c r="DF69" s="51">
        <v>77.3</v>
      </c>
      <c r="DG69" s="51">
        <v>-37.700000000000003</v>
      </c>
      <c r="DH69" s="51">
        <f>-71-48.2</f>
        <v>-119.2</v>
      </c>
      <c r="DI69" s="51">
        <v>111</v>
      </c>
      <c r="DJ69" s="51">
        <f>260-216.5</f>
        <v>43.5</v>
      </c>
      <c r="DK69" s="51">
        <f>-68.6+104.3</f>
        <v>35.700000000000003</v>
      </c>
      <c r="DL69" s="51">
        <v>-36.799999999999997</v>
      </c>
      <c r="DM69" s="51">
        <v>0</v>
      </c>
      <c r="DN69" s="51">
        <f>121-117</f>
        <v>4</v>
      </c>
      <c r="DO69" s="51">
        <f>-133.8+160.9+27.1</f>
        <v>54.199999999999996</v>
      </c>
      <c r="DP69" s="51">
        <v>197.6</v>
      </c>
      <c r="DQ69" s="51"/>
      <c r="DR69" s="51"/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v>-232.7</v>
      </c>
      <c r="EK69" s="49">
        <v>-181.3</v>
      </c>
      <c r="EL69" s="49">
        <v>-183.8</v>
      </c>
      <c r="EM69" s="49">
        <v>-182.3</v>
      </c>
      <c r="EN69" s="51">
        <v>134</v>
      </c>
      <c r="EO69" s="51">
        <v>214</v>
      </c>
      <c r="EP69" s="51">
        <v>85</v>
      </c>
      <c r="EQ69" s="51">
        <v>279</v>
      </c>
      <c r="ER69" s="51">
        <v>313</v>
      </c>
      <c r="ES69" s="51">
        <v>201</v>
      </c>
      <c r="ET69" s="51">
        <v>100</v>
      </c>
      <c r="EU69" s="51">
        <f>SUM(BC69:BF69)</f>
        <v>6.8999999999999915</v>
      </c>
      <c r="EV69" s="51">
        <f>SUM(BG69:BJ69)</f>
        <v>-229.5</v>
      </c>
      <c r="EW69" s="51">
        <f>SUM(BK69:BN69)</f>
        <v>-45.099999999999994</v>
      </c>
      <c r="EX69" s="51">
        <f t="shared" ref="EX69" si="147">SUM(BO69:BR69)</f>
        <v>-179</v>
      </c>
      <c r="EY69" s="51">
        <f>SUM(BS69:BV69)</f>
        <v>-113.8</v>
      </c>
      <c r="EZ69" s="51"/>
      <c r="FA69" s="51"/>
      <c r="FB69" s="51"/>
      <c r="FC69" s="51"/>
      <c r="FD69" s="51"/>
      <c r="FE69" s="53"/>
      <c r="FF69" s="49">
        <f t="shared" ref="FF69" si="148">SUM(CU69:CX69)</f>
        <v>320.2</v>
      </c>
      <c r="FG69" s="49">
        <f t="shared" ref="FG69" si="149">SUM(CY69:DB69)</f>
        <v>326.60000000000002</v>
      </c>
      <c r="FH69" s="49">
        <f>SUM(DC69:DF69)</f>
        <v>201.8</v>
      </c>
      <c r="FI69" s="49">
        <f>SUM(DG69:DJ69)</f>
        <v>-2.4000000000000057</v>
      </c>
      <c r="FJ69" s="49">
        <f>SUM(DK69:DN69)</f>
        <v>2.9000000000000057</v>
      </c>
      <c r="FK69" s="49">
        <v>-450</v>
      </c>
      <c r="FL69" s="49">
        <f t="shared" ref="FL69:FP69" si="150">+FK90*$FS$88</f>
        <v>-503.5533803999997</v>
      </c>
      <c r="FM69" s="49">
        <f t="shared" si="150"/>
        <v>893.33675141760068</v>
      </c>
      <c r="FN69" s="49">
        <f t="shared" si="150"/>
        <v>2681.546188228187</v>
      </c>
      <c r="FO69" s="49">
        <f t="shared" si="150"/>
        <v>4980.265755189077</v>
      </c>
      <c r="FP69" s="49">
        <f t="shared" si="150"/>
        <v>7702.2933473745788</v>
      </c>
      <c r="FQ69" s="49">
        <f>+FP90*$FS$88</f>
        <v>10763.703306393536</v>
      </c>
    </row>
    <row r="70" spans="1:251" x14ac:dyDescent="0.2">
      <c r="A70" s="102"/>
      <c r="B70" t="s">
        <v>81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f t="shared" ref="AP70:AY70" si="151">AP68+AP69</f>
        <v>720.20000000000039</v>
      </c>
      <c r="AQ70" s="51">
        <f t="shared" si="151"/>
        <v>657.43663366336614</v>
      </c>
      <c r="AR70" s="51">
        <f t="shared" si="151"/>
        <v>596.29999999999973</v>
      </c>
      <c r="AS70" s="51">
        <f t="shared" si="151"/>
        <v>761.63333333333367</v>
      </c>
      <c r="AT70" s="51">
        <f t="shared" si="151"/>
        <v>837.40000000000077</v>
      </c>
      <c r="AU70" s="51">
        <f t="shared" si="151"/>
        <v>779.30000000000018</v>
      </c>
      <c r="AV70" s="51">
        <f t="shared" si="151"/>
        <v>821.09999999999991</v>
      </c>
      <c r="AW70" s="51">
        <f t="shared" si="151"/>
        <v>937.7000000000005</v>
      </c>
      <c r="AX70" s="51">
        <f t="shared" si="151"/>
        <v>2340.7000000000007</v>
      </c>
      <c r="AY70" s="51">
        <f t="shared" si="151"/>
        <v>1253.7000000000003</v>
      </c>
      <c r="AZ70" s="51">
        <f t="shared" ref="AZ70:BG70" si="152">AZ68+AZ69</f>
        <v>817.6</v>
      </c>
      <c r="BA70" s="51">
        <f t="shared" si="152"/>
        <v>2572.1999999999989</v>
      </c>
      <c r="BB70" s="51">
        <f t="shared" si="152"/>
        <v>2715.6000000000004</v>
      </c>
      <c r="BC70" s="51">
        <f t="shared" si="152"/>
        <v>2723.2000000000012</v>
      </c>
      <c r="BD70" s="51">
        <f t="shared" si="152"/>
        <v>2883.2999999999988</v>
      </c>
      <c r="BE70" s="51">
        <f t="shared" si="152"/>
        <v>3042.0000000000009</v>
      </c>
      <c r="BF70" s="51">
        <f t="shared" si="152"/>
        <v>1507.9999999999998</v>
      </c>
      <c r="BG70" s="51">
        <f t="shared" si="152"/>
        <v>1528.2</v>
      </c>
      <c r="BH70" s="51">
        <f t="shared" ref="BH70:BM70" si="153">BH68+BH69</f>
        <v>1393.4</v>
      </c>
      <c r="BI70" s="51">
        <f t="shared" si="153"/>
        <v>1619.3000000000006</v>
      </c>
      <c r="BJ70" s="51">
        <f t="shared" si="153"/>
        <v>1264.8999999999999</v>
      </c>
      <c r="BK70" s="51">
        <f t="shared" si="153"/>
        <v>1784</v>
      </c>
      <c r="BL70" s="51">
        <f t="shared" si="153"/>
        <v>1745.3999999999999</v>
      </c>
      <c r="BM70" s="51">
        <f t="shared" si="153"/>
        <v>1709.1</v>
      </c>
      <c r="BN70" s="51">
        <f>BN68+BN69</f>
        <v>1488.8000000000006</v>
      </c>
      <c r="BO70" s="51">
        <f>BO68+BO69</f>
        <v>1738.2000000000005</v>
      </c>
      <c r="BP70" s="51">
        <f>BP68+BP69</f>
        <v>1663.5999999999985</v>
      </c>
      <c r="BQ70" s="51">
        <f>BQ68+BQ69</f>
        <v>1527.9</v>
      </c>
      <c r="BR70" s="51">
        <f>BR68+BR69</f>
        <v>1210.1000000000006</v>
      </c>
      <c r="BS70" s="51">
        <f>+BS68+BS69</f>
        <v>1359.5</v>
      </c>
      <c r="BT70" s="51">
        <f>+BT68+BT69</f>
        <v>1185.4999999999991</v>
      </c>
      <c r="BU70" s="51">
        <f>+BU68+BU69</f>
        <v>1139.3999999999999</v>
      </c>
      <c r="BV70" s="51">
        <f>+BV68+BV69</f>
        <v>1216.4000000000001</v>
      </c>
      <c r="BW70" s="51">
        <f t="shared" ref="BW70:BY70" si="154">+BW68+BW69</f>
        <v>1477.3999999999999</v>
      </c>
      <c r="BX70" s="51">
        <f t="shared" si="154"/>
        <v>1578.4</v>
      </c>
      <c r="BY70" s="51">
        <f t="shared" si="154"/>
        <v>1513.3999999999999</v>
      </c>
      <c r="BZ70" s="51">
        <f>+BZ68+BZ69</f>
        <v>1002.4000000000002</v>
      </c>
      <c r="CA70" s="51">
        <f t="shared" ref="CA70" si="155">CA68-CA69</f>
        <v>810.20000000000073</v>
      </c>
      <c r="CB70" s="51">
        <f t="shared" ref="CB70:CC70" si="156">CB68-CB69</f>
        <v>832.80000000000041</v>
      </c>
      <c r="CC70" s="51">
        <f t="shared" si="156"/>
        <v>599.80000000000018</v>
      </c>
      <c r="CD70" s="51">
        <f t="shared" ref="CD70" si="157">CD68-CD69</f>
        <v>745.39999999999986</v>
      </c>
      <c r="CE70" s="51">
        <f t="shared" ref="CE70:CF70" si="158">CE68-CE69</f>
        <v>796.49999999999977</v>
      </c>
      <c r="CF70" s="51">
        <f t="shared" si="158"/>
        <v>1263.1999999999996</v>
      </c>
      <c r="CG70" s="51">
        <f t="shared" ref="CG70:CI70" si="159">CG68-CG69</f>
        <v>917.19999999999936</v>
      </c>
      <c r="CH70" s="51">
        <f t="shared" si="159"/>
        <v>699.10000000000014</v>
      </c>
      <c r="CI70" s="51">
        <f t="shared" si="159"/>
        <v>996.20000000000027</v>
      </c>
      <c r="CJ70" s="51">
        <f t="shared" ref="CJ70:CK70" si="160">CJ68-CJ69</f>
        <v>1126.6999999999996</v>
      </c>
      <c r="CK70" s="51">
        <f t="shared" si="160"/>
        <v>961.7999999999995</v>
      </c>
      <c r="CL70" s="51">
        <f t="shared" ref="CL70:CM70" si="161">CL68-CL69</f>
        <v>1038.0000000000002</v>
      </c>
      <c r="CM70" s="51">
        <f t="shared" si="161"/>
        <v>976.10000000000014</v>
      </c>
      <c r="CN70" s="51">
        <f t="shared" ref="CN70:CP70" si="162">CN68-CN69</f>
        <v>1189.7000000000003</v>
      </c>
      <c r="CO70" s="51">
        <f t="shared" si="162"/>
        <v>1103.2999999999997</v>
      </c>
      <c r="CP70" s="51">
        <f t="shared" si="162"/>
        <v>1113.4999999999991</v>
      </c>
      <c r="CQ70" s="51">
        <f t="shared" ref="CQ70:CR70" si="163">CQ68-CQ69</f>
        <v>648.09999999999991</v>
      </c>
      <c r="CR70" s="51">
        <f t="shared" si="163"/>
        <v>1627.6999999999998</v>
      </c>
      <c r="CS70" s="51">
        <f t="shared" ref="CS70:CT70" si="164">CS68-CS69</f>
        <v>1555.1</v>
      </c>
      <c r="CT70" s="51">
        <f t="shared" si="164"/>
        <v>1544.9000000000003</v>
      </c>
      <c r="CU70" s="51">
        <f t="shared" ref="CU70:DR70" si="165">CU68-CU69</f>
        <v>1278.0999999999976</v>
      </c>
      <c r="CV70" s="51">
        <f t="shared" si="165"/>
        <v>1483.5000000000009</v>
      </c>
      <c r="CW70" s="51">
        <f t="shared" si="165"/>
        <v>1474.900000000001</v>
      </c>
      <c r="CX70" s="51">
        <f t="shared" si="165"/>
        <v>1522.1999999999996</v>
      </c>
      <c r="CY70" s="51">
        <f t="shared" si="165"/>
        <v>1683.3999999999976</v>
      </c>
      <c r="CZ70" s="51">
        <f t="shared" si="165"/>
        <v>1460.1999999999987</v>
      </c>
      <c r="DA70" s="51">
        <f t="shared" si="165"/>
        <v>1422.399999999999</v>
      </c>
      <c r="DB70" s="51">
        <f t="shared" si="165"/>
        <v>2244.9999999999991</v>
      </c>
      <c r="DC70" s="51">
        <f t="shared" si="165"/>
        <v>1920.7000000000007</v>
      </c>
      <c r="DD70" s="51">
        <f t="shared" si="165"/>
        <v>1901.9999999999973</v>
      </c>
      <c r="DE70" s="51">
        <f t="shared" si="165"/>
        <v>1986.7999999999979</v>
      </c>
      <c r="DF70" s="51">
        <f t="shared" si="165"/>
        <v>2320.9999999999995</v>
      </c>
      <c r="DG70" s="51">
        <f t="shared" si="165"/>
        <v>2812.2999999999993</v>
      </c>
      <c r="DH70" s="51">
        <f t="shared" si="165"/>
        <v>1890.9000000000017</v>
      </c>
      <c r="DI70" s="51">
        <f t="shared" si="165"/>
        <v>1834.2999999999993</v>
      </c>
      <c r="DJ70" s="51">
        <f t="shared" si="165"/>
        <v>2195.3000000000011</v>
      </c>
      <c r="DK70" s="51">
        <f t="shared" si="165"/>
        <v>1689.299999999999</v>
      </c>
      <c r="DL70" s="51">
        <f t="shared" si="165"/>
        <v>1807.0999999999992</v>
      </c>
      <c r="DM70" s="51">
        <f t="shared" si="165"/>
        <v>2965.0729999999985</v>
      </c>
      <c r="DN70" s="51">
        <f t="shared" si="165"/>
        <v>3202.7000000000044</v>
      </c>
      <c r="DO70" s="51">
        <f t="shared" si="165"/>
        <v>2704.3</v>
      </c>
      <c r="DP70" s="51">
        <f t="shared" si="165"/>
        <v>4245.5999999999985</v>
      </c>
      <c r="DQ70" s="51">
        <f t="shared" si="165"/>
        <v>4035.3339999999998</v>
      </c>
      <c r="DR70" s="51">
        <f t="shared" si="165"/>
        <v>3226.6639999999998</v>
      </c>
      <c r="DS70" s="51"/>
      <c r="DT70" s="51"/>
      <c r="DU70" s="51"/>
      <c r="DV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>
        <f t="shared" ref="EJ70:EM70" si="166">EJ68+EJ69</f>
        <v>2205.6999999999998</v>
      </c>
      <c r="EK70" s="51">
        <f t="shared" si="166"/>
        <v>2643.1999999999985</v>
      </c>
      <c r="EL70" s="51">
        <f t="shared" si="166"/>
        <v>3179.8999999999992</v>
      </c>
      <c r="EM70" s="51">
        <f t="shared" si="166"/>
        <v>3377.3999999999996</v>
      </c>
      <c r="EN70" s="51">
        <f t="shared" ref="EN70:ES70" si="167">EN68+EN69</f>
        <v>3951</v>
      </c>
      <c r="EO70" s="51">
        <f t="shared" si="167"/>
        <v>3620.2000000000007</v>
      </c>
      <c r="EP70" s="51">
        <f t="shared" si="167"/>
        <v>3590</v>
      </c>
      <c r="EQ70" s="51">
        <f t="shared" si="167"/>
        <v>3939</v>
      </c>
      <c r="ER70" s="51">
        <f t="shared" si="167"/>
        <v>3966</v>
      </c>
      <c r="ES70" s="51">
        <f t="shared" si="167"/>
        <v>4601.4999999999982</v>
      </c>
      <c r="ET70" s="51">
        <f t="shared" ref="ET70" si="168">ET68+ET69</f>
        <v>6493.6959999999981</v>
      </c>
      <c r="EU70" s="51">
        <f t="shared" ref="EU70:FD70" si="169">EU68+EU69</f>
        <v>10156.499999999998</v>
      </c>
      <c r="EV70" s="51">
        <f t="shared" si="169"/>
        <v>5805.7999999999993</v>
      </c>
      <c r="EW70" s="51">
        <f t="shared" si="169"/>
        <v>5544.899999999996</v>
      </c>
      <c r="EX70" s="51">
        <f t="shared" si="169"/>
        <v>5729.7000000000016</v>
      </c>
      <c r="EY70" s="51">
        <f t="shared" si="169"/>
        <v>4299.5999999999995</v>
      </c>
      <c r="EZ70" s="51">
        <f t="shared" si="169"/>
        <v>-7137.8249999999998</v>
      </c>
      <c r="FA70" s="51">
        <f t="shared" si="169"/>
        <v>-5710.26</v>
      </c>
      <c r="FB70" s="51">
        <f t="shared" si="169"/>
        <v>0</v>
      </c>
      <c r="FC70" s="51">
        <f t="shared" si="169"/>
        <v>0</v>
      </c>
      <c r="FD70" s="51">
        <f t="shared" si="169"/>
        <v>4447.9000000000051</v>
      </c>
      <c r="FE70" s="51">
        <f t="shared" ref="FE70:FP70" si="170">FE68+FE69</f>
        <v>5785.0999999999985</v>
      </c>
      <c r="FF70" s="51">
        <f t="shared" si="170"/>
        <v>6399.0999999999976</v>
      </c>
      <c r="FG70" s="51">
        <f t="shared" si="170"/>
        <v>7464.2000000000007</v>
      </c>
      <c r="FH70" s="51">
        <f>FH68+FH69</f>
        <v>8534.0999999999985</v>
      </c>
      <c r="FI70" s="51">
        <f t="shared" si="170"/>
        <v>8728.0000000000055</v>
      </c>
      <c r="FJ70" s="51">
        <f>FJ68+FJ69</f>
        <v>9669.9730000000018</v>
      </c>
      <c r="FK70" s="51">
        <f>FK68+FK69</f>
        <v>14013.698000000008</v>
      </c>
      <c r="FL70" s="51">
        <f t="shared" si="170"/>
        <v>24944.466639600003</v>
      </c>
      <c r="FM70" s="51">
        <f t="shared" si="170"/>
        <v>31932.311371617609</v>
      </c>
      <c r="FN70" s="51">
        <f t="shared" si="170"/>
        <v>41048.563695730183</v>
      </c>
      <c r="FO70" s="51">
        <f t="shared" si="170"/>
        <v>48607.6355747411</v>
      </c>
      <c r="FP70" s="51">
        <f t="shared" si="170"/>
        <v>54668.034982481367</v>
      </c>
      <c r="FQ70" s="51">
        <f>FQ68+FQ69</f>
        <v>60081.43499412814</v>
      </c>
    </row>
    <row r="71" spans="1:251" x14ac:dyDescent="0.2">
      <c r="A71" s="102"/>
      <c r="B71" t="s">
        <v>82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230</v>
      </c>
      <c r="AQ71" s="51">
        <v>208</v>
      </c>
      <c r="AR71" s="51">
        <v>205.3</v>
      </c>
      <c r="AS71" s="51">
        <v>224.1</v>
      </c>
      <c r="AT71" s="51">
        <v>195</v>
      </c>
      <c r="AU71" s="51">
        <v>222</v>
      </c>
      <c r="AV71" s="51">
        <v>219</v>
      </c>
      <c r="AW71" s="51">
        <v>220.6</v>
      </c>
      <c r="AX71" s="51">
        <v>226.6</v>
      </c>
      <c r="AY71" s="51">
        <v>257.60000000000002</v>
      </c>
      <c r="AZ71" s="51">
        <v>263.10000000000002</v>
      </c>
      <c r="BA71" s="51">
        <v>263.3</v>
      </c>
      <c r="BB71" s="51">
        <v>197.9</v>
      </c>
      <c r="BC71" s="51">
        <v>-8</v>
      </c>
      <c r="BD71" s="51">
        <v>247.5</v>
      </c>
      <c r="BE71" s="51">
        <v>320</v>
      </c>
      <c r="BF71" s="51">
        <v>295.89999999999998</v>
      </c>
      <c r="BG71" s="51">
        <v>370.3</v>
      </c>
      <c r="BH71" s="51">
        <v>346</v>
      </c>
      <c r="BI71" s="51">
        <v>127.7</v>
      </c>
      <c r="BJ71" s="51">
        <v>265.7</v>
      </c>
      <c r="BK71" s="51">
        <v>486.4</v>
      </c>
      <c r="BL71" s="51">
        <v>387.6</v>
      </c>
      <c r="BM71" s="51">
        <v>368.4</v>
      </c>
      <c r="BN71" s="51">
        <v>240</v>
      </c>
      <c r="BO71" s="51">
        <v>363.3</v>
      </c>
      <c r="BP71" s="51">
        <v>334</v>
      </c>
      <c r="BQ71" s="51">
        <v>273.89999999999998</v>
      </c>
      <c r="BR71" s="51">
        <v>240.5</v>
      </c>
      <c r="BS71" s="51">
        <v>332.2</v>
      </c>
      <c r="BT71" s="51">
        <v>262.10000000000002</v>
      </c>
      <c r="BU71" s="51">
        <v>251.9</v>
      </c>
      <c r="BV71" s="51">
        <v>185.2</v>
      </c>
      <c r="BW71" s="51">
        <v>403.1</v>
      </c>
      <c r="BX71" s="51">
        <v>308.7</v>
      </c>
      <c r="BY71" s="51">
        <v>310.3</v>
      </c>
      <c r="BZ71" s="51">
        <v>182.4</v>
      </c>
      <c r="CA71" s="51">
        <v>162.9</v>
      </c>
      <c r="CB71" s="51">
        <v>206.9</v>
      </c>
      <c r="CC71" s="51">
        <v>154.9</v>
      </c>
      <c r="CD71" s="51">
        <v>85.1</v>
      </c>
      <c r="CE71" s="51">
        <v>88.4</v>
      </c>
      <c r="CF71" s="51">
        <v>78.900000000000006</v>
      </c>
      <c r="CG71" s="51">
        <v>248.1</v>
      </c>
      <c r="CH71" s="51">
        <v>0</v>
      </c>
      <c r="CI71" s="51">
        <v>126.7</v>
      </c>
      <c r="CJ71" s="51">
        <v>196.8</v>
      </c>
      <c r="CK71" s="51">
        <v>192.7</v>
      </c>
      <c r="CL71" s="51">
        <v>120.2</v>
      </c>
      <c r="CM71" s="51">
        <v>172</v>
      </c>
      <c r="CN71" s="51">
        <v>252.5</v>
      </c>
      <c r="CO71" s="51">
        <v>36</v>
      </c>
      <c r="CP71" s="51">
        <v>0</v>
      </c>
      <c r="CQ71" s="51">
        <v>223.6</v>
      </c>
      <c r="CR71" s="51">
        <v>264.7</v>
      </c>
      <c r="CS71" s="51">
        <v>261.5</v>
      </c>
      <c r="CT71" s="51">
        <v>0</v>
      </c>
      <c r="CU71" s="51">
        <v>183.4</v>
      </c>
      <c r="CV71" s="51">
        <v>154.5</v>
      </c>
      <c r="CW71" s="51">
        <v>180.1</v>
      </c>
      <c r="CX71" s="51">
        <v>167.4</v>
      </c>
      <c r="CY71" s="51">
        <v>251.9</v>
      </c>
      <c r="CZ71" s="51">
        <v>231.7</v>
      </c>
      <c r="DA71" s="51">
        <v>258.2</v>
      </c>
      <c r="DB71" s="51">
        <v>352.3</v>
      </c>
      <c r="DC71" s="51">
        <v>143.19999999999999</v>
      </c>
      <c r="DD71" s="51">
        <v>203.7</v>
      </c>
      <c r="DE71" s="51">
        <v>293.2</v>
      </c>
      <c r="DF71" s="51">
        <v>113.8</v>
      </c>
      <c r="DG71" s="51">
        <v>273.8</v>
      </c>
      <c r="DH71" s="51">
        <v>187.2</v>
      </c>
      <c r="DI71" s="51">
        <v>113.8</v>
      </c>
      <c r="DJ71" s="51">
        <f>158.7+9.7</f>
        <v>168.39999999999998</v>
      </c>
      <c r="DK71" s="51">
        <v>184.8</v>
      </c>
      <c r="DL71" s="51">
        <v>325.7</v>
      </c>
      <c r="DM71" s="51">
        <f t="shared" ref="DM71" si="171">+DM70*0.1</f>
        <v>296.50729999999987</v>
      </c>
      <c r="DN71" s="51">
        <f>19.9+319.2</f>
        <v>339.09999999999997</v>
      </c>
      <c r="DO71" s="51">
        <f>293.2+23.3</f>
        <v>316.5</v>
      </c>
      <c r="DP71" s="51">
        <f>550.2+147.6</f>
        <v>697.80000000000007</v>
      </c>
      <c r="DQ71" s="51">
        <f>+DQ70*0.15</f>
        <v>605.30009999999993</v>
      </c>
      <c r="DR71" s="51">
        <f>+DR70*0.15</f>
        <v>483.99959999999993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885.2</v>
      </c>
      <c r="EK71" s="49">
        <v>568.70000000000005</v>
      </c>
      <c r="EL71" s="49">
        <v>698.7</v>
      </c>
      <c r="EM71" s="49">
        <v>800.9</v>
      </c>
      <c r="EN71" s="51">
        <v>850</v>
      </c>
      <c r="EO71" s="51">
        <v>779</v>
      </c>
      <c r="EP71" s="51">
        <v>788</v>
      </c>
      <c r="EQ71" s="51">
        <v>866</v>
      </c>
      <c r="ER71" s="51">
        <v>832</v>
      </c>
      <c r="ES71" s="51">
        <v>912</v>
      </c>
      <c r="ET71" s="51">
        <f>ET70*0.22</f>
        <v>1428.6131199999995</v>
      </c>
      <c r="EU71" s="51">
        <f>SUM(BC71:BF71)</f>
        <v>855.4</v>
      </c>
      <c r="EV71" s="51">
        <f>SUM(BG71:BJ71)</f>
        <v>1109.7</v>
      </c>
      <c r="EW71" s="51">
        <f>SUM(BK71:BN71)</f>
        <v>1482.4</v>
      </c>
      <c r="EX71" s="51">
        <f>SUM(BO71:BR71)</f>
        <v>1211.6999999999998</v>
      </c>
      <c r="EY71" s="51">
        <f>SUM(BS71:BV71)</f>
        <v>1031.3999999999999</v>
      </c>
      <c r="EZ71" s="51">
        <f t="shared" ref="EZ71:FB71" si="172">EZ70*0.28</f>
        <v>-1998.5910000000001</v>
      </c>
      <c r="FA71" s="51">
        <f t="shared" si="172"/>
        <v>-1598.8728000000003</v>
      </c>
      <c r="FB71" s="51">
        <f t="shared" si="172"/>
        <v>0</v>
      </c>
      <c r="FC71" s="51"/>
      <c r="FD71" s="51"/>
      <c r="FE71" s="51"/>
      <c r="FF71" s="49">
        <f t="shared" ref="FF71" si="173">SUM(CU71:CX71)</f>
        <v>685.4</v>
      </c>
      <c r="FG71" s="49">
        <f t="shared" ref="FG71" si="174">SUM(CY71:DB71)</f>
        <v>1094.0999999999999</v>
      </c>
      <c r="FH71" s="49">
        <f>SUM(DC71:DF71)</f>
        <v>753.89999999999986</v>
      </c>
      <c r="FI71" s="49">
        <f>SUM(DG71:DJ71)</f>
        <v>743.19999999999993</v>
      </c>
      <c r="FJ71" s="49">
        <f>SUM(DK71:DN71)</f>
        <v>1146.1072999999999</v>
      </c>
      <c r="FK71" s="51">
        <f>FK70*0.14</f>
        <v>1961.9177200000013</v>
      </c>
      <c r="FL71" s="51">
        <f t="shared" ref="FL71:FP71" si="175">FL70*0.2</f>
        <v>4988.893327920001</v>
      </c>
      <c r="FM71" s="51">
        <f t="shared" si="175"/>
        <v>6386.4622743235223</v>
      </c>
      <c r="FN71" s="51">
        <f t="shared" si="175"/>
        <v>8209.7127391460363</v>
      </c>
      <c r="FO71" s="51">
        <f t="shared" si="175"/>
        <v>9721.5271149482196</v>
      </c>
      <c r="FP71" s="51">
        <f t="shared" si="175"/>
        <v>10933.606996496273</v>
      </c>
      <c r="FQ71" s="51">
        <f>FQ70*0.2</f>
        <v>12016.286998825628</v>
      </c>
    </row>
    <row r="72" spans="1:251" x14ac:dyDescent="0.2">
      <c r="A72" s="102"/>
      <c r="B72" t="s">
        <v>83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f t="shared" ref="AP72:AZ72" si="176">AP70-AP71</f>
        <v>490.20000000000039</v>
      </c>
      <c r="AQ72" s="51">
        <f t="shared" si="176"/>
        <v>449.43663366336614</v>
      </c>
      <c r="AR72" s="51">
        <f t="shared" si="176"/>
        <v>390.99999999999972</v>
      </c>
      <c r="AS72" s="51">
        <f t="shared" si="176"/>
        <v>537.53333333333364</v>
      </c>
      <c r="AT72" s="51">
        <f t="shared" si="176"/>
        <v>642.40000000000077</v>
      </c>
      <c r="AU72" s="51">
        <f t="shared" si="176"/>
        <v>557.30000000000018</v>
      </c>
      <c r="AV72" s="51">
        <f t="shared" si="176"/>
        <v>602.09999999999991</v>
      </c>
      <c r="AW72" s="51">
        <f t="shared" si="176"/>
        <v>717.10000000000048</v>
      </c>
      <c r="AX72" s="51">
        <f t="shared" si="176"/>
        <v>2114.1000000000008</v>
      </c>
      <c r="AY72" s="51">
        <f t="shared" si="176"/>
        <v>996.10000000000025</v>
      </c>
      <c r="AZ72" s="51">
        <f t="shared" si="176"/>
        <v>554.5</v>
      </c>
      <c r="BA72" s="51">
        <f t="shared" ref="BA72:BF72" si="177">BA70-BA71</f>
        <v>2308.8999999999987</v>
      </c>
      <c r="BB72" s="51">
        <f t="shared" si="177"/>
        <v>2517.7000000000003</v>
      </c>
      <c r="BC72" s="51">
        <f t="shared" si="177"/>
        <v>2731.2000000000012</v>
      </c>
      <c r="BD72" s="51">
        <f t="shared" si="177"/>
        <v>2635.7999999999988</v>
      </c>
      <c r="BE72" s="51">
        <f t="shared" si="177"/>
        <v>2722.0000000000009</v>
      </c>
      <c r="BF72" s="51">
        <f t="shared" si="177"/>
        <v>1212.0999999999999</v>
      </c>
      <c r="BG72" s="51">
        <f t="shared" ref="BG72:BL72" si="178">BG70-BG71</f>
        <v>1157.9000000000001</v>
      </c>
      <c r="BH72" s="51">
        <f t="shared" si="178"/>
        <v>1047.4000000000001</v>
      </c>
      <c r="BI72" s="51">
        <f t="shared" si="178"/>
        <v>1491.6000000000006</v>
      </c>
      <c r="BJ72" s="51">
        <f t="shared" si="178"/>
        <v>999.19999999999982</v>
      </c>
      <c r="BK72" s="51">
        <f t="shared" si="178"/>
        <v>1297.5999999999999</v>
      </c>
      <c r="BL72" s="51">
        <f t="shared" si="178"/>
        <v>1357.7999999999997</v>
      </c>
      <c r="BM72" s="51">
        <f t="shared" ref="BM72:BS72" si="179">BM70-BM71</f>
        <v>1340.6999999999998</v>
      </c>
      <c r="BN72" s="51">
        <f t="shared" si="179"/>
        <v>1248.8000000000006</v>
      </c>
      <c r="BO72" s="51">
        <f>BO70-BO71</f>
        <v>1374.9000000000005</v>
      </c>
      <c r="BP72" s="51">
        <f>BP70-BP71</f>
        <v>1329.5999999999985</v>
      </c>
      <c r="BQ72" s="51">
        <f>BQ70-BQ71</f>
        <v>1254</v>
      </c>
      <c r="BR72" s="51">
        <f t="shared" si="179"/>
        <v>969.60000000000059</v>
      </c>
      <c r="BS72" s="51">
        <f t="shared" si="179"/>
        <v>1027.3</v>
      </c>
      <c r="BT72" s="51">
        <f t="shared" ref="BT72:BV72" si="180">BT70-BT71</f>
        <v>923.39999999999907</v>
      </c>
      <c r="BU72" s="51">
        <f t="shared" si="180"/>
        <v>887.49999999999989</v>
      </c>
      <c r="BV72" s="51">
        <f t="shared" si="180"/>
        <v>1031.2</v>
      </c>
      <c r="BW72" s="51">
        <f t="shared" ref="BW72:CA72" si="181">BW70-BW71</f>
        <v>1074.2999999999997</v>
      </c>
      <c r="BX72" s="51">
        <f t="shared" si="181"/>
        <v>1269.7</v>
      </c>
      <c r="BY72" s="51">
        <f t="shared" si="181"/>
        <v>1203.0999999999999</v>
      </c>
      <c r="BZ72" s="51">
        <f>BZ70-BZ71</f>
        <v>820.00000000000023</v>
      </c>
      <c r="CA72" s="51">
        <f t="shared" si="181"/>
        <v>647.30000000000075</v>
      </c>
      <c r="CB72" s="51">
        <f t="shared" ref="CB72:CC72" si="182">CB70-CB71</f>
        <v>625.90000000000043</v>
      </c>
      <c r="CC72" s="51">
        <f t="shared" si="182"/>
        <v>444.9000000000002</v>
      </c>
      <c r="CD72" s="51">
        <f t="shared" ref="CD72" si="183">CD70-CD71</f>
        <v>660.29999999999984</v>
      </c>
      <c r="CE72" s="51">
        <f t="shared" ref="CE72:CF72" si="184">CE70-CE71</f>
        <v>708.0999999999998</v>
      </c>
      <c r="CF72" s="51">
        <f t="shared" si="184"/>
        <v>1184.2999999999995</v>
      </c>
      <c r="CG72" s="51">
        <f t="shared" ref="CG72:CH72" si="185">CG70-CG71</f>
        <v>669.09999999999934</v>
      </c>
      <c r="CH72" s="51">
        <f t="shared" si="185"/>
        <v>699.10000000000014</v>
      </c>
      <c r="CI72" s="51">
        <f t="shared" ref="CI72:CJ72" si="186">CI70-CI71</f>
        <v>869.50000000000023</v>
      </c>
      <c r="CJ72" s="51">
        <f t="shared" si="186"/>
        <v>929.89999999999964</v>
      </c>
      <c r="CK72" s="51">
        <f t="shared" ref="CK72:CL72" si="187">CK70-CK71</f>
        <v>769.09999999999945</v>
      </c>
      <c r="CL72" s="51">
        <f t="shared" si="187"/>
        <v>917.80000000000018</v>
      </c>
      <c r="CM72" s="51">
        <f t="shared" ref="CM72:CN72" si="188">CM70-CM71</f>
        <v>804.10000000000014</v>
      </c>
      <c r="CN72" s="51">
        <f t="shared" si="188"/>
        <v>937.20000000000027</v>
      </c>
      <c r="CO72" s="51">
        <f t="shared" ref="CO72:CP72" si="189">CO70-CO71</f>
        <v>1067.2999999999997</v>
      </c>
      <c r="CP72" s="51">
        <f t="shared" si="189"/>
        <v>1113.4999999999991</v>
      </c>
      <c r="CQ72" s="51">
        <f t="shared" ref="CQ72:CR72" si="190">CQ70-CQ71</f>
        <v>424.49999999999989</v>
      </c>
      <c r="CR72" s="51">
        <f t="shared" si="190"/>
        <v>1362.9999999999998</v>
      </c>
      <c r="CS72" s="51">
        <f t="shared" ref="CS72:CT72" si="191">CS70-CS71</f>
        <v>1293.5999999999999</v>
      </c>
      <c r="CT72" s="51">
        <f t="shared" si="191"/>
        <v>1544.9000000000003</v>
      </c>
      <c r="CU72" s="51">
        <f t="shared" ref="CU72:DG72" si="192">CU70-CU71</f>
        <v>1094.6999999999975</v>
      </c>
      <c r="CV72" s="51">
        <f t="shared" si="192"/>
        <v>1329.0000000000009</v>
      </c>
      <c r="CW72" s="51">
        <f t="shared" si="192"/>
        <v>1294.8000000000011</v>
      </c>
      <c r="CX72" s="51">
        <f t="shared" si="192"/>
        <v>1354.7999999999995</v>
      </c>
      <c r="CY72" s="51">
        <f t="shared" si="192"/>
        <v>1431.4999999999975</v>
      </c>
      <c r="CZ72" s="51">
        <f t="shared" si="192"/>
        <v>1228.4999999999986</v>
      </c>
      <c r="DA72" s="51">
        <f t="shared" si="192"/>
        <v>1164.1999999999989</v>
      </c>
      <c r="DB72" s="51">
        <f t="shared" si="192"/>
        <v>1892.6999999999991</v>
      </c>
      <c r="DC72" s="51">
        <f t="shared" si="192"/>
        <v>1777.5000000000007</v>
      </c>
      <c r="DD72" s="51">
        <f t="shared" si="192"/>
        <v>1698.2999999999972</v>
      </c>
      <c r="DE72" s="51">
        <f t="shared" si="192"/>
        <v>1693.5999999999979</v>
      </c>
      <c r="DF72" s="51">
        <f t="shared" si="192"/>
        <v>2207.1999999999994</v>
      </c>
      <c r="DG72" s="51">
        <f t="shared" si="192"/>
        <v>2538.4999999999991</v>
      </c>
      <c r="DH72" s="51">
        <f>+DH70-DH71</f>
        <v>1703.7000000000016</v>
      </c>
      <c r="DI72" s="51">
        <f t="shared" ref="DI72:DR72" si="193">+DI70-DI71</f>
        <v>1720.4999999999993</v>
      </c>
      <c r="DJ72" s="51">
        <f t="shared" si="193"/>
        <v>2026.900000000001</v>
      </c>
      <c r="DK72" s="51">
        <f t="shared" si="193"/>
        <v>1504.4999999999991</v>
      </c>
      <c r="DL72" s="51">
        <f t="shared" si="193"/>
        <v>1481.3999999999992</v>
      </c>
      <c r="DM72" s="51">
        <f t="shared" si="193"/>
        <v>2668.5656999999987</v>
      </c>
      <c r="DN72" s="51">
        <f t="shared" si="193"/>
        <v>2863.6000000000045</v>
      </c>
      <c r="DO72" s="51">
        <f t="shared" si="193"/>
        <v>2387.8000000000002</v>
      </c>
      <c r="DP72" s="51">
        <f t="shared" si="193"/>
        <v>3547.7999999999984</v>
      </c>
      <c r="DQ72" s="51">
        <f t="shared" si="193"/>
        <v>3430.0338999999999</v>
      </c>
      <c r="DR72" s="51">
        <f t="shared" si="193"/>
        <v>2742.6643999999997</v>
      </c>
      <c r="DS72" s="51"/>
      <c r="DT72" s="51"/>
      <c r="DU72" s="51"/>
      <c r="DV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:EM72" si="194">EJ70-EJ71</f>
        <v>1320.4999999999998</v>
      </c>
      <c r="EK72" s="51">
        <f t="shared" si="194"/>
        <v>2074.4999999999982</v>
      </c>
      <c r="EL72" s="51">
        <f t="shared" si="194"/>
        <v>2481.1999999999989</v>
      </c>
      <c r="EM72" s="51">
        <f t="shared" si="194"/>
        <v>2576.4999999999995</v>
      </c>
      <c r="EN72" s="51">
        <f t="shared" ref="EN72:ET72" si="195">EN70-EN71</f>
        <v>3101</v>
      </c>
      <c r="EO72" s="51">
        <f t="shared" si="195"/>
        <v>2841.2000000000007</v>
      </c>
      <c r="EP72" s="51">
        <f t="shared" si="195"/>
        <v>2802</v>
      </c>
      <c r="EQ72" s="51">
        <f t="shared" si="195"/>
        <v>3073</v>
      </c>
      <c r="ER72" s="51">
        <f t="shared" si="195"/>
        <v>3134</v>
      </c>
      <c r="ES72" s="51">
        <f t="shared" si="195"/>
        <v>3689.4999999999982</v>
      </c>
      <c r="ET72" s="51">
        <f t="shared" si="195"/>
        <v>5065.0828799999981</v>
      </c>
      <c r="EU72" s="51">
        <f>EU70-EU71</f>
        <v>9301.0999999999985</v>
      </c>
      <c r="EV72" s="51">
        <f>EV70-EV71</f>
        <v>4696.0999999999995</v>
      </c>
      <c r="EW72" s="51">
        <f>EW70-EW71</f>
        <v>4062.4999999999959</v>
      </c>
      <c r="EX72" s="51">
        <f>EX70-EX71</f>
        <v>4518.0000000000018</v>
      </c>
      <c r="EY72" s="51">
        <f t="shared" ref="EY72:FB72" si="196">EY70-EY71</f>
        <v>3268.2</v>
      </c>
      <c r="EZ72" s="51">
        <f t="shared" si="196"/>
        <v>-5139.2339999999995</v>
      </c>
      <c r="FA72" s="51">
        <f t="shared" si="196"/>
        <v>-4111.3872000000001</v>
      </c>
      <c r="FB72" s="51">
        <f t="shared" si="196"/>
        <v>0</v>
      </c>
      <c r="FC72" s="51">
        <f>FC70-FC71</f>
        <v>0</v>
      </c>
      <c r="FD72" s="51">
        <f>FD70-FD71</f>
        <v>4447.9000000000051</v>
      </c>
      <c r="FE72" s="51">
        <f t="shared" ref="FE72:FH72" si="197">FE70-FE71</f>
        <v>5785.0999999999985</v>
      </c>
      <c r="FF72" s="51">
        <f t="shared" si="197"/>
        <v>5713.699999999998</v>
      </c>
      <c r="FG72" s="51">
        <f t="shared" si="197"/>
        <v>6370.1</v>
      </c>
      <c r="FH72" s="51">
        <f t="shared" si="197"/>
        <v>7780.1999999999989</v>
      </c>
      <c r="FI72" s="51">
        <f>+FI70-FI71</f>
        <v>7984.8000000000056</v>
      </c>
      <c r="FJ72" s="51">
        <f>+FJ70-FJ71</f>
        <v>8523.8657000000021</v>
      </c>
      <c r="FK72" s="51">
        <f>+FK70-FK71</f>
        <v>12051.780280000006</v>
      </c>
      <c r="FL72" s="51">
        <f t="shared" ref="FL72:FO72" si="198">+FL70-FL71</f>
        <v>19955.573311680004</v>
      </c>
      <c r="FM72" s="51">
        <f t="shared" si="198"/>
        <v>25545.849097294085</v>
      </c>
      <c r="FN72" s="51">
        <f t="shared" si="198"/>
        <v>32838.850956584145</v>
      </c>
      <c r="FO72" s="51">
        <f t="shared" si="198"/>
        <v>38886.108459792878</v>
      </c>
      <c r="FP72" s="51">
        <f>+FP70-FP71</f>
        <v>43734.427985985094</v>
      </c>
      <c r="FQ72" s="51">
        <f>+FQ70-FQ71</f>
        <v>48065.147995302512</v>
      </c>
      <c r="FR72" s="54">
        <f>+FQ72*(1+$FS$89)</f>
        <v>49026.450955208566</v>
      </c>
      <c r="FS72" s="54">
        <f t="shared" ref="FS72:ID72" si="199">+FR72*(1+$FS$89)</f>
        <v>50006.979974312737</v>
      </c>
      <c r="FT72" s="54">
        <f t="shared" si="199"/>
        <v>51007.119573798991</v>
      </c>
      <c r="FU72" s="54">
        <f t="shared" si="199"/>
        <v>52027.261965274971</v>
      </c>
      <c r="FV72" s="54">
        <f t="shared" si="199"/>
        <v>53067.807204580473</v>
      </c>
      <c r="FW72" s="54">
        <f t="shared" si="199"/>
        <v>54129.163348672082</v>
      </c>
      <c r="FX72" s="54">
        <f t="shared" si="199"/>
        <v>55211.746615645527</v>
      </c>
      <c r="FY72" s="54">
        <f t="shared" si="199"/>
        <v>56315.981547958436</v>
      </c>
      <c r="FZ72" s="54">
        <f t="shared" si="199"/>
        <v>57442.301178917609</v>
      </c>
      <c r="GA72" s="54">
        <f t="shared" si="199"/>
        <v>58591.147202495966</v>
      </c>
      <c r="GB72" s="54">
        <f t="shared" si="199"/>
        <v>59762.970146545886</v>
      </c>
      <c r="GC72" s="54">
        <f t="shared" si="199"/>
        <v>60958.229549476804</v>
      </c>
      <c r="GD72" s="54">
        <f t="shared" si="199"/>
        <v>62177.394140466342</v>
      </c>
      <c r="GE72" s="54">
        <f t="shared" si="199"/>
        <v>63420.942023275667</v>
      </c>
      <c r="GF72" s="54">
        <f t="shared" si="199"/>
        <v>64689.360863741182</v>
      </c>
      <c r="GG72" s="54">
        <f t="shared" si="199"/>
        <v>65983.148081015999</v>
      </c>
      <c r="GH72" s="54">
        <f t="shared" si="199"/>
        <v>67302.811042636327</v>
      </c>
      <c r="GI72" s="54">
        <f t="shared" si="199"/>
        <v>68648.867263489054</v>
      </c>
      <c r="GJ72" s="54">
        <f t="shared" si="199"/>
        <v>70021.844608758838</v>
      </c>
      <c r="GK72" s="54">
        <f t="shared" si="199"/>
        <v>71422.281500934012</v>
      </c>
      <c r="GL72" s="54">
        <f t="shared" si="199"/>
        <v>72850.727130952699</v>
      </c>
      <c r="GM72" s="54">
        <f t="shared" si="199"/>
        <v>74307.741673571756</v>
      </c>
      <c r="GN72" s="54">
        <f t="shared" si="199"/>
        <v>75793.896507043188</v>
      </c>
      <c r="GO72" s="54">
        <f t="shared" si="199"/>
        <v>77309.774437184053</v>
      </c>
      <c r="GP72" s="54">
        <f t="shared" si="199"/>
        <v>78855.96992592774</v>
      </c>
      <c r="GQ72" s="54">
        <f t="shared" si="199"/>
        <v>80433.089324446293</v>
      </c>
      <c r="GR72" s="54">
        <f t="shared" si="199"/>
        <v>82041.75111093522</v>
      </c>
      <c r="GS72" s="54">
        <f t="shared" si="199"/>
        <v>83682.58613315392</v>
      </c>
      <c r="GT72" s="54">
        <f t="shared" si="199"/>
        <v>85356.237855817002</v>
      </c>
      <c r="GU72" s="54">
        <f t="shared" si="199"/>
        <v>87063.362612933342</v>
      </c>
      <c r="GV72" s="54">
        <f t="shared" si="199"/>
        <v>88804.629865192008</v>
      </c>
      <c r="GW72" s="54">
        <f t="shared" si="199"/>
        <v>90580.722462495847</v>
      </c>
      <c r="GX72" s="54">
        <f t="shared" si="199"/>
        <v>92392.336911745762</v>
      </c>
      <c r="GY72" s="54">
        <f t="shared" si="199"/>
        <v>94240.183649980681</v>
      </c>
      <c r="GZ72" s="54">
        <f t="shared" si="199"/>
        <v>96124.987322980291</v>
      </c>
      <c r="HA72" s="54">
        <f t="shared" si="199"/>
        <v>98047.4870694399</v>
      </c>
      <c r="HB72" s="54">
        <f t="shared" si="199"/>
        <v>100008.4368108287</v>
      </c>
      <c r="HC72" s="54">
        <f t="shared" si="199"/>
        <v>102008.60554704528</v>
      </c>
      <c r="HD72" s="54">
        <f t="shared" si="199"/>
        <v>104048.7776579862</v>
      </c>
      <c r="HE72" s="54">
        <f t="shared" si="199"/>
        <v>106129.75321114593</v>
      </c>
      <c r="HF72" s="54">
        <f t="shared" si="199"/>
        <v>108252.34827536884</v>
      </c>
      <c r="HG72" s="54">
        <f t="shared" si="199"/>
        <v>110417.39524087623</v>
      </c>
      <c r="HH72" s="54">
        <f t="shared" si="199"/>
        <v>112625.74314569375</v>
      </c>
      <c r="HI72" s="54">
        <f t="shared" si="199"/>
        <v>114878.25800860762</v>
      </c>
      <c r="HJ72" s="54">
        <f t="shared" si="199"/>
        <v>117175.82316877977</v>
      </c>
      <c r="HK72" s="54">
        <f t="shared" si="199"/>
        <v>119519.33963215536</v>
      </c>
      <c r="HL72" s="54">
        <f t="shared" si="199"/>
        <v>121909.72642479847</v>
      </c>
      <c r="HM72" s="54">
        <f t="shared" si="199"/>
        <v>124347.92095329444</v>
      </c>
      <c r="HN72" s="54">
        <f t="shared" si="199"/>
        <v>126834.87937236033</v>
      </c>
      <c r="HO72" s="54">
        <f t="shared" si="199"/>
        <v>129371.57695980754</v>
      </c>
      <c r="HP72" s="54">
        <f t="shared" si="199"/>
        <v>131959.00849900368</v>
      </c>
      <c r="HQ72" s="54">
        <f t="shared" si="199"/>
        <v>134598.18866898376</v>
      </c>
      <c r="HR72" s="54">
        <f t="shared" si="199"/>
        <v>137290.15244236344</v>
      </c>
      <c r="HS72" s="54">
        <f t="shared" si="199"/>
        <v>140035.95549121071</v>
      </c>
      <c r="HT72" s="54">
        <f t="shared" si="199"/>
        <v>142836.67460103493</v>
      </c>
      <c r="HU72" s="54">
        <f t="shared" si="199"/>
        <v>145693.40809305562</v>
      </c>
      <c r="HV72" s="54">
        <f t="shared" si="199"/>
        <v>148607.27625491674</v>
      </c>
      <c r="HW72" s="54">
        <f t="shared" si="199"/>
        <v>151579.42178001508</v>
      </c>
      <c r="HX72" s="54">
        <f t="shared" si="199"/>
        <v>154611.01021561539</v>
      </c>
      <c r="HY72" s="54">
        <f t="shared" si="199"/>
        <v>157703.23041992768</v>
      </c>
      <c r="HZ72" s="54">
        <f t="shared" si="199"/>
        <v>160857.29502832625</v>
      </c>
      <c r="IA72" s="54">
        <f t="shared" si="199"/>
        <v>164074.44092889279</v>
      </c>
      <c r="IB72" s="54">
        <f t="shared" si="199"/>
        <v>167355.92974747065</v>
      </c>
      <c r="IC72" s="54">
        <f t="shared" si="199"/>
        <v>170703.04834242008</v>
      </c>
      <c r="ID72" s="54">
        <f t="shared" si="199"/>
        <v>174117.10930926848</v>
      </c>
      <c r="IE72" s="54">
        <f t="shared" ref="IE72:IQ72" si="200">+ID72*(1+$FS$89)</f>
        <v>177599.45149545386</v>
      </c>
      <c r="IF72" s="54">
        <f t="shared" si="200"/>
        <v>181151.44052536294</v>
      </c>
      <c r="IG72" s="54">
        <f t="shared" si="200"/>
        <v>184774.46933587021</v>
      </c>
      <c r="IH72" s="54">
        <f t="shared" si="200"/>
        <v>188469.95872258762</v>
      </c>
      <c r="II72" s="54">
        <f t="shared" si="200"/>
        <v>192239.35789703939</v>
      </c>
      <c r="IJ72" s="54">
        <f t="shared" si="200"/>
        <v>196084.14505498018</v>
      </c>
      <c r="IK72" s="54">
        <f t="shared" si="200"/>
        <v>200005.8279560798</v>
      </c>
      <c r="IL72" s="54">
        <f t="shared" si="200"/>
        <v>204005.94451520141</v>
      </c>
      <c r="IM72" s="54">
        <f t="shared" si="200"/>
        <v>208086.06340550544</v>
      </c>
      <c r="IN72" s="54">
        <f t="shared" si="200"/>
        <v>212247.78467361556</v>
      </c>
      <c r="IO72" s="54">
        <f t="shared" si="200"/>
        <v>216492.74036708788</v>
      </c>
      <c r="IP72" s="54">
        <f t="shared" si="200"/>
        <v>220822.59517442965</v>
      </c>
      <c r="IQ72" s="54">
        <f t="shared" si="200"/>
        <v>225239.04707791825</v>
      </c>
    </row>
    <row r="73" spans="1:251" s="58" customFormat="1" x14ac:dyDescent="0.2">
      <c r="A73" s="108"/>
      <c r="B73" s="58" t="s">
        <v>56</v>
      </c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>
        <f t="shared" ref="AP73:AY73" si="201">AP72/AP74</f>
        <v>0.4500550863018733</v>
      </c>
      <c r="AQ73" s="59">
        <f t="shared" si="201"/>
        <v>0.41270581603614886</v>
      </c>
      <c r="AR73" s="59">
        <f t="shared" si="201"/>
        <v>0.35871559633027494</v>
      </c>
      <c r="AS73" s="59">
        <f t="shared" si="201"/>
        <v>0.49269783073632784</v>
      </c>
      <c r="AT73" s="59">
        <f t="shared" si="201"/>
        <v>0.58747142203932401</v>
      </c>
      <c r="AU73" s="59">
        <f t="shared" si="201"/>
        <v>0.51269549218031296</v>
      </c>
      <c r="AV73" s="59">
        <f t="shared" si="201"/>
        <v>0.55477748088086243</v>
      </c>
      <c r="AW73" s="59">
        <f t="shared" si="201"/>
        <v>0.66006266499265509</v>
      </c>
      <c r="AX73" s="59">
        <f t="shared" si="201"/>
        <v>1.9411494109340131</v>
      </c>
      <c r="AY73" s="59">
        <f t="shared" si="201"/>
        <v>0.91395466836226802</v>
      </c>
      <c r="AZ73" s="59">
        <f t="shared" ref="AZ73:BF73" si="202">AZ72/AZ74</f>
        <v>0.50877207469820052</v>
      </c>
      <c r="BA73" s="59">
        <f t="shared" si="202"/>
        <v>2.117813888471034</v>
      </c>
      <c r="BB73" s="59">
        <f t="shared" si="202"/>
        <v>2.3042440483381479</v>
      </c>
      <c r="BC73" s="59">
        <f t="shared" si="202"/>
        <v>2.4963987218204564</v>
      </c>
      <c r="BD73" s="59">
        <f t="shared" si="202"/>
        <v>2.4096936275406082</v>
      </c>
      <c r="BE73" s="59">
        <f t="shared" si="202"/>
        <v>2.4881693125175399</v>
      </c>
      <c r="BF73" s="59">
        <f t="shared" si="202"/>
        <v>1.1054354299305693</v>
      </c>
      <c r="BG73" s="59">
        <f t="shared" ref="BG73:BL73" si="203">BG72/BG74</f>
        <v>1.0552687795737732</v>
      </c>
      <c r="BH73" s="59">
        <f t="shared" si="203"/>
        <v>0.95460042854031091</v>
      </c>
      <c r="BI73" s="59">
        <f t="shared" si="203"/>
        <v>1.3588746375286636</v>
      </c>
      <c r="BJ73" s="59">
        <f t="shared" si="203"/>
        <v>0.90717029507547786</v>
      </c>
      <c r="BK73" s="59">
        <f t="shared" si="203"/>
        <v>1.1759950553105565</v>
      </c>
      <c r="BL73" s="59">
        <f t="shared" si="203"/>
        <v>1.2301063501137424</v>
      </c>
      <c r="BM73" s="59">
        <f>BM72/BM74</f>
        <v>1.2130858000104956</v>
      </c>
      <c r="BN73" s="59">
        <f>BN72/BN74</f>
        <v>1.1256930791689996</v>
      </c>
      <c r="BO73" s="59">
        <f>+BO72/BO74</f>
        <v>1.236420863309353</v>
      </c>
      <c r="BP73" s="59">
        <f t="shared" ref="BP73:BV73" si="204">BP72/BP74</f>
        <v>1.1491789109766626</v>
      </c>
      <c r="BQ73" s="59">
        <f t="shared" si="204"/>
        <v>1.125833938596263</v>
      </c>
      <c r="BR73" s="59">
        <f t="shared" si="204"/>
        <v>0.86959641255605435</v>
      </c>
      <c r="BS73" s="59">
        <f t="shared" si="204"/>
        <v>0.91970961062075252</v>
      </c>
      <c r="BT73" s="59">
        <f t="shared" si="204"/>
        <v>0.82593917710196696</v>
      </c>
      <c r="BU73" s="59">
        <f t="shared" si="204"/>
        <v>0.79266479166089832</v>
      </c>
      <c r="BV73" s="59">
        <f t="shared" si="204"/>
        <v>0.92577297374941636</v>
      </c>
      <c r="BW73" s="59">
        <f t="shared" ref="BW73:CA73" si="205">BW72/BW74</f>
        <v>0.98390293403280205</v>
      </c>
      <c r="BX73" s="59">
        <f t="shared" si="205"/>
        <v>1.1712699843271033</v>
      </c>
      <c r="BY73" s="59">
        <f t="shared" si="205"/>
        <v>1.1096077774918676</v>
      </c>
      <c r="BZ73" s="59">
        <f t="shared" si="205"/>
        <v>0.75997983273029257</v>
      </c>
      <c r="CA73" s="59">
        <f t="shared" si="205"/>
        <v>0.60167163024847725</v>
      </c>
      <c r="CB73" s="59">
        <f t="shared" ref="CB73:CC73" si="206">CB72/CB74</f>
        <v>0.58146556449260467</v>
      </c>
      <c r="CC73" s="59">
        <f t="shared" si="206"/>
        <v>0.41409698190408312</v>
      </c>
      <c r="CD73" s="59">
        <f t="shared" ref="CD73" si="207">CD72/CD74</f>
        <v>0.61722567202630041</v>
      </c>
      <c r="CE73" s="59">
        <f t="shared" ref="CE73:CF73" si="208">CE72/CE74</f>
        <v>0.66361397366161945</v>
      </c>
      <c r="CF73" s="59">
        <f t="shared" si="208"/>
        <v>1.1114093304704269</v>
      </c>
      <c r="CG73" s="59">
        <f t="shared" ref="CG73:CH73" si="209">CG72/CG74</f>
        <v>0.62816912780157641</v>
      </c>
      <c r="CH73" s="59">
        <f t="shared" si="209"/>
        <v>0.65649788288588629</v>
      </c>
      <c r="CI73" s="59">
        <f t="shared" ref="CI73:CJ73" si="210">CI72/CI74</f>
        <v>0.81791030736307424</v>
      </c>
      <c r="CJ73" s="59">
        <f t="shared" si="210"/>
        <v>0.87719546488340971</v>
      </c>
      <c r="CK73" s="59">
        <f t="shared" ref="CK73:CL73" si="211">CK72/CK74</f>
        <v>0.72502842232080689</v>
      </c>
      <c r="CL73" s="59">
        <f t="shared" si="211"/>
        <v>0.86462715897721909</v>
      </c>
      <c r="CM73" s="59">
        <f t="shared" ref="CM73:CN73" si="212">CM72/CM74</f>
        <v>0.76123774739516781</v>
      </c>
      <c r="CN73" s="59">
        <f t="shared" si="212"/>
        <v>0.88656809603541764</v>
      </c>
      <c r="CO73" s="59">
        <f t="shared" ref="CO73:CP73" si="213">CO72/CO74</f>
        <v>1.0106768305674578</v>
      </c>
      <c r="CP73" s="59">
        <f t="shared" si="213"/>
        <v>1.0593754489382929</v>
      </c>
      <c r="CQ73" s="59">
        <f t="shared" ref="CQ73:CR73" si="214">CQ72/CQ74</f>
        <v>0.40434771426856869</v>
      </c>
      <c r="CR73" s="59">
        <f t="shared" si="214"/>
        <v>1.3230312266431112</v>
      </c>
      <c r="CS73" s="59">
        <f t="shared" ref="CS73:CT73" si="215">CS72/CS74</f>
        <v>1.2604526170761319</v>
      </c>
      <c r="CT73" s="59">
        <f t="shared" si="215"/>
        <v>1.5171587522157357</v>
      </c>
      <c r="CU73" s="59">
        <f t="shared" ref="CU73:DO73" si="216">CU72/CU74</f>
        <v>1.1124988694117157</v>
      </c>
      <c r="CV73" s="59">
        <f t="shared" si="216"/>
        <v>1.4373316894325308</v>
      </c>
      <c r="CW73" s="59">
        <f t="shared" si="216"/>
        <v>1.4097603146156488</v>
      </c>
      <c r="CX73" s="59">
        <f t="shared" si="216"/>
        <v>1.4811769825009451</v>
      </c>
      <c r="CY73" s="59">
        <f t="shared" si="216"/>
        <v>1.5701212991368967</v>
      </c>
      <c r="CZ73" s="59">
        <f t="shared" si="216"/>
        <v>1.3486809603794077</v>
      </c>
      <c r="DA73" s="59">
        <f t="shared" si="216"/>
        <v>1.2773432314084667</v>
      </c>
      <c r="DB73" s="59">
        <f t="shared" si="216"/>
        <v>2.0739849505419174</v>
      </c>
      <c r="DC73" s="59">
        <f t="shared" si="216"/>
        <v>1.9481587023235432</v>
      </c>
      <c r="DD73" s="59">
        <f t="shared" si="216"/>
        <v>1.8654765461607379</v>
      </c>
      <c r="DE73" s="59">
        <f t="shared" si="216"/>
        <v>1.8595642497235774</v>
      </c>
      <c r="DF73" s="59">
        <f t="shared" si="216"/>
        <v>2.4266811792579883</v>
      </c>
      <c r="DG73" s="59">
        <f t="shared" si="216"/>
        <v>2.8006398940864949</v>
      </c>
      <c r="DH73" s="59">
        <f t="shared" si="216"/>
        <v>1.8868363346401771</v>
      </c>
      <c r="DI73" s="59">
        <f t="shared" si="216"/>
        <v>1.9036670347495295</v>
      </c>
      <c r="DJ73" s="59">
        <f t="shared" si="216"/>
        <v>2.2403319436031897</v>
      </c>
      <c r="DK73" s="59">
        <f t="shared" si="216"/>
        <v>1.6655909609723631</v>
      </c>
      <c r="DL73" s="59">
        <f t="shared" si="216"/>
        <v>1.641078587657679</v>
      </c>
      <c r="DM73" s="59">
        <f t="shared" si="216"/>
        <v>2.9562076616901081</v>
      </c>
      <c r="DN73" s="59">
        <f t="shared" si="216"/>
        <v>3.1677691984335987</v>
      </c>
      <c r="DO73" s="59">
        <f t="shared" si="216"/>
        <v>2.6419503386803749</v>
      </c>
      <c r="DP73" s="59">
        <f t="shared" ref="DP73:DR73" si="217">DP72/DP74</f>
        <v>3.923481168882871</v>
      </c>
      <c r="DQ73" s="59">
        <f t="shared" si="217"/>
        <v>3.7932446629685659</v>
      </c>
      <c r="DR73" s="59">
        <f t="shared" si="217"/>
        <v>3.0330887101768536</v>
      </c>
      <c r="DS73" s="59"/>
      <c r="DT73" s="59"/>
      <c r="DU73" s="59"/>
      <c r="DV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>
        <f t="shared" ref="EJ73:EM73" si="218">EJ72/EJ74</f>
        <v>1.1679856073746282</v>
      </c>
      <c r="EK73" s="59">
        <f t="shared" si="218"/>
        <v>1.8497778839860668</v>
      </c>
      <c r="EL73" s="59">
        <f t="shared" si="218"/>
        <v>2.2432880824190469</v>
      </c>
      <c r="EM73" s="59">
        <f t="shared" si="218"/>
        <v>2.3471270126853261</v>
      </c>
      <c r="EN73" s="59">
        <f t="shared" ref="EN73:ES73" si="219">EN72/EN74</f>
        <v>2.842346471127406</v>
      </c>
      <c r="EO73" s="59">
        <f t="shared" si="219"/>
        <v>2.6186175115207382</v>
      </c>
      <c r="EP73" s="59">
        <f t="shared" si="219"/>
        <v>2.5920444033302497</v>
      </c>
      <c r="EQ73" s="59">
        <f t="shared" si="219"/>
        <v>2.8218549127640036</v>
      </c>
      <c r="ER73" s="59">
        <f t="shared" si="219"/>
        <v>2.8752293577981654</v>
      </c>
      <c r="ES73" s="59">
        <f t="shared" si="219"/>
        <v>3.3973296500920793</v>
      </c>
      <c r="ET73" s="59">
        <f>ET72/ET74</f>
        <v>4.6440721932819287</v>
      </c>
      <c r="EU73" s="59">
        <f>EU72/EU74</f>
        <v>8.4973446654406342</v>
      </c>
      <c r="EV73" s="59">
        <f>EV72/EV74</f>
        <v>4.275411286763509</v>
      </c>
      <c r="EW73" s="59">
        <f>EW72/EW74</f>
        <v>3.6749972635404955</v>
      </c>
      <c r="EX73" s="59">
        <f>EX72/EX74</f>
        <v>4.0179277124291426</v>
      </c>
      <c r="EY73" s="59">
        <f t="shared" ref="EY73:FD73" si="220">EY72/EY74</f>
        <v>2.9255428662478531</v>
      </c>
      <c r="EZ73" s="59">
        <f t="shared" si="220"/>
        <v>-4.6004067580559385</v>
      </c>
      <c r="FA73" s="59">
        <f t="shared" si="220"/>
        <v>-3.6803254064447515</v>
      </c>
      <c r="FB73" s="59">
        <f t="shared" si="220"/>
        <v>0</v>
      </c>
      <c r="FC73" s="59">
        <f t="shared" si="220"/>
        <v>0</v>
      </c>
      <c r="FD73" s="59">
        <f t="shared" si="220"/>
        <v>4.2279493889392201</v>
      </c>
      <c r="FE73" s="59">
        <f t="shared" ref="FE73:FQ73" si="221">FE72/FE74</f>
        <v>5.5966766860120316</v>
      </c>
      <c r="FF73" s="59">
        <f t="shared" si="221"/>
        <v>6.1080298244437161</v>
      </c>
      <c r="FG73" s="59">
        <f t="shared" si="221"/>
        <v>6.9874077809652082</v>
      </c>
      <c r="FH73" s="59">
        <f t="shared" si="221"/>
        <v>8.5424186610816637</v>
      </c>
      <c r="FI73" s="59">
        <f t="shared" si="221"/>
        <v>8.8282169485004154</v>
      </c>
      <c r="FJ73" s="59">
        <f>FJ72/FJ74</f>
        <v>9.4377697769040623</v>
      </c>
      <c r="FK73" s="59">
        <f>FK72/FK74</f>
        <v>13.343937092353814</v>
      </c>
      <c r="FL73" s="59">
        <f t="shared" si="221"/>
        <v>22.095151813779378</v>
      </c>
      <c r="FM73" s="59">
        <f t="shared" si="221"/>
        <v>28.284800702079806</v>
      </c>
      <c r="FN73" s="59">
        <f t="shared" si="221"/>
        <v>36.359736998942488</v>
      </c>
      <c r="FO73" s="59">
        <f t="shared" si="221"/>
        <v>43.055363854834845</v>
      </c>
      <c r="FP73" s="59">
        <f t="shared" si="221"/>
        <v>48.423506092583935</v>
      </c>
      <c r="FQ73" s="59">
        <f t="shared" si="221"/>
        <v>53.218553299412825</v>
      </c>
    </row>
    <row r="74" spans="1:251" x14ac:dyDescent="0.2">
      <c r="A74" s="102"/>
      <c r="B74" t="s">
        <v>84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1089.2</v>
      </c>
      <c r="AQ74" s="51">
        <v>1089</v>
      </c>
      <c r="AR74" s="51">
        <v>1090</v>
      </c>
      <c r="AS74" s="51">
        <v>1091</v>
      </c>
      <c r="AT74" s="51">
        <v>1093.5</v>
      </c>
      <c r="AU74" s="51">
        <v>1087</v>
      </c>
      <c r="AV74" s="51">
        <v>1085.3</v>
      </c>
      <c r="AW74" s="51">
        <v>1086.412</v>
      </c>
      <c r="AX74" s="51">
        <v>1089.097</v>
      </c>
      <c r="AY74" s="51">
        <v>1089.8789999999999</v>
      </c>
      <c r="AZ74" s="51">
        <f>AY74</f>
        <v>1089.8789999999999</v>
      </c>
      <c r="BA74" s="51">
        <v>1090.2280000000001</v>
      </c>
      <c r="BB74" s="51">
        <v>1092.636</v>
      </c>
      <c r="BC74" s="51">
        <v>1094.056</v>
      </c>
      <c r="BD74" s="51">
        <v>1093.8320000000001</v>
      </c>
      <c r="BE74" s="51">
        <v>1093.9770000000001</v>
      </c>
      <c r="BF74" s="51">
        <v>1096.491</v>
      </c>
      <c r="BG74" s="51">
        <v>1097.2560000000001</v>
      </c>
      <c r="BH74" s="51">
        <v>1097.213</v>
      </c>
      <c r="BI74" s="51">
        <v>1097.673</v>
      </c>
      <c r="BJ74" s="51">
        <v>1101.4469999999999</v>
      </c>
      <c r="BK74" s="51">
        <v>1103.4059999999999</v>
      </c>
      <c r="BL74" s="51">
        <v>1103.807</v>
      </c>
      <c r="BM74" s="51">
        <v>1105.1980000000001</v>
      </c>
      <c r="BN74" s="51">
        <v>1109.3610000000001</v>
      </c>
      <c r="BO74" s="51">
        <v>1112</v>
      </c>
      <c r="BP74" s="51">
        <v>1157</v>
      </c>
      <c r="BQ74" s="51">
        <v>1113.8409999999999</v>
      </c>
      <c r="BR74" s="51">
        <v>1115</v>
      </c>
      <c r="BS74" s="51">
        <v>1116.9829999999999</v>
      </c>
      <c r="BT74" s="51">
        <v>1118</v>
      </c>
      <c r="BU74" s="51">
        <v>1119.6410000000001</v>
      </c>
      <c r="BV74" s="51">
        <v>1113.8800000000001</v>
      </c>
      <c r="BW74" s="51">
        <v>1091.876</v>
      </c>
      <c r="BX74" s="51">
        <v>1084.037</v>
      </c>
      <c r="BY74" s="51">
        <v>1084.2570000000001</v>
      </c>
      <c r="BZ74" s="51">
        <v>1078.9760000000001</v>
      </c>
      <c r="CA74" s="51">
        <v>1075.836</v>
      </c>
      <c r="CB74" s="51">
        <v>1076.4179999999999</v>
      </c>
      <c r="CC74" s="51">
        <v>1074.386</v>
      </c>
      <c r="CD74" s="51">
        <v>1069.787</v>
      </c>
      <c r="CE74" s="51">
        <v>1067.0360000000001</v>
      </c>
      <c r="CF74" s="51">
        <v>1065.5840000000001</v>
      </c>
      <c r="CG74" s="51">
        <v>1065.1590000000001</v>
      </c>
      <c r="CH74" s="51">
        <v>1064.893</v>
      </c>
      <c r="CI74" s="51">
        <v>1063.075</v>
      </c>
      <c r="CJ74" s="51">
        <v>1060.0830000000001</v>
      </c>
      <c r="CK74" s="51">
        <v>1060.7860000000001</v>
      </c>
      <c r="CL74" s="51">
        <v>1061.498</v>
      </c>
      <c r="CM74" s="51">
        <v>1056.306</v>
      </c>
      <c r="CN74" s="51">
        <v>1057.1099999999999</v>
      </c>
      <c r="CO74" s="51">
        <v>1056.0250000000001</v>
      </c>
      <c r="CP74" s="51">
        <v>1051.0909999999999</v>
      </c>
      <c r="CQ74" s="51">
        <v>1049.8389999999999</v>
      </c>
      <c r="CR74" s="51">
        <v>1030.21</v>
      </c>
      <c r="CS74" s="51">
        <v>1026.298</v>
      </c>
      <c r="CT74" s="51">
        <v>1018.285</v>
      </c>
      <c r="CU74" s="51">
        <v>984.00099999999998</v>
      </c>
      <c r="CV74" s="51">
        <v>924.63</v>
      </c>
      <c r="CW74" s="51">
        <v>918.45399999999995</v>
      </c>
      <c r="CX74" s="51">
        <v>914.678</v>
      </c>
      <c r="CY74" s="51">
        <v>911.71299999999997</v>
      </c>
      <c r="CZ74" s="51">
        <v>910.89</v>
      </c>
      <c r="DA74" s="51">
        <v>911.423</v>
      </c>
      <c r="DB74" s="51">
        <v>912.59100000000001</v>
      </c>
      <c r="DC74" s="51">
        <v>912.4</v>
      </c>
      <c r="DD74" s="51">
        <v>910.38400000000001</v>
      </c>
      <c r="DE74" s="51">
        <v>910.75099999999998</v>
      </c>
      <c r="DF74" s="51">
        <v>909.55499999999995</v>
      </c>
      <c r="DG74" s="51">
        <v>906.4</v>
      </c>
      <c r="DH74" s="51">
        <v>902.94</v>
      </c>
      <c r="DI74" s="51">
        <v>903.78200000000004</v>
      </c>
      <c r="DJ74" s="51">
        <v>904.73199999999997</v>
      </c>
      <c r="DK74" s="51">
        <v>903.28300000000002</v>
      </c>
      <c r="DL74" s="51">
        <v>902.69899999999996</v>
      </c>
      <c r="DM74" s="51">
        <f t="shared" ref="DM74" si="222">+DL74</f>
        <v>902.69899999999996</v>
      </c>
      <c r="DN74" s="51">
        <v>903.98</v>
      </c>
      <c r="DO74" s="51">
        <v>903.80200000000002</v>
      </c>
      <c r="DP74" s="51">
        <v>904.24800000000005</v>
      </c>
      <c r="DQ74" s="51">
        <f t="shared" ref="DQ74:DR74" si="223">+DP74</f>
        <v>904.24800000000005</v>
      </c>
      <c r="DR74" s="51">
        <f t="shared" si="223"/>
        <v>904.24800000000005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>
        <v>552.47151499999995</v>
      </c>
      <c r="EI74" s="49">
        <v>1117.1099999999999</v>
      </c>
      <c r="EJ74" s="49">
        <v>1130.579</v>
      </c>
      <c r="EK74" s="49">
        <v>1121.4860000000001</v>
      </c>
      <c r="EL74" s="49">
        <v>1106.0550000000001</v>
      </c>
      <c r="EM74" s="49">
        <v>1097.7249999999999</v>
      </c>
      <c r="EN74" s="51">
        <v>1091</v>
      </c>
      <c r="EO74" s="51">
        <v>1085</v>
      </c>
      <c r="EP74" s="51">
        <v>1081</v>
      </c>
      <c r="EQ74" s="51">
        <v>1089</v>
      </c>
      <c r="ER74" s="51">
        <v>1090</v>
      </c>
      <c r="ES74" s="51">
        <v>1086</v>
      </c>
      <c r="ET74" s="51">
        <f>AVERAGE(AY74:BB74)</f>
        <v>1090.6554999999998</v>
      </c>
      <c r="EU74" s="51">
        <f>AVERAGE(BC74:BF74)</f>
        <v>1094.5889999999999</v>
      </c>
      <c r="EV74" s="51">
        <f>AVERAGE(BG74:BJ74)</f>
        <v>1098.39725</v>
      </c>
      <c r="EW74" s="51">
        <f>AVERAGE(BK74:BN74)</f>
        <v>1105.443</v>
      </c>
      <c r="EX74" s="51">
        <f>AVERAGE(BO74:BR74)</f>
        <v>1124.4602500000001</v>
      </c>
      <c r="EY74" s="51">
        <f>AVERAGE(BS74:BV74)</f>
        <v>1117.1260000000002</v>
      </c>
      <c r="EZ74" s="51">
        <f t="shared" ref="EZ74:FC74" si="224">EY74</f>
        <v>1117.1260000000002</v>
      </c>
      <c r="FA74" s="51">
        <f t="shared" si="224"/>
        <v>1117.1260000000002</v>
      </c>
      <c r="FB74" s="51">
        <f t="shared" si="224"/>
        <v>1117.1260000000002</v>
      </c>
      <c r="FC74" s="51">
        <f t="shared" si="224"/>
        <v>1117.1260000000002</v>
      </c>
      <c r="FD74" s="51">
        <v>1052.0229999999999</v>
      </c>
      <c r="FE74" s="51">
        <v>1033.6669999999999</v>
      </c>
      <c r="FF74" s="51">
        <f>AVERAGE(CU74:CX74)</f>
        <v>935.44074999999998</v>
      </c>
      <c r="FG74" s="51">
        <f>AVERAGE(CY74:DB74)</f>
        <v>911.65424999999993</v>
      </c>
      <c r="FH74" s="51">
        <f>AVERAGE(DC74:DF74)</f>
        <v>910.77249999999992</v>
      </c>
      <c r="FI74" s="49">
        <f>AVERAGE(DG74:DJ74)</f>
        <v>904.46350000000007</v>
      </c>
      <c r="FJ74" s="49">
        <f>AVERAGE(DK74:DN74)</f>
        <v>903.16525000000001</v>
      </c>
      <c r="FK74" s="49">
        <f>+FJ74</f>
        <v>903.16525000000001</v>
      </c>
      <c r="FL74" s="49">
        <f t="shared" ref="FL74:FQ74" si="225">+FK74</f>
        <v>903.16525000000001</v>
      </c>
      <c r="FM74" s="49">
        <f t="shared" si="225"/>
        <v>903.16525000000001</v>
      </c>
      <c r="FN74" s="49">
        <f t="shared" si="225"/>
        <v>903.16525000000001</v>
      </c>
      <c r="FO74" s="49">
        <f t="shared" si="225"/>
        <v>903.16525000000001</v>
      </c>
      <c r="FP74" s="49">
        <f t="shared" si="225"/>
        <v>903.16525000000001</v>
      </c>
      <c r="FQ74" s="49">
        <f t="shared" si="225"/>
        <v>903.16525000000001</v>
      </c>
    </row>
    <row r="75" spans="1:251" x14ac:dyDescent="0.2">
      <c r="A75" s="102"/>
      <c r="AW75" s="51"/>
    </row>
    <row r="76" spans="1:251" s="55" customFormat="1" x14ac:dyDescent="0.2">
      <c r="A76" s="107"/>
      <c r="B76" s="55" t="s">
        <v>380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1">
        <f t="shared" ref="BD76:BV76" si="226">BD62/AZ62-1</f>
        <v>0.59843101721588976</v>
      </c>
      <c r="BE76" s="61">
        <f t="shared" si="226"/>
        <v>0.15215364534775344</v>
      </c>
      <c r="BF76" s="61">
        <f t="shared" si="226"/>
        <v>-0.21831165519000262</v>
      </c>
      <c r="BG76" s="61">
        <f t="shared" si="226"/>
        <v>-0.21628376429876006</v>
      </c>
      <c r="BH76" s="61">
        <f t="shared" si="226"/>
        <v>-0.23718952785858127</v>
      </c>
      <c r="BI76" s="61">
        <f t="shared" si="226"/>
        <v>-0.18168576851211593</v>
      </c>
      <c r="BJ76" s="61">
        <f t="shared" si="226"/>
        <v>0.13885423663755869</v>
      </c>
      <c r="BK76" s="61">
        <f t="shared" si="226"/>
        <v>0.12136636820802149</v>
      </c>
      <c r="BL76" s="61">
        <f t="shared" si="226"/>
        <v>0.12422020142759349</v>
      </c>
      <c r="BM76" s="61">
        <f t="shared" si="226"/>
        <v>1.6684645810859378E-2</v>
      </c>
      <c r="BN76" s="61">
        <f t="shared" si="226"/>
        <v>4.2669362992922233E-2</v>
      </c>
      <c r="BO76" s="61">
        <f t="shared" si="226"/>
        <v>6.4479081214109835E-2</v>
      </c>
      <c r="BP76" s="61">
        <f t="shared" si="226"/>
        <v>8.768939064484127E-2</v>
      </c>
      <c r="BQ76" s="61">
        <f t="shared" si="226"/>
        <v>8.7235622833698789E-2</v>
      </c>
      <c r="BR76" s="61">
        <f t="shared" si="226"/>
        <v>-2.2611197310576814E-2</v>
      </c>
      <c r="BS76" s="61">
        <f t="shared" si="226"/>
        <v>-4.0553500479517668E-2</v>
      </c>
      <c r="BT76" s="61">
        <f t="shared" si="226"/>
        <v>-0.10432126407369491</v>
      </c>
      <c r="BU76" s="61">
        <f t="shared" si="226"/>
        <v>-0.11476716383923491</v>
      </c>
      <c r="BV76" s="61">
        <f t="shared" si="226"/>
        <v>-1.4882674912770955E-2</v>
      </c>
      <c r="BW76" s="61">
        <f t="shared" ref="BW76:BZ76" si="227">BW62/BS62-1</f>
        <v>-7.1397972297715384E-5</v>
      </c>
      <c r="BX76" s="61">
        <f t="shared" si="227"/>
        <v>5.8780466029819012E-2</v>
      </c>
      <c r="BY76" s="61">
        <f t="shared" si="227"/>
        <v>6.0652273771244936E-2</v>
      </c>
      <c r="BZ76" s="61">
        <f t="shared" si="227"/>
        <v>-2.492739999664273E-2</v>
      </c>
      <c r="CA76" s="61">
        <f t="shared" ref="CA76" si="228">CA62/BW62-1</f>
        <v>-0.16403070332024272</v>
      </c>
      <c r="CB76" s="61">
        <f t="shared" ref="CB76" si="229">CB62/BX62-1</f>
        <v>-0.16764760443192728</v>
      </c>
      <c r="CC76" s="61">
        <f t="shared" ref="CC76" si="230">CC62/BY62-1</f>
        <v>-0.155389252676437</v>
      </c>
      <c r="CD76" s="61">
        <f t="shared" ref="CD76" si="231">CD62/BZ62-1</f>
        <v>-0.11835490979203966</v>
      </c>
      <c r="CE76" s="61">
        <f t="shared" ref="CE76:CH76" si="232">CE62/CA62-1</f>
        <v>-8.1996967820462396E-3</v>
      </c>
      <c r="CF76" s="61">
        <f t="shared" si="232"/>
        <v>8.73247426857926E-3</v>
      </c>
      <c r="CG76" s="61">
        <f t="shared" si="232"/>
        <v>1.7249159077856957E-2</v>
      </c>
      <c r="CH76" s="61">
        <f t="shared" si="232"/>
        <v>4.9655360943510418E-2</v>
      </c>
      <c r="CI76" s="61">
        <f t="shared" ref="CI76" si="233">CI62/CE62-1</f>
        <v>4.7451934462936274E-2</v>
      </c>
      <c r="CJ76" s="61">
        <f t="shared" ref="CJ76" si="234">CJ62/CF62-1</f>
        <v>8.5584590354911949E-2</v>
      </c>
      <c r="CK76" s="61">
        <f t="shared" ref="CK76" si="235">CK62/CG62-1</f>
        <v>4.6777022803798696E-2</v>
      </c>
      <c r="CL76" s="61">
        <f t="shared" ref="CL76" si="236">CL62/CH62-1</f>
        <v>7.1601309621251552E-2</v>
      </c>
      <c r="CM76" s="61">
        <f t="shared" ref="CM76" si="237">CM62/CI62-1</f>
        <v>7.4654169492918809E-2</v>
      </c>
      <c r="CN76" s="61">
        <f t="shared" ref="CN76:CU76" si="238">CN62/CJ62-1</f>
        <v>7.761619301361744E-2</v>
      </c>
      <c r="CO76" s="61">
        <f t="shared" si="238"/>
        <v>8.9816437775680491E-2</v>
      </c>
      <c r="CP76" s="61">
        <f t="shared" si="238"/>
        <v>6.9473136012498937E-2</v>
      </c>
      <c r="CQ76" s="61">
        <f t="shared" si="238"/>
        <v>-5.0590057953828205E-2</v>
      </c>
      <c r="CR76" s="61">
        <f t="shared" si="238"/>
        <v>9.115258485998301E-2</v>
      </c>
      <c r="CS76" s="61">
        <f t="shared" si="238"/>
        <v>7.1385648639094912E-2</v>
      </c>
      <c r="CT76" s="61">
        <f t="shared" si="238"/>
        <v>4.5108510396545842E-2</v>
      </c>
      <c r="CU76" s="61">
        <f t="shared" si="238"/>
        <v>2.5847133244691012E-2</v>
      </c>
      <c r="CV76" s="61">
        <f>CV62/CR62-1</f>
        <v>-0.11304128902316191</v>
      </c>
      <c r="CW76" s="61">
        <f>CW62/CS62-1</f>
        <v>-9.6553885745393253E-2</v>
      </c>
      <c r="CX76" s="61">
        <f>CX62/CT62-1</f>
        <v>-5.0445749075886281E-2</v>
      </c>
      <c r="CY76" s="61">
        <f>CY62/CU62-1</f>
        <v>0.15076294652500932</v>
      </c>
      <c r="CZ76" s="61">
        <f t="shared" ref="CZ76:DG76" si="239">CZ62/CV62-1</f>
        <v>-2.4375532216861062E-2</v>
      </c>
      <c r="DA76" s="61">
        <f t="shared" si="239"/>
        <v>4.8205090749734891E-2</v>
      </c>
      <c r="DB76" s="61">
        <f t="shared" si="239"/>
        <v>0.21693545748961363</v>
      </c>
      <c r="DC76" s="61">
        <f t="shared" si="239"/>
        <v>0.16140482610328055</v>
      </c>
      <c r="DD76" s="61">
        <f t="shared" si="239"/>
        <v>0.22558824599047145</v>
      </c>
      <c r="DE76" s="61">
        <f t="shared" si="239"/>
        <v>0.17984182838030871</v>
      </c>
      <c r="DF76" s="61">
        <f t="shared" si="239"/>
        <v>7.5240924181126712E-2</v>
      </c>
      <c r="DG76" s="61">
        <f t="shared" si="239"/>
        <v>0.14759903608792735</v>
      </c>
      <c r="DH76" s="61">
        <f t="shared" ref="DH76" si="240">DH62/DD62-1</f>
        <v>-3.7403560830859939E-2</v>
      </c>
      <c r="DI76" s="61">
        <f t="shared" ref="DI76" si="241">DI62/DE62-1</f>
        <v>2.4878192824450363E-2</v>
      </c>
      <c r="DJ76" s="61">
        <f t="shared" ref="DJ76" si="242">DJ62/DF62-1</f>
        <v>-8.7251090638632789E-2</v>
      </c>
      <c r="DK76" s="61">
        <f t="shared" ref="DK76" si="243">DK62/DG62-1</f>
        <v>-0.10882062969744299</v>
      </c>
      <c r="DL76" s="61">
        <f t="shared" ref="DL76" si="244">DL62/DH62-1</f>
        <v>0.19194192265602084</v>
      </c>
      <c r="DM76" s="61">
        <f t="shared" ref="DM76" si="245">DM62/DI62-1</f>
        <v>0.16382626233522979</v>
      </c>
      <c r="DN76" s="61">
        <f t="shared" ref="DN76" si="246">DN62/DJ62-1</f>
        <v>0.28089949191306407</v>
      </c>
      <c r="DO76" s="61">
        <f>DO62/DK62-1</f>
        <v>0.25971954828884236</v>
      </c>
      <c r="DP76" s="61">
        <f>DP62/DL62-1</f>
        <v>0.46159416541664533</v>
      </c>
      <c r="DQ76" s="61">
        <f t="shared" ref="DQ76" si="247">DQ62/DM62-1</f>
        <v>0.19108272370554702</v>
      </c>
      <c r="DR76" s="61">
        <f t="shared" ref="DR76" si="248">DR62/DN62-1</f>
        <v>7.745108521330013E-2</v>
      </c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2">
        <f t="shared" ref="EG76:EL76" si="249">EG62/EF62-1</f>
        <v>9.8701548523612681E-2</v>
      </c>
      <c r="EH76" s="62">
        <f t="shared" si="249"/>
        <v>0.13957560053225015</v>
      </c>
      <c r="EI76" s="62">
        <f t="shared" si="249"/>
        <v>7.5205875122910548E-2</v>
      </c>
      <c r="EJ76" s="62">
        <f t="shared" si="249"/>
        <v>0.14137719160367501</v>
      </c>
      <c r="EK76" s="62">
        <f t="shared" si="249"/>
        <v>0.15637793106901854</v>
      </c>
      <c r="EL76" s="62">
        <f t="shared" si="249"/>
        <v>8.2939979213580539E-2</v>
      </c>
      <c r="EM76" s="62">
        <f t="shared" ref="EM76" si="250">EM62/EL62-1</f>
        <v>8.5905087524617896E-2</v>
      </c>
      <c r="EN76" s="62">
        <f t="shared" ref="EN76" si="251">EN62/EM62-1</f>
        <v>7.0593434110953535E-2</v>
      </c>
      <c r="EO76" s="62">
        <f t="shared" ref="EO76" si="252">EO62/EN62-1</f>
        <v>-4.0656978244045017E-2</v>
      </c>
      <c r="EP76" s="62">
        <f t="shared" ref="EP76" si="253">EP62/EO62-1</f>
        <v>0.12807228267689719</v>
      </c>
      <c r="EQ76" s="62">
        <f t="shared" ref="EQ76" si="254">EQ62/EP62-1</f>
        <v>0.10123162495033777</v>
      </c>
      <c r="ER76" s="62">
        <f t="shared" ref="ER76:FD76" si="255">ER62/EQ62-1</f>
        <v>5.7074825023450515E-2</v>
      </c>
      <c r="ES76" s="62">
        <f t="shared" si="255"/>
        <v>7.7372013651876959E-2</v>
      </c>
      <c r="ET76" s="62">
        <f t="shared" si="255"/>
        <v>0.17624101118256408</v>
      </c>
      <c r="EU76" s="62">
        <f t="shared" si="255"/>
        <v>5.6004917803201604E-2</v>
      </c>
      <c r="EV76" s="62">
        <f t="shared" si="255"/>
        <v>6.985394754409513E-2</v>
      </c>
      <c r="EW76" s="62">
        <f t="shared" si="255"/>
        <v>4.383313819191037E-2</v>
      </c>
      <c r="EX76" s="62">
        <f t="shared" si="255"/>
        <v>9.0596424558550881E-2</v>
      </c>
      <c r="EY76" s="62">
        <f t="shared" si="255"/>
        <v>-7.8559971186021871E-2</v>
      </c>
      <c r="EZ76" s="62">
        <f t="shared" si="255"/>
        <v>5.0523827920823772E-2</v>
      </c>
      <c r="FA76" s="62">
        <f t="shared" si="255"/>
        <v>-0.15131678571892138</v>
      </c>
      <c r="FB76" s="62">
        <f t="shared" si="255"/>
        <v>2.1136130752407389E-2</v>
      </c>
      <c r="FC76" s="62">
        <f t="shared" si="255"/>
        <v>7.9534505224584828E-2</v>
      </c>
      <c r="FD76" s="62">
        <f t="shared" si="255"/>
        <v>-7.6269226856090944E-2</v>
      </c>
      <c r="FE76" s="62">
        <f t="shared" ref="FE76:FL76" si="256">FE62/FD62-1</f>
        <v>7.6043095593315124E-2</v>
      </c>
      <c r="FF76" s="62">
        <f t="shared" si="256"/>
        <v>3.8440243613066638E-2</v>
      </c>
      <c r="FG76" s="62">
        <f t="shared" si="256"/>
        <v>9.9492367592173503E-2</v>
      </c>
      <c r="FH76" s="62">
        <f t="shared" si="256"/>
        <v>0.15397780757052804</v>
      </c>
      <c r="FI76" s="62">
        <f t="shared" si="256"/>
        <v>7.871179617564783E-3</v>
      </c>
      <c r="FJ76" s="62">
        <f t="shared" si="256"/>
        <v>0.1255614650998198</v>
      </c>
      <c r="FK76" s="62">
        <f t="shared" si="256"/>
        <v>0.23798836423855496</v>
      </c>
      <c r="FL76" s="62">
        <f t="shared" si="256"/>
        <v>0.18494771250047104</v>
      </c>
      <c r="FM76" s="62">
        <f t="shared" ref="FM76:FQ76" si="257">FM62/FL62-1</f>
        <v>0.21970096674735351</v>
      </c>
      <c r="FN76" s="62">
        <f t="shared" si="257"/>
        <v>0.23609165499084939</v>
      </c>
      <c r="FO76" s="62">
        <f t="shared" si="257"/>
        <v>0.13710610450816141</v>
      </c>
      <c r="FP76" s="62">
        <f t="shared" si="257"/>
        <v>7.6520125539601969E-2</v>
      </c>
      <c r="FQ76" s="62">
        <f t="shared" si="257"/>
        <v>-5.4929040324517286E-2</v>
      </c>
    </row>
    <row r="77" spans="1:251" s="55" customFormat="1" x14ac:dyDescent="0.2">
      <c r="A77" s="107"/>
      <c r="B77" s="55" t="s">
        <v>762</v>
      </c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>
        <v>0.1</v>
      </c>
      <c r="EN77" s="60"/>
      <c r="EO77" s="60"/>
      <c r="EP77" s="60"/>
      <c r="EQ77" s="60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</row>
    <row r="78" spans="1:251" s="38" customFormat="1" x14ac:dyDescent="0.2">
      <c r="A78" s="106"/>
      <c r="B78" s="38" t="s">
        <v>378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>
        <f t="shared" ref="CH78:DR78" si="258">+CH5/CD5-1</f>
        <v>10.029411764705882</v>
      </c>
      <c r="CI78" s="66">
        <f t="shared" si="258"/>
        <v>6.8469945355191246</v>
      </c>
      <c r="CJ78" s="66">
        <f t="shared" si="258"/>
        <v>3.544018058690745</v>
      </c>
      <c r="CK78" s="66">
        <f t="shared" si="258"/>
        <v>2.3052917232021706</v>
      </c>
      <c r="CL78" s="66">
        <f t="shared" si="258"/>
        <v>1.9955555555555557</v>
      </c>
      <c r="CM78" s="66">
        <f t="shared" si="258"/>
        <v>1.5967966573816157</v>
      </c>
      <c r="CN78" s="66">
        <f t="shared" si="258"/>
        <v>1.3854942871336311</v>
      </c>
      <c r="CO78" s="66">
        <f t="shared" si="258"/>
        <v>1.1662561576354684</v>
      </c>
      <c r="CP78" s="66">
        <f t="shared" si="258"/>
        <v>0.9258160237388724</v>
      </c>
      <c r="CQ78" s="66">
        <f t="shared" si="258"/>
        <v>0.81898632341110211</v>
      </c>
      <c r="CR78" s="66">
        <f t="shared" si="258"/>
        <v>0.62390670553935856</v>
      </c>
      <c r="CS78" s="66">
        <f t="shared" si="258"/>
        <v>0.54671214705324989</v>
      </c>
      <c r="CT78" s="66">
        <f t="shared" si="258"/>
        <v>0.42480739599383677</v>
      </c>
      <c r="CU78" s="66">
        <f t="shared" si="258"/>
        <v>0.29691876750700286</v>
      </c>
      <c r="CV78" s="66">
        <f t="shared" si="258"/>
        <v>0.31892793023852284</v>
      </c>
      <c r="CW78" s="66">
        <f t="shared" si="258"/>
        <v>0.23927958833619201</v>
      </c>
      <c r="CX78" s="66">
        <f t="shared" si="258"/>
        <v>0.3064777765761868</v>
      </c>
      <c r="CY78" s="66">
        <f t="shared" si="258"/>
        <v>0.39752188245992959</v>
      </c>
      <c r="CZ78" s="66">
        <f t="shared" si="258"/>
        <v>0.19572192513368969</v>
      </c>
      <c r="DA78" s="66">
        <f t="shared" si="258"/>
        <v>9.4018783984181731E-2</v>
      </c>
      <c r="DB78" s="66">
        <f t="shared" si="258"/>
        <v>0.24360566178296517</v>
      </c>
      <c r="DC78" s="66">
        <f t="shared" si="258"/>
        <v>0.18138929559134542</v>
      </c>
      <c r="DD78" s="66">
        <f t="shared" si="258"/>
        <v>0.24865831842576025</v>
      </c>
      <c r="DE78" s="66">
        <f t="shared" si="258"/>
        <v>0.44596060003614668</v>
      </c>
      <c r="DF78" s="66">
        <f t="shared" si="258"/>
        <v>0.25379392971246006</v>
      </c>
      <c r="DG78" s="66">
        <f t="shared" si="258"/>
        <v>0.19891214541448621</v>
      </c>
      <c r="DH78" s="66">
        <f t="shared" si="258"/>
        <v>0.24505079447772871</v>
      </c>
      <c r="DI78" s="66">
        <f t="shared" si="258"/>
        <v>0.15642772326729593</v>
      </c>
      <c r="DJ78" s="66">
        <f t="shared" si="258"/>
        <v>2.7870680044593144E-2</v>
      </c>
      <c r="DK78" s="66">
        <f t="shared" si="258"/>
        <v>0.13541606845460286</v>
      </c>
      <c r="DL78" s="66">
        <f t="shared" si="258"/>
        <v>-5.1990166849730679E-2</v>
      </c>
      <c r="DM78" s="66">
        <f t="shared" si="258"/>
        <v>-9.5546908776480866E-2</v>
      </c>
      <c r="DN78" s="66">
        <f t="shared" si="258"/>
        <v>-0.13784732982129955</v>
      </c>
      <c r="DO78" s="66">
        <f t="shared" si="258"/>
        <v>-0.26341611451115265</v>
      </c>
      <c r="DP78" s="66">
        <f t="shared" si="258"/>
        <v>-0.3127724137931035</v>
      </c>
      <c r="DQ78" s="66">
        <f t="shared" si="258"/>
        <v>-0.31548757170172081</v>
      </c>
      <c r="DR78" s="66">
        <f t="shared" si="258"/>
        <v>-0.37362966512909601</v>
      </c>
      <c r="DS78" s="66"/>
      <c r="DT78" s="66"/>
      <c r="DU78" s="66"/>
      <c r="DV78" s="66"/>
      <c r="DW78" s="66"/>
      <c r="DX78" s="66"/>
      <c r="DY78" s="66"/>
      <c r="DZ78" s="66"/>
      <c r="EA78" s="66"/>
      <c r="EB78" s="66"/>
      <c r="EC78" s="66"/>
      <c r="ED78" s="66"/>
      <c r="EE78" s="66"/>
      <c r="EF78" s="66"/>
      <c r="EG78" s="66"/>
      <c r="EH78" s="66"/>
      <c r="EI78" s="66"/>
      <c r="EJ78" s="66"/>
      <c r="EK78" s="66"/>
      <c r="EL78" s="66"/>
      <c r="EM78" s="66"/>
      <c r="EN78" s="48"/>
      <c r="EO78" s="48"/>
      <c r="EP78" s="48"/>
      <c r="EQ78" s="48"/>
      <c r="ER78" s="67"/>
      <c r="ES78" s="67"/>
      <c r="ET78" s="67"/>
      <c r="EU78" s="67"/>
      <c r="EV78" s="67"/>
      <c r="EW78" s="67"/>
      <c r="EX78" s="96"/>
      <c r="EY78" s="96"/>
      <c r="EZ78" s="96"/>
      <c r="FA78" s="96"/>
      <c r="FB78" s="96">
        <f t="shared" ref="FB78:FJ78" si="259">+FB5/FA5-1</f>
        <v>23.3921568627451</v>
      </c>
      <c r="FC78" s="96">
        <f t="shared" si="259"/>
        <v>2.719855305466238</v>
      </c>
      <c r="FD78" s="96">
        <f t="shared" si="259"/>
        <v>1.1931928687196112</v>
      </c>
      <c r="FE78" s="96">
        <f t="shared" si="259"/>
        <v>0.57606660754754158</v>
      </c>
      <c r="FF78" s="96">
        <f t="shared" si="259"/>
        <v>0.29030039698665222</v>
      </c>
      <c r="FG78" s="96">
        <f t="shared" si="259"/>
        <v>0.22782111536411676</v>
      </c>
      <c r="FH78" s="96">
        <f t="shared" si="259"/>
        <v>0.2769425042421374</v>
      </c>
      <c r="FI78" s="96">
        <f t="shared" si="259"/>
        <v>0.14957198924565041</v>
      </c>
      <c r="FJ78" s="96">
        <f t="shared" si="259"/>
        <v>-4.1304873786929819E-2</v>
      </c>
    </row>
    <row r="79" spans="1:251" s="38" customFormat="1" x14ac:dyDescent="0.2">
      <c r="A79" s="106"/>
      <c r="B79" s="38" t="s">
        <v>711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>
        <f>DO6/DK6-1</f>
        <v>2.177660510114336</v>
      </c>
      <c r="DP79" s="66">
        <f>DP6/DL6-1</f>
        <v>2.1548433193834846</v>
      </c>
      <c r="DQ79" s="66">
        <f>DQ6/DM6-1</f>
        <v>1.4060171716454981</v>
      </c>
      <c r="DR79" s="66">
        <f>DR6/DN6-1</f>
        <v>0.67337685890460652</v>
      </c>
      <c r="DS79" s="66"/>
      <c r="DT79" s="66"/>
      <c r="DU79" s="66"/>
      <c r="DV79" s="66"/>
      <c r="DW79" s="66"/>
      <c r="DX79" s="66"/>
      <c r="DY79" s="66"/>
      <c r="DZ79" s="66"/>
      <c r="EA79" s="66"/>
      <c r="EB79" s="66"/>
      <c r="EC79" s="66"/>
      <c r="ED79" s="66"/>
      <c r="EE79" s="66"/>
      <c r="EF79" s="66"/>
      <c r="EG79" s="66"/>
      <c r="EH79" s="66"/>
      <c r="EI79" s="66"/>
      <c r="EJ79" s="66"/>
      <c r="EK79" s="66"/>
      <c r="EL79" s="66"/>
      <c r="EM79" s="66"/>
      <c r="EN79" s="48"/>
      <c r="EO79" s="48"/>
      <c r="EP79" s="48"/>
      <c r="EQ79" s="48"/>
      <c r="ER79" s="67"/>
      <c r="ES79" s="67"/>
      <c r="ET79" s="67"/>
      <c r="EU79" s="67"/>
      <c r="EV79" s="67"/>
      <c r="EW79" s="67"/>
      <c r="EX79" s="67"/>
      <c r="EY79" s="67"/>
      <c r="EZ79" s="67"/>
      <c r="FA79" s="67"/>
      <c r="FB79" s="67"/>
      <c r="FC79" s="67"/>
      <c r="FD79" s="67"/>
      <c r="FE79" s="67"/>
      <c r="FF79" s="67"/>
      <c r="FG79" s="67"/>
      <c r="FH79" s="67"/>
    </row>
    <row r="80" spans="1:251" s="38" customFormat="1" x14ac:dyDescent="0.2">
      <c r="A80" s="106"/>
      <c r="B80" s="38" t="s">
        <v>490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>
        <f t="shared" ref="CN80:DR80" si="260">+CN9/CJ9-1</f>
        <v>6.1865284974093253</v>
      </c>
      <c r="CO80" s="66">
        <f t="shared" si="260"/>
        <v>3.6553846153846159</v>
      </c>
      <c r="CP80" s="66">
        <f t="shared" si="260"/>
        <v>1.8140293637846656</v>
      </c>
      <c r="CQ80" s="66">
        <f t="shared" si="260"/>
        <v>0.51656314699792971</v>
      </c>
      <c r="CR80" s="66">
        <f t="shared" si="260"/>
        <v>0.58687815428983425</v>
      </c>
      <c r="CS80" s="66">
        <f t="shared" si="260"/>
        <v>0.74421678783873069</v>
      </c>
      <c r="CT80" s="66">
        <f t="shared" si="260"/>
        <v>0.77971014492753632</v>
      </c>
      <c r="CU80" s="66">
        <f t="shared" si="260"/>
        <v>0.72354948805460761</v>
      </c>
      <c r="CV80" s="66">
        <f t="shared" si="260"/>
        <v>0.607451158564289</v>
      </c>
      <c r="CW80" s="66">
        <f t="shared" si="260"/>
        <v>0.28836680560818495</v>
      </c>
      <c r="CX80" s="66">
        <f t="shared" si="260"/>
        <v>0.36840390879478835</v>
      </c>
      <c r="CY80" s="66">
        <f t="shared" si="260"/>
        <v>0.75643564356435644</v>
      </c>
      <c r="CZ80" s="66">
        <f t="shared" si="260"/>
        <v>0.11701526286037311</v>
      </c>
      <c r="DA80" s="66">
        <f t="shared" si="260"/>
        <v>0.33676470588235285</v>
      </c>
      <c r="DB80" s="66">
        <f t="shared" si="260"/>
        <v>0.17900499880980725</v>
      </c>
      <c r="DC80" s="66">
        <f t="shared" si="260"/>
        <v>-9.0868094701240132E-2</v>
      </c>
      <c r="DD80" s="66">
        <f t="shared" si="260"/>
        <v>0.44003036437246967</v>
      </c>
      <c r="DE80" s="66">
        <f t="shared" si="260"/>
        <v>0.304950495049505</v>
      </c>
      <c r="DF80" s="66">
        <f t="shared" si="260"/>
        <v>0.30708661417322825</v>
      </c>
      <c r="DG80" s="66">
        <f t="shared" si="260"/>
        <v>0.21056547619047628</v>
      </c>
      <c r="DH80" s="66">
        <f t="shared" si="260"/>
        <v>6.519065190651907E-2</v>
      </c>
      <c r="DI80" s="66">
        <f t="shared" si="260"/>
        <v>0.14634968807958182</v>
      </c>
      <c r="DJ80" s="66">
        <f t="shared" si="260"/>
        <v>9.3296261970960748E-2</v>
      </c>
      <c r="DK80" s="66">
        <f t="shared" si="260"/>
        <v>7.9696783446015163E-2</v>
      </c>
      <c r="DL80" s="66">
        <f t="shared" si="260"/>
        <v>0.16116793137578345</v>
      </c>
      <c r="DM80" s="66">
        <f t="shared" si="260"/>
        <v>9.4572731284012557E-2</v>
      </c>
      <c r="DN80" s="66">
        <f t="shared" si="260"/>
        <v>0.10850522746538571</v>
      </c>
      <c r="DO80" s="66">
        <f t="shared" si="260"/>
        <v>0.1461100569259961</v>
      </c>
      <c r="DP80" s="66">
        <f t="shared" si="260"/>
        <v>0.17161528626225331</v>
      </c>
      <c r="DQ80" s="66">
        <f t="shared" si="260"/>
        <v>0.13504434291857037</v>
      </c>
      <c r="DR80" s="66">
        <f t="shared" si="260"/>
        <v>0.10209023706347176</v>
      </c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48"/>
      <c r="EO80" s="48"/>
      <c r="EP80" s="48"/>
      <c r="EQ80" s="48"/>
      <c r="ER80" s="67"/>
      <c r="ES80" s="67"/>
      <c r="ET80" s="67"/>
      <c r="EU80" s="67"/>
      <c r="EV80" s="67"/>
      <c r="EW80" s="67"/>
      <c r="EX80" s="67"/>
      <c r="EY80" s="67"/>
      <c r="EZ80" s="67"/>
      <c r="FA80" s="67"/>
      <c r="FB80" s="67"/>
      <c r="FC80" s="96"/>
      <c r="FD80" s="96"/>
      <c r="FE80" s="96">
        <f t="shared" ref="FE80:FJ81" si="261">+FE9/FD9-1</f>
        <v>0.67680200321945971</v>
      </c>
      <c r="FF80" s="96">
        <f t="shared" si="261"/>
        <v>0.45749333333333353</v>
      </c>
      <c r="FG80" s="96">
        <f t="shared" si="261"/>
        <v>0.3089139344262295</v>
      </c>
      <c r="FH80" s="96">
        <f t="shared" si="261"/>
        <v>0.23723790886217522</v>
      </c>
      <c r="FI80" s="96">
        <f t="shared" si="261"/>
        <v>0.12165582067968184</v>
      </c>
      <c r="FJ80" s="96">
        <f t="shared" si="261"/>
        <v>0.11188557614826755</v>
      </c>
    </row>
    <row r="81" spans="1:175" s="38" customFormat="1" x14ac:dyDescent="0.2">
      <c r="A81" s="106"/>
      <c r="B81" s="38" t="s">
        <v>491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>
        <f t="shared" ref="CT81:DC82" si="262">+CT10/CP10-1</f>
        <v>2.9571428571428569</v>
      </c>
      <c r="CU81" s="66">
        <f t="shared" si="262"/>
        <v>2.6835016835016838</v>
      </c>
      <c r="CV81" s="66">
        <f t="shared" si="262"/>
        <v>1.3206239168110918</v>
      </c>
      <c r="CW81" s="66">
        <f t="shared" si="262"/>
        <v>0.86035502958579868</v>
      </c>
      <c r="CX81" s="66">
        <f t="shared" si="262"/>
        <v>1.1552346570397112</v>
      </c>
      <c r="CY81" s="66">
        <f t="shared" si="262"/>
        <v>0.71846435100548445</v>
      </c>
      <c r="CZ81" s="66">
        <f t="shared" si="262"/>
        <v>0.55787901418969366</v>
      </c>
      <c r="DA81" s="66">
        <f t="shared" si="262"/>
        <v>0.49109414758269732</v>
      </c>
      <c r="DB81" s="66">
        <f t="shared" si="262"/>
        <v>0.57230597431602481</v>
      </c>
      <c r="DC81" s="66">
        <f t="shared" si="262"/>
        <v>0.43085106382978733</v>
      </c>
      <c r="DD81" s="66">
        <f t="shared" ref="DD81:DM82" si="263">+DD10/CZ10-1</f>
        <v>0.63614573346116976</v>
      </c>
      <c r="DE81" s="66">
        <f t="shared" si="263"/>
        <v>0.43131399317406149</v>
      </c>
      <c r="DF81" s="66">
        <f t="shared" si="263"/>
        <v>0.43501420454545459</v>
      </c>
      <c r="DG81" s="66">
        <f t="shared" si="263"/>
        <v>0.7449814126394052</v>
      </c>
      <c r="DH81" s="66">
        <f t="shared" si="263"/>
        <v>0.72428948139466742</v>
      </c>
      <c r="DI81" s="66">
        <f t="shared" si="263"/>
        <v>0.84113263785394943</v>
      </c>
      <c r="DJ81" s="66">
        <f t="shared" si="263"/>
        <v>0.99950507300173208</v>
      </c>
      <c r="DK81" s="66">
        <f t="shared" si="263"/>
        <v>0.59970174691095024</v>
      </c>
      <c r="DL81" s="66">
        <f t="shared" si="263"/>
        <v>0.57485131690739166</v>
      </c>
      <c r="DM81" s="66">
        <f t="shared" si="263"/>
        <v>0.68398899141978298</v>
      </c>
      <c r="DN81" s="66">
        <f t="shared" ref="DN81:DR82" si="264">+DN10/DJ10-1</f>
        <v>0.41757425742574261</v>
      </c>
      <c r="DO81" s="66">
        <f t="shared" si="264"/>
        <v>0.39872153415900913</v>
      </c>
      <c r="DP81" s="66">
        <f t="shared" si="264"/>
        <v>0.43709538195943054</v>
      </c>
      <c r="DQ81" s="66">
        <f t="shared" si="264"/>
        <v>0.29965391270909447</v>
      </c>
      <c r="DR81" s="66">
        <f t="shared" si="264"/>
        <v>0.19774751178627548</v>
      </c>
      <c r="DS81" s="66"/>
      <c r="DT81" s="66"/>
      <c r="DU81" s="66"/>
      <c r="DV81" s="66"/>
      <c r="DW81" s="66"/>
      <c r="DX81" s="66"/>
      <c r="DY81" s="66"/>
      <c r="DZ81" s="66"/>
      <c r="EA81" s="66"/>
      <c r="EB81" s="66"/>
      <c r="EC81" s="66"/>
      <c r="ED81" s="66"/>
      <c r="EE81" s="66"/>
      <c r="EF81" s="66"/>
      <c r="EG81" s="66"/>
      <c r="EH81" s="66"/>
      <c r="EI81" s="66"/>
      <c r="EJ81" s="66"/>
      <c r="EK81" s="66"/>
      <c r="EL81" s="66"/>
      <c r="EM81" s="66"/>
      <c r="EN81" s="48"/>
      <c r="EO81" s="48"/>
      <c r="EP81" s="48"/>
      <c r="EQ81" s="48"/>
      <c r="ER81" s="67"/>
      <c r="ES81" s="67"/>
      <c r="ET81" s="67"/>
      <c r="EU81" s="67"/>
      <c r="EV81" s="67"/>
      <c r="EW81" s="67"/>
      <c r="EX81" s="67"/>
      <c r="EY81" s="67"/>
      <c r="EZ81" s="67"/>
      <c r="FA81" s="67"/>
      <c r="FB81" s="67"/>
      <c r="FC81" s="67"/>
      <c r="FD81" s="67"/>
      <c r="FE81" s="96">
        <f t="shared" si="261"/>
        <v>11.142857142857142</v>
      </c>
      <c r="FF81" s="96">
        <f t="shared" si="261"/>
        <v>1.2729411764705882</v>
      </c>
      <c r="FG81" s="96">
        <f t="shared" si="261"/>
        <v>0.57453416149068315</v>
      </c>
      <c r="FH81" s="96">
        <f t="shared" si="261"/>
        <v>0.47918036379574858</v>
      </c>
      <c r="FI81" s="96">
        <f t="shared" si="261"/>
        <v>0.83983998814727023</v>
      </c>
      <c r="FJ81" s="96">
        <f t="shared" si="261"/>
        <v>0.55552423900789139</v>
      </c>
    </row>
    <row r="82" spans="1:175" s="38" customFormat="1" x14ac:dyDescent="0.2">
      <c r="A82" s="106"/>
      <c r="B82" s="38" t="s">
        <v>492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>
        <f t="shared" ref="CI82:CS82" si="265">+CI11/CE11-1</f>
        <v>0.97927461139896388</v>
      </c>
      <c r="CJ82" s="66">
        <f t="shared" si="265"/>
        <v>2.612612612612613</v>
      </c>
      <c r="CK82" s="66">
        <f t="shared" si="265"/>
        <v>2.0844155844155843</v>
      </c>
      <c r="CL82" s="66">
        <f t="shared" si="265"/>
        <v>4.212328767123287</v>
      </c>
      <c r="CM82" s="66">
        <f t="shared" si="265"/>
        <v>0.93717277486910988</v>
      </c>
      <c r="CN82" s="66">
        <f t="shared" si="265"/>
        <v>1.57356608478803</v>
      </c>
      <c r="CO82" s="66">
        <f t="shared" si="265"/>
        <v>1.6778947368421053</v>
      </c>
      <c r="CP82" s="66">
        <f t="shared" si="265"/>
        <v>0.88173455978975035</v>
      </c>
      <c r="CQ82" s="66">
        <f t="shared" si="265"/>
        <v>1.0405405405405403</v>
      </c>
      <c r="CR82" s="66">
        <f t="shared" si="265"/>
        <v>0.42635658914728669</v>
      </c>
      <c r="CS82" s="66">
        <f t="shared" si="265"/>
        <v>0.31210691823899372</v>
      </c>
      <c r="CT82" s="66">
        <f t="shared" si="262"/>
        <v>0.34916201117318435</v>
      </c>
      <c r="CU82" s="66">
        <f t="shared" si="262"/>
        <v>0.34834437086092707</v>
      </c>
      <c r="CV82" s="66">
        <f t="shared" si="262"/>
        <v>0.57540760869565233</v>
      </c>
      <c r="CW82" s="66">
        <f t="shared" si="262"/>
        <v>0.44218094667465535</v>
      </c>
      <c r="CX82" s="66">
        <f t="shared" si="262"/>
        <v>0.38716356107660466</v>
      </c>
      <c r="CY82" s="66">
        <f t="shared" si="262"/>
        <v>0.31385068762278978</v>
      </c>
      <c r="CZ82" s="66">
        <f t="shared" si="262"/>
        <v>0.1297973264338077</v>
      </c>
      <c r="DA82" s="66">
        <f t="shared" si="262"/>
        <v>0.29123390112172842</v>
      </c>
      <c r="DB82" s="66">
        <f t="shared" si="262"/>
        <v>0.17014925373134338</v>
      </c>
      <c r="DC82" s="66">
        <f t="shared" si="262"/>
        <v>0.16635514018691588</v>
      </c>
      <c r="DD82" s="66">
        <f t="shared" si="263"/>
        <v>0.36068702290076327</v>
      </c>
      <c r="DE82" s="66">
        <f t="shared" si="263"/>
        <v>0.25611325611325597</v>
      </c>
      <c r="DF82" s="66">
        <f t="shared" si="263"/>
        <v>0.37723214285714279</v>
      </c>
      <c r="DG82" s="66">
        <f t="shared" si="263"/>
        <v>0.34423076923076912</v>
      </c>
      <c r="DH82" s="66">
        <f t="shared" si="263"/>
        <v>0.29312762973352036</v>
      </c>
      <c r="DI82" s="66">
        <f t="shared" si="263"/>
        <v>0.46849385245901631</v>
      </c>
      <c r="DJ82" s="66">
        <f t="shared" si="263"/>
        <v>0.41768927992590865</v>
      </c>
      <c r="DK82" s="66">
        <f t="shared" si="263"/>
        <v>0.37696709585121613</v>
      </c>
      <c r="DL82" s="66">
        <f t="shared" si="263"/>
        <v>0.44967462039045536</v>
      </c>
      <c r="DM82" s="66">
        <f t="shared" si="263"/>
        <v>0.22239665096807948</v>
      </c>
      <c r="DN82" s="66">
        <f t="shared" si="264"/>
        <v>0.30344602319124636</v>
      </c>
      <c r="DO82" s="66">
        <f t="shared" si="264"/>
        <v>0.18874458874458866</v>
      </c>
      <c r="DP82" s="66">
        <f t="shared" si="264"/>
        <v>0.15157863235074087</v>
      </c>
      <c r="DQ82" s="66">
        <f t="shared" si="264"/>
        <v>0.12671232876712346</v>
      </c>
      <c r="DR82" s="66">
        <f t="shared" si="264"/>
        <v>1.4409221902017322E-2</v>
      </c>
      <c r="DS82" s="66"/>
      <c r="DT82" s="66"/>
      <c r="DU82" s="66"/>
      <c r="DV82" s="66"/>
      <c r="DW82" s="66"/>
      <c r="DX82" s="66"/>
      <c r="DY82" s="66"/>
      <c r="DZ82" s="66"/>
      <c r="EA82" s="66"/>
      <c r="EB82" s="66"/>
      <c r="EC82" s="66"/>
      <c r="ED82" s="66"/>
      <c r="EE82" s="66"/>
      <c r="EF82" s="66"/>
      <c r="EG82" s="66"/>
      <c r="EH82" s="66"/>
      <c r="EI82" s="66"/>
      <c r="EJ82" s="66"/>
      <c r="EK82" s="66"/>
      <c r="EL82" s="66"/>
      <c r="EM82" s="66"/>
      <c r="EN82" s="48"/>
      <c r="EO82" s="48"/>
      <c r="EP82" s="48"/>
      <c r="EQ82" s="48"/>
      <c r="ER82" s="67"/>
      <c r="ES82" s="67"/>
      <c r="ET82" s="67"/>
      <c r="EU82" s="67"/>
      <c r="EV82" s="67"/>
      <c r="EW82" s="67"/>
      <c r="EX82" s="67"/>
      <c r="EY82" s="67"/>
      <c r="EZ82" s="67"/>
      <c r="FA82" s="67"/>
      <c r="FB82" s="67"/>
      <c r="FC82" s="67"/>
      <c r="FD82" s="67"/>
      <c r="FE82" s="67"/>
      <c r="FF82" s="67"/>
      <c r="FG82" s="67"/>
      <c r="FH82" s="67"/>
    </row>
    <row r="83" spans="1:175" s="38" customFormat="1" x14ac:dyDescent="0.2">
      <c r="A83" s="106"/>
      <c r="B83" s="38" t="s">
        <v>56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66">
        <f t="shared" ref="AU83:BY83" si="266">AU73/AQ73-1</f>
        <v>0.24227833061457504</v>
      </c>
      <c r="AV83" s="66">
        <f t="shared" si="266"/>
        <v>0.54656637892619053</v>
      </c>
      <c r="AW83" s="66">
        <f t="shared" si="266"/>
        <v>0.33969062540056982</v>
      </c>
      <c r="AX83" s="66">
        <f t="shared" si="266"/>
        <v>2.3042448332134815</v>
      </c>
      <c r="AY83" s="66">
        <f t="shared" si="266"/>
        <v>0.78264619506510846</v>
      </c>
      <c r="AZ83" s="66">
        <f t="shared" si="266"/>
        <v>-8.2925871665907591E-2</v>
      </c>
      <c r="BA83" s="66">
        <f t="shared" si="266"/>
        <v>2.2085042842024705</v>
      </c>
      <c r="BB83" s="66">
        <f t="shared" si="266"/>
        <v>0.1870513600647703</v>
      </c>
      <c r="BC83" s="66">
        <f t="shared" si="266"/>
        <v>1.731425100430636</v>
      </c>
      <c r="BD83" s="66">
        <f t="shared" si="266"/>
        <v>3.7362930227057349</v>
      </c>
      <c r="BE83" s="66">
        <f t="shared" si="266"/>
        <v>0.17487628448498183</v>
      </c>
      <c r="BF83" s="66">
        <f t="shared" si="266"/>
        <v>-0.52026113261404561</v>
      </c>
      <c r="BG83" s="66">
        <f t="shared" si="266"/>
        <v>-0.57728356037442752</v>
      </c>
      <c r="BH83" s="66">
        <f t="shared" si="266"/>
        <v>-0.60384987633693532</v>
      </c>
      <c r="BI83" s="66">
        <f t="shared" si="266"/>
        <v>-0.45386568723743781</v>
      </c>
      <c r="BJ83" s="66">
        <f t="shared" si="266"/>
        <v>-0.17935478589422826</v>
      </c>
      <c r="BK83" s="66">
        <f t="shared" si="266"/>
        <v>0.1144033426114861</v>
      </c>
      <c r="BL83" s="66">
        <f t="shared" si="266"/>
        <v>0.28860862968049394</v>
      </c>
      <c r="BM83" s="66">
        <f t="shared" si="266"/>
        <v>-0.10728645122357194</v>
      </c>
      <c r="BN83" s="66">
        <f t="shared" si="266"/>
        <v>0.24088397214917667</v>
      </c>
      <c r="BO83" s="66">
        <f t="shared" si="266"/>
        <v>5.1382705842108578E-2</v>
      </c>
      <c r="BP83" s="66">
        <f t="shared" si="266"/>
        <v>-6.5788977619371525E-2</v>
      </c>
      <c r="BQ83" s="66">
        <f t="shared" si="266"/>
        <v>-7.1925548393590666E-2</v>
      </c>
      <c r="BR83" s="66">
        <f t="shared" si="266"/>
        <v>-0.22750132460794636</v>
      </c>
      <c r="BS83" s="66">
        <f t="shared" si="266"/>
        <v>-0.25615165684029639</v>
      </c>
      <c r="BT83" s="66">
        <f t="shared" si="266"/>
        <v>-0.28127885987742418</v>
      </c>
      <c r="BU83" s="66">
        <f t="shared" si="266"/>
        <v>-0.29593098547977148</v>
      </c>
      <c r="BV83" s="66">
        <f t="shared" si="266"/>
        <v>6.4600727857465623E-2</v>
      </c>
      <c r="BW83" s="66">
        <f t="shared" si="266"/>
        <v>6.9797382424570564E-2</v>
      </c>
      <c r="BX83" s="66">
        <f t="shared" si="266"/>
        <v>0.41810682529532461</v>
      </c>
      <c r="BY83" s="66">
        <f t="shared" si="266"/>
        <v>0.39984491447748982</v>
      </c>
      <c r="BZ83" s="66">
        <f t="shared" ref="BZ83" si="267">+BZ73/BV73-1</f>
        <v>-0.17908617525056403</v>
      </c>
      <c r="CA83" s="66">
        <f t="shared" ref="CA83" si="268">+CA73/BW73-1</f>
        <v>-0.38848476873388582</v>
      </c>
      <c r="CB83" s="66">
        <f t="shared" ref="CB83" si="269">+CB73/BX73-1</f>
        <v>-0.50355974944012782</v>
      </c>
      <c r="CC83" s="66">
        <f t="shared" ref="CC83" si="270">+CC73/BY73-1</f>
        <v>-0.6268077871262776</v>
      </c>
      <c r="CD83" s="66">
        <f t="shared" ref="CD83:CH83" si="271">+CD73/BZ73-1</f>
        <v>-0.18783940646311048</v>
      </c>
      <c r="CE83" s="66">
        <f t="shared" si="271"/>
        <v>0.10295041397840432</v>
      </c>
      <c r="CF83" s="66">
        <f t="shared" si="271"/>
        <v>0.91139320767904608</v>
      </c>
      <c r="CG83" s="66">
        <f t="shared" si="271"/>
        <v>0.5169613768087753</v>
      </c>
      <c r="CH83" s="66">
        <f t="shared" si="271"/>
        <v>6.3626988700353992E-2</v>
      </c>
      <c r="CI83" s="66">
        <f t="shared" ref="CI83" si="272">+CI73/CE73-1</f>
        <v>0.23250916922393094</v>
      </c>
      <c r="CJ83" s="66">
        <f t="shared" ref="CJ83" si="273">+CJ73/CF73-1</f>
        <v>-0.21073591805089609</v>
      </c>
      <c r="CK83" s="66">
        <f t="shared" ref="CK83" si="274">+CK73/CG73-1</f>
        <v>0.15419301941534758</v>
      </c>
      <c r="CL83" s="66">
        <f t="shared" ref="CL83" si="275">+CL73/CH73-1</f>
        <v>0.3170296226644651</v>
      </c>
      <c r="CM83" s="66">
        <f t="shared" ref="CM83" si="276">+CM73/CI73-1</f>
        <v>-6.9289455650238252E-2</v>
      </c>
      <c r="CN83" s="66">
        <f t="shared" ref="CN83:CQ83" si="277">+CN73/CJ73-1</f>
        <v>1.0684769275743689E-2</v>
      </c>
      <c r="CO83" s="66">
        <f t="shared" si="277"/>
        <v>0.39398235910848012</v>
      </c>
      <c r="CP83" s="66">
        <f t="shared" si="277"/>
        <v>0.22523961679788629</v>
      </c>
      <c r="CQ83" s="66">
        <f t="shared" si="277"/>
        <v>-0.46882860755108235</v>
      </c>
      <c r="CR83" s="66">
        <f t="shared" ref="CR83" si="278">+CR73/CN73-1</f>
        <v>0.49230638070497101</v>
      </c>
      <c r="CS83" s="66">
        <f t="shared" ref="CS83" si="279">+CS73/CO73-1</f>
        <v>0.24713714508369033</v>
      </c>
      <c r="CT83" s="66">
        <f t="shared" ref="CT83" si="280">+CT73/CP73-1</f>
        <v>0.43212564887758509</v>
      </c>
      <c r="CU83" s="66">
        <f t="shared" ref="CU83" si="281">+CU73/CQ73-1</f>
        <v>1.7513420507993556</v>
      </c>
      <c r="CV83" s="66">
        <f t="shared" ref="CV83:DF83" si="282">+CV73/CR73-1</f>
        <v>8.6392868503512688E-2</v>
      </c>
      <c r="CW83" s="66">
        <f t="shared" si="282"/>
        <v>0.11845562103386764</v>
      </c>
      <c r="CX83" s="66">
        <f t="shared" si="282"/>
        <v>-2.3716548886028588E-2</v>
      </c>
      <c r="CY83" s="66">
        <f t="shared" si="282"/>
        <v>0.41134642228191165</v>
      </c>
      <c r="CZ83" s="66">
        <f t="shared" si="282"/>
        <v>-6.1677293908494524E-2</v>
      </c>
      <c r="DA83" s="66">
        <f t="shared" si="282"/>
        <v>-9.3928791890615648E-2</v>
      </c>
      <c r="DB83" s="66">
        <f t="shared" si="282"/>
        <v>0.40022763994078892</v>
      </c>
      <c r="DC83" s="66">
        <f t="shared" si="282"/>
        <v>0.24076955289661717</v>
      </c>
      <c r="DD83" s="66">
        <f t="shared" si="282"/>
        <v>0.38318594312768117</v>
      </c>
      <c r="DE83" s="66">
        <f t="shared" si="282"/>
        <v>0.45580624220564636</v>
      </c>
      <c r="DF83" s="66">
        <f t="shared" si="282"/>
        <v>0.17005727482444555</v>
      </c>
      <c r="DG83" s="66">
        <f>+DG73/DC73-1</f>
        <v>0.43758303199128945</v>
      </c>
      <c r="DH83" s="66">
        <f t="shared" ref="DH83:DN83" si="283">+DH73/DD73-1</f>
        <v>1.1450043970479884E-2</v>
      </c>
      <c r="DI83" s="66">
        <f t="shared" si="283"/>
        <v>2.3716730966681032E-2</v>
      </c>
      <c r="DJ83" s="66">
        <f t="shared" si="283"/>
        <v>-7.6791808189561661E-2</v>
      </c>
      <c r="DK83" s="66">
        <f t="shared" si="283"/>
        <v>-0.40528199841427992</v>
      </c>
      <c r="DL83" s="66">
        <f t="shared" si="283"/>
        <v>-0.130248576662779</v>
      </c>
      <c r="DM83" s="66">
        <f t="shared" si="283"/>
        <v>0.55290164074258086</v>
      </c>
      <c r="DN83" s="66">
        <f t="shared" si="283"/>
        <v>0.41397314245262473</v>
      </c>
      <c r="DO83" s="66">
        <f>+DO73/DK73-1</f>
        <v>0.58619396993966544</v>
      </c>
      <c r="DP83" s="66">
        <f>+DP73/DL73-1</f>
        <v>1.3907941998578375</v>
      </c>
      <c r="DQ83" s="66">
        <f t="shared" ref="DQ83" si="284">+DQ73/DM73-1</f>
        <v>0.28314553545264509</v>
      </c>
      <c r="DR83" s="66">
        <f t="shared" ref="DR83" si="285">+DR73/DN73-1</f>
        <v>-4.2515877837104421E-2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67">
        <f t="shared" ref="EO83:FF83" si="286">EO73/EN73-1</f>
        <v>-7.8712768439495151E-2</v>
      </c>
      <c r="EP83" s="67">
        <f t="shared" si="286"/>
        <v>-1.0147762349246858E-2</v>
      </c>
      <c r="EQ83" s="67">
        <f t="shared" si="286"/>
        <v>8.8659943146997877E-2</v>
      </c>
      <c r="ER83" s="67">
        <f t="shared" si="286"/>
        <v>1.8914666658705448E-2</v>
      </c>
      <c r="ES83" s="67">
        <f t="shared" si="286"/>
        <v>0.18158561537982321</v>
      </c>
      <c r="ET83" s="67">
        <f t="shared" si="286"/>
        <v>0.36697720609951956</v>
      </c>
      <c r="EU83" s="67">
        <f t="shared" si="286"/>
        <v>0.82971846943568472</v>
      </c>
      <c r="EV83" s="67">
        <f t="shared" si="286"/>
        <v>-0.49685325768272748</v>
      </c>
      <c r="EW83" s="67">
        <f t="shared" si="286"/>
        <v>-0.14043421391571609</v>
      </c>
      <c r="EX83" s="67">
        <f t="shared" si="286"/>
        <v>9.3314477344200064E-2</v>
      </c>
      <c r="EY83" s="67">
        <f t="shared" si="286"/>
        <v>-0.27187767535042584</v>
      </c>
      <c r="EZ83" s="67">
        <f t="shared" si="286"/>
        <v>-2.5724967872223239</v>
      </c>
      <c r="FA83" s="67">
        <f t="shared" si="286"/>
        <v>-0.19999999999999984</v>
      </c>
      <c r="FB83" s="67">
        <f t="shared" si="286"/>
        <v>-1</v>
      </c>
      <c r="FC83" s="67" t="e">
        <f t="shared" si="286"/>
        <v>#DIV/0!</v>
      </c>
      <c r="FD83" s="67" t="e">
        <f t="shared" si="286"/>
        <v>#DIV/0!</v>
      </c>
      <c r="FE83" s="67">
        <f t="shared" si="286"/>
        <v>0.32373313187086694</v>
      </c>
      <c r="FF83" s="67">
        <f t="shared" si="286"/>
        <v>9.1367282249790627E-2</v>
      </c>
      <c r="FG83" s="67"/>
      <c r="FH83" s="67"/>
    </row>
    <row r="84" spans="1:175" x14ac:dyDescent="0.2">
      <c r="A84" s="102"/>
      <c r="FE84" s="47"/>
      <c r="FF84" s="47"/>
      <c r="FG84" s="47"/>
      <c r="FH84" s="47"/>
    </row>
    <row r="85" spans="1:175" x14ac:dyDescent="0.2">
      <c r="A85" s="102"/>
      <c r="B85" t="s">
        <v>123</v>
      </c>
      <c r="AP85" s="64">
        <f t="shared" ref="AP85:BB85" si="287">AP64/AP62</f>
        <v>0.73930980486629738</v>
      </c>
      <c r="AQ85" s="64">
        <f t="shared" si="287"/>
        <v>0.73235178068634854</v>
      </c>
      <c r="AR85" s="64">
        <f t="shared" si="287"/>
        <v>0.73840333863752361</v>
      </c>
      <c r="AS85" s="64">
        <f t="shared" si="287"/>
        <v>0.74711692764659565</v>
      </c>
      <c r="AT85" s="64">
        <f t="shared" si="287"/>
        <v>0.75394477317554254</v>
      </c>
      <c r="AU85" s="64">
        <f t="shared" si="287"/>
        <v>0.76540229216359301</v>
      </c>
      <c r="AV85" s="64">
        <f t="shared" si="287"/>
        <v>0.76398673281982399</v>
      </c>
      <c r="AW85" s="64">
        <f t="shared" si="287"/>
        <v>0.76998832428042041</v>
      </c>
      <c r="AX85" s="64">
        <f t="shared" si="287"/>
        <v>0.81222054008379396</v>
      </c>
      <c r="AY85" s="64">
        <f t="shared" si="287"/>
        <v>0.78590823644085506</v>
      </c>
      <c r="AZ85" s="64">
        <f t="shared" si="287"/>
        <v>0.76181506032714963</v>
      </c>
      <c r="BA85" s="64">
        <f t="shared" si="287"/>
        <v>0.82123302764734796</v>
      </c>
      <c r="BB85" s="64">
        <f t="shared" si="287"/>
        <v>0.80905231258532484</v>
      </c>
      <c r="BC85" s="64">
        <v>0.75800000000000001</v>
      </c>
      <c r="BD85" s="64">
        <v>0.75800000000000001</v>
      </c>
      <c r="BE85" s="64">
        <v>0.75800000000000001</v>
      </c>
      <c r="BF85" s="64">
        <v>0.75800000000000001</v>
      </c>
      <c r="BG85" s="64">
        <f t="shared" ref="BG85:BZ85" si="288">BG64/BG62</f>
        <v>0.83310846723087617</v>
      </c>
      <c r="BH85" s="64">
        <f t="shared" si="288"/>
        <v>0.81472572601936055</v>
      </c>
      <c r="BI85" s="64">
        <f t="shared" si="288"/>
        <v>0.81087738223660555</v>
      </c>
      <c r="BJ85" s="64">
        <f t="shared" si="288"/>
        <v>0.75879676440849342</v>
      </c>
      <c r="BK85" s="64">
        <f t="shared" si="288"/>
        <v>0.79536961079208823</v>
      </c>
      <c r="BL85" s="64">
        <f t="shared" si="288"/>
        <v>0.82189016647241986</v>
      </c>
      <c r="BM85" s="64">
        <f t="shared" si="288"/>
        <v>0.82535191341868852</v>
      </c>
      <c r="BN85" s="64">
        <f t="shared" si="288"/>
        <v>0.80084690974915962</v>
      </c>
      <c r="BO85" s="64">
        <f t="shared" si="288"/>
        <v>0.79790039731470075</v>
      </c>
      <c r="BP85" s="64">
        <f t="shared" si="288"/>
        <v>0.80360798362333674</v>
      </c>
      <c r="BQ85" s="64">
        <f t="shared" si="288"/>
        <v>0.78235552447097467</v>
      </c>
      <c r="BR85" s="64">
        <f t="shared" si="288"/>
        <v>0.78143965075322874</v>
      </c>
      <c r="BS85" s="64">
        <f t="shared" si="288"/>
        <v>0.78618092246180205</v>
      </c>
      <c r="BT85" s="64">
        <f t="shared" si="288"/>
        <v>0.79525042406927948</v>
      </c>
      <c r="BU85" s="64">
        <f t="shared" si="288"/>
        <v>0.77885163068442809</v>
      </c>
      <c r="BV85" s="64">
        <f t="shared" si="288"/>
        <v>0.79045876487670585</v>
      </c>
      <c r="BW85" s="64">
        <f t="shared" si="288"/>
        <v>0.79323455908604068</v>
      </c>
      <c r="BX85" s="64">
        <f t="shared" si="288"/>
        <v>0.80349764743578933</v>
      </c>
      <c r="BY85" s="64">
        <f t="shared" si="288"/>
        <v>0.79245054221667877</v>
      </c>
      <c r="BZ85" s="64">
        <f t="shared" si="288"/>
        <v>0.76131042556121742</v>
      </c>
      <c r="CA85" s="64">
        <f t="shared" ref="CA85:CB85" si="289">CA64/CA62</f>
        <v>0.73891225897375679</v>
      </c>
      <c r="CB85" s="64">
        <f t="shared" si="289"/>
        <v>0.75895534484155935</v>
      </c>
      <c r="CC85" s="64">
        <f t="shared" ref="CC85:CD85" si="290">CC64/CC62</f>
        <v>0.74013454754286656</v>
      </c>
      <c r="CD85" s="64">
        <f t="shared" si="290"/>
        <v>0.75531603303848638</v>
      </c>
      <c r="CE85" s="64">
        <f t="shared" ref="CE85" si="291">CE64/CE62</f>
        <v>0.74321269403836632</v>
      </c>
      <c r="CF85" s="64">
        <f t="shared" ref="CF85" si="292">CF64/CF62</f>
        <v>0.79233534858497201</v>
      </c>
      <c r="CG85" s="64">
        <f t="shared" ref="CG85" si="293">CG64/CG62</f>
        <v>0.75060991592233395</v>
      </c>
      <c r="CH85" s="64">
        <f t="shared" ref="CH85" si="294">CH64/CH62</f>
        <v>0.7415730337078652</v>
      </c>
      <c r="CI85" s="64">
        <f t="shared" ref="CI85:CJ85" si="295">CI64/CI62</f>
        <v>0.72806314361472535</v>
      </c>
      <c r="CJ85" s="64">
        <f t="shared" si="295"/>
        <v>0.75976909413854343</v>
      </c>
      <c r="CK85" s="64">
        <f t="shared" ref="CK85:CL85" si="296">CK64/CK62</f>
        <v>0.73016545640156405</v>
      </c>
      <c r="CL85" s="64">
        <f t="shared" si="296"/>
        <v>0.74550820241298499</v>
      </c>
      <c r="CM85" s="64">
        <f t="shared" ref="CM85:CN85" si="297">CM64/CM62</f>
        <v>0.74219153453321351</v>
      </c>
      <c r="CN85" s="64">
        <f t="shared" si="297"/>
        <v>0.73014782892364749</v>
      </c>
      <c r="CO85" s="64">
        <f t="shared" ref="CO85:CQ85" si="298">CO64/CO62</f>
        <v>0.71963591375044178</v>
      </c>
      <c r="CP85" s="64">
        <f t="shared" si="298"/>
        <v>0.73300112000259698</v>
      </c>
      <c r="CQ85" s="64">
        <f t="shared" si="298"/>
        <v>0.68344816471251857</v>
      </c>
      <c r="CR85" s="64">
        <f t="shared" ref="CR85" si="299">CR64/CR62</f>
        <v>0.7320776686807654</v>
      </c>
      <c r="CS85" s="64">
        <f t="shared" ref="CS85" si="300">CS64/CS62</f>
        <v>0.74227552417558851</v>
      </c>
      <c r="CT85" s="64">
        <f t="shared" ref="CT85:CU85" si="301">CT64/CT62</f>
        <v>0.75247724660640514</v>
      </c>
      <c r="CU85" s="64">
        <f t="shared" si="301"/>
        <v>0.80155535044480652</v>
      </c>
      <c r="CV85" s="64">
        <f t="shared" ref="CV85:CW85" si="302">CV64/CV62</f>
        <v>0.80959054782855522</v>
      </c>
      <c r="CW85" s="64">
        <f t="shared" si="302"/>
        <v>0.79578570646021263</v>
      </c>
      <c r="CX85" s="64">
        <f t="shared" ref="CX85:CY85" si="303">CX64/CX62</f>
        <v>0.79891393241519193</v>
      </c>
      <c r="CY85" s="64">
        <f t="shared" si="303"/>
        <v>0.80263831530086338</v>
      </c>
      <c r="CZ85" s="64">
        <f t="shared" ref="CZ85:DF85" si="304">CZ64/CZ62</f>
        <v>0.79648688947885227</v>
      </c>
      <c r="DA85" s="64">
        <f t="shared" si="304"/>
        <v>0.79098003692993768</v>
      </c>
      <c r="DB85" s="64">
        <f t="shared" si="304"/>
        <v>0.76884719291407366</v>
      </c>
      <c r="DC85" s="64">
        <f t="shared" si="304"/>
        <v>0.75440813447748922</v>
      </c>
      <c r="DD85" s="64">
        <f t="shared" si="304"/>
        <v>0.7925816023738872</v>
      </c>
      <c r="DE85" s="64">
        <f t="shared" si="304"/>
        <v>0.79007825188247449</v>
      </c>
      <c r="DF85" s="64">
        <f t="shared" si="304"/>
        <v>0.74372179652245651</v>
      </c>
      <c r="DG85" s="64">
        <f>DG64/DG62</f>
        <v>0.76088654434642322</v>
      </c>
      <c r="DH85" s="64">
        <f t="shared" ref="DH85:DN85" si="305">DH64/DH62</f>
        <v>0.79820897362783039</v>
      </c>
      <c r="DI85" s="64">
        <f t="shared" si="305"/>
        <v>0.77251314557372319</v>
      </c>
      <c r="DJ85" s="64">
        <f t="shared" si="305"/>
        <v>0.80498226488996016</v>
      </c>
      <c r="DK85" s="64">
        <f t="shared" si="305"/>
        <v>0.78435964483779197</v>
      </c>
      <c r="DL85" s="64">
        <f t="shared" si="305"/>
        <v>0.78262556250969839</v>
      </c>
      <c r="DM85" s="64">
        <f t="shared" si="305"/>
        <v>0.79</v>
      </c>
      <c r="DN85" s="64">
        <f t="shared" si="305"/>
        <v>0.82262375708328883</v>
      </c>
      <c r="DO85" s="64">
        <f t="shared" ref="DO85:DR85" si="306">DO64/DO62</f>
        <v>0.82499800408307578</v>
      </c>
      <c r="DP85" s="64">
        <f t="shared" si="306"/>
        <v>0.82030116431326749</v>
      </c>
      <c r="DQ85" s="64">
        <f t="shared" si="306"/>
        <v>0.81</v>
      </c>
      <c r="DR85" s="64">
        <f t="shared" si="306"/>
        <v>0.81</v>
      </c>
      <c r="DS85" s="64"/>
      <c r="DT85" s="64"/>
      <c r="DU85" s="64"/>
      <c r="DV85" s="64"/>
      <c r="ER85" s="64">
        <f>ER64/ER62</f>
        <v>0.76286689419795217</v>
      </c>
      <c r="ES85" s="64">
        <f>ES64/ES62</f>
        <v>0.77818608040041815</v>
      </c>
      <c r="ET85" s="64">
        <v>0.78</v>
      </c>
      <c r="EU85" s="64">
        <f>EU64/EU62</f>
        <v>1.0500260329761233</v>
      </c>
      <c r="EV85" s="64">
        <f>EV64/EV62</f>
        <v>0.82263518056731488</v>
      </c>
      <c r="EW85" s="64">
        <f>EW64/EW62</f>
        <v>0.80057367839296967</v>
      </c>
      <c r="EX85" s="64">
        <f>EX64/EX62</f>
        <v>0.78775238406352488</v>
      </c>
      <c r="EY85" s="64">
        <f>EY64/EY62</f>
        <v>0.78199213689975688</v>
      </c>
      <c r="EZ85" s="64"/>
      <c r="FA85" s="64"/>
      <c r="FB85" s="64"/>
      <c r="FC85" s="64"/>
      <c r="FD85" s="64"/>
      <c r="FE85" s="64"/>
      <c r="FF85" s="64">
        <f t="shared" ref="FF85" si="307">FF64/FF62</f>
        <v>0.80144538583199287</v>
      </c>
      <c r="FG85" s="64">
        <f t="shared" ref="FG85:FQ85" si="308">FG64/FG62</f>
        <v>0.78828764583392763</v>
      </c>
      <c r="FH85" s="64">
        <f t="shared" si="308"/>
        <v>0.7690061267369388</v>
      </c>
      <c r="FI85" s="64">
        <f t="shared" si="308"/>
        <v>0.78347943688816957</v>
      </c>
      <c r="FJ85" s="64">
        <f t="shared" si="308"/>
        <v>0.79650096030829476</v>
      </c>
      <c r="FK85" s="64">
        <f>FK64/FK62</f>
        <v>0.81623409310921413</v>
      </c>
      <c r="FL85" s="64">
        <f t="shared" si="308"/>
        <v>0.79</v>
      </c>
      <c r="FM85" s="64">
        <f t="shared" si="308"/>
        <v>0.79</v>
      </c>
      <c r="FN85" s="64">
        <f t="shared" si="308"/>
        <v>0.79</v>
      </c>
      <c r="FO85" s="64">
        <f t="shared" si="308"/>
        <v>0.79</v>
      </c>
      <c r="FP85" s="64">
        <f t="shared" si="308"/>
        <v>0.79</v>
      </c>
      <c r="FQ85" s="64">
        <f t="shared" si="308"/>
        <v>0.85</v>
      </c>
    </row>
    <row r="86" spans="1:175" x14ac:dyDescent="0.2">
      <c r="A86" s="102"/>
      <c r="B86" t="s">
        <v>59</v>
      </c>
      <c r="AP86" s="64">
        <f t="shared" ref="AP86:BZ86" si="309">AP65/AP62</f>
        <v>0.33064321850156586</v>
      </c>
      <c r="AQ86" s="64">
        <f t="shared" si="309"/>
        <v>0.33962346804642624</v>
      </c>
      <c r="AR86" s="64">
        <f t="shared" si="309"/>
        <v>0.34410184045395864</v>
      </c>
      <c r="AS86" s="64">
        <f t="shared" si="309"/>
        <v>0.32022287121113957</v>
      </c>
      <c r="AT86" s="64">
        <f t="shared" si="309"/>
        <v>0.32599167214551827</v>
      </c>
      <c r="AU86" s="64">
        <f t="shared" si="309"/>
        <v>0.3324800744662284</v>
      </c>
      <c r="AV86" s="64">
        <f t="shared" si="309"/>
        <v>0.33935473260053178</v>
      </c>
      <c r="AW86" s="64">
        <f t="shared" si="309"/>
        <v>0.33054977410020808</v>
      </c>
      <c r="AX86" s="64">
        <f t="shared" si="309"/>
        <v>0.25034327359785935</v>
      </c>
      <c r="AY86" s="64">
        <f t="shared" si="309"/>
        <v>0.31024159298196752</v>
      </c>
      <c r="AZ86" s="64">
        <f t="shared" si="309"/>
        <v>0.36356049406266394</v>
      </c>
      <c r="BA86" s="64">
        <f t="shared" si="309"/>
        <v>0.25050429711999733</v>
      </c>
      <c r="BB86" s="64">
        <f t="shared" si="309"/>
        <v>0.26340819418815725</v>
      </c>
      <c r="BC86" s="64">
        <f t="shared" si="309"/>
        <v>0.24840590855202022</v>
      </c>
      <c r="BD86" s="64">
        <f t="shared" si="309"/>
        <v>0.25361378384426048</v>
      </c>
      <c r="BE86" s="64">
        <f t="shared" si="309"/>
        <v>0.24264002707116478</v>
      </c>
      <c r="BF86" s="64">
        <f t="shared" si="309"/>
        <v>0.32983398906055078</v>
      </c>
      <c r="BG86" s="64">
        <f t="shared" si="309"/>
        <v>0.31260476716137209</v>
      </c>
      <c r="BH86" s="64">
        <f t="shared" si="309"/>
        <v>0.33405690818421824</v>
      </c>
      <c r="BI86" s="64">
        <f t="shared" si="309"/>
        <v>0.30596907587198846</v>
      </c>
      <c r="BJ86" s="64">
        <f t="shared" si="309"/>
        <v>0.32917087967644082</v>
      </c>
      <c r="BK86" s="64">
        <f t="shared" si="309"/>
        <v>0.29430316288396685</v>
      </c>
      <c r="BL86" s="64">
        <f t="shared" si="309"/>
        <v>0.3053559935289718</v>
      </c>
      <c r="BM86" s="64">
        <f t="shared" si="309"/>
        <v>0.2997276649925727</v>
      </c>
      <c r="BN86" s="64">
        <f t="shared" si="309"/>
        <v>0.32142164468580292</v>
      </c>
      <c r="BO86" s="64">
        <f t="shared" si="309"/>
        <v>0.30581244006028224</v>
      </c>
      <c r="BP86" s="64">
        <f t="shared" si="309"/>
        <v>0.32673362333674522</v>
      </c>
      <c r="BQ86" s="64">
        <f t="shared" si="309"/>
        <v>0.31193376815601565</v>
      </c>
      <c r="BR86" s="64">
        <f t="shared" si="309"/>
        <v>0.35278554065450696</v>
      </c>
      <c r="BS86" s="64">
        <f t="shared" si="309"/>
        <v>0.32976938454947874</v>
      </c>
      <c r="BT86" s="64">
        <f t="shared" si="309"/>
        <v>0.34480849924113921</v>
      </c>
      <c r="BU86" s="64">
        <f t="shared" si="309"/>
        <v>0.32290307762976572</v>
      </c>
      <c r="BV86" s="64">
        <f t="shared" si="309"/>
        <v>0.33194568008997366</v>
      </c>
      <c r="BW86" s="64">
        <f t="shared" si="309"/>
        <v>0.29489468047126027</v>
      </c>
      <c r="BX86" s="64">
        <f t="shared" si="309"/>
        <v>0.3149569118167867</v>
      </c>
      <c r="BY86" s="64">
        <f t="shared" si="309"/>
        <v>0.28624883068288121</v>
      </c>
      <c r="BZ86" s="64">
        <f t="shared" si="309"/>
        <v>0.3363173116650599</v>
      </c>
      <c r="CA86" s="64">
        <f t="shared" ref="CA86:CB86" si="310">CA65/CA62</f>
        <v>0.31707629561615169</v>
      </c>
      <c r="CB86" s="64">
        <f t="shared" si="310"/>
        <v>0.33712213307399302</v>
      </c>
      <c r="CC86" s="64">
        <f t="shared" ref="CC86:CD86" si="311">CC65/CC62</f>
        <v>0.34295266223644266</v>
      </c>
      <c r="CD86" s="64">
        <f t="shared" si="311"/>
        <v>0.35145373245074496</v>
      </c>
      <c r="CE86" s="64">
        <f t="shared" ref="CE86" si="312">CE65/CE62</f>
        <v>0.32800826748767414</v>
      </c>
      <c r="CF86" s="64">
        <f t="shared" ref="CF86" si="313">CF65/CF62</f>
        <v>0.32847932191134233</v>
      </c>
      <c r="CG86" s="64">
        <f t="shared" ref="CG86" si="314">CG65/CG62</f>
        <v>0.31770066737907537</v>
      </c>
      <c r="CH86" s="64">
        <f t="shared" ref="CH86" si="315">CH65/CH62</f>
        <v>0.33454870154029315</v>
      </c>
      <c r="CI86" s="64">
        <f t="shared" ref="CI86:CJ86" si="316">CI65/CI62</f>
        <v>0.30295369057162236</v>
      </c>
      <c r="CJ86" s="64">
        <f t="shared" si="316"/>
        <v>0.30021462403789223</v>
      </c>
      <c r="CK86" s="64">
        <f t="shared" ref="CK86:CL86" si="317">CK65/CK62</f>
        <v>0.30151973342065225</v>
      </c>
      <c r="CL86" s="64">
        <f t="shared" si="317"/>
        <v>0.31075427480253448</v>
      </c>
      <c r="CM86" s="64">
        <f t="shared" ref="CM86:CN86" si="318">CM65/CM62</f>
        <v>0.29984889925979763</v>
      </c>
      <c r="CN86" s="64">
        <f t="shared" si="318"/>
        <v>0.29710008069639271</v>
      </c>
      <c r="CO86" s="64">
        <f t="shared" ref="CO86:CQ86" si="319">CO65/CO62</f>
        <v>0.27898550724637683</v>
      </c>
      <c r="CP86" s="64">
        <f t="shared" si="319"/>
        <v>0.29274270780917755</v>
      </c>
      <c r="CQ86" s="64">
        <f t="shared" si="319"/>
        <v>0.30218783996131993</v>
      </c>
      <c r="CR86" s="64">
        <f t="shared" ref="CR86" si="320">CR65/CR62</f>
        <v>0.26021210976837866</v>
      </c>
      <c r="CS86" s="64">
        <f t="shared" ref="CS86" si="321">CS65/CS62</f>
        <v>0.26668206337946848</v>
      </c>
      <c r="CT86" s="64">
        <f t="shared" ref="CT86:CU86" si="322">CT65/CT62</f>
        <v>0.28911564625850339</v>
      </c>
      <c r="CU86" s="64">
        <f t="shared" si="322"/>
        <v>0.29793209088588218</v>
      </c>
      <c r="CV86" s="64">
        <f t="shared" ref="CV86:CW86" si="323">CV65/CV62</f>
        <v>0.28141853533919947</v>
      </c>
      <c r="CW86" s="64">
        <f t="shared" si="323"/>
        <v>0.25787897600701165</v>
      </c>
      <c r="CX86" s="64">
        <f t="shared" ref="CX86:CY86" si="324">CX65/CX62</f>
        <v>0.27774869966305737</v>
      </c>
      <c r="CY86" s="64">
        <f t="shared" si="324"/>
        <v>0.26444588552510334</v>
      </c>
      <c r="CZ86" s="64">
        <f t="shared" ref="CZ86:DF86" si="325">CZ65/CZ62</f>
        <v>0.26341055387860496</v>
      </c>
      <c r="DA86" s="64">
        <f t="shared" si="325"/>
        <v>0.27333379786085082</v>
      </c>
      <c r="DB86" s="64">
        <f t="shared" si="325"/>
        <v>0.20885471969462779</v>
      </c>
      <c r="DC86" s="64">
        <f t="shared" si="325"/>
        <v>0.23157399788409544</v>
      </c>
      <c r="DD86" s="64">
        <f t="shared" si="325"/>
        <v>0.25010385756676567</v>
      </c>
      <c r="DE86" s="64">
        <f t="shared" si="325"/>
        <v>0.23296914218219408</v>
      </c>
      <c r="DF86" s="64">
        <f t="shared" si="325"/>
        <v>0.19900248753109415</v>
      </c>
      <c r="DG86" s="64">
        <f>DG65/DG62</f>
        <v>0.1994724779452248</v>
      </c>
      <c r="DH86" s="64">
        <f t="shared" ref="DH86:DN86" si="326">DH65/DH62</f>
        <v>0.27464973257910874</v>
      </c>
      <c r="DI86" s="64">
        <f t="shared" si="326"/>
        <v>0.232543398400922</v>
      </c>
      <c r="DJ86" s="64">
        <f t="shared" si="326"/>
        <v>0.22503731905394483</v>
      </c>
      <c r="DK86" s="64">
        <f t="shared" si="326"/>
        <v>0.25131461739605188</v>
      </c>
      <c r="DL86" s="64">
        <f t="shared" si="326"/>
        <v>0.24897843066259767</v>
      </c>
      <c r="DM86" s="64">
        <f t="shared" si="326"/>
        <v>0.19980937527077383</v>
      </c>
      <c r="DN86" s="64">
        <f t="shared" si="326"/>
        <v>0.20577354859403391</v>
      </c>
      <c r="DO86" s="64">
        <f t="shared" ref="DO86:DR86" si="327">DO65/DO62</f>
        <v>0.22265308682808885</v>
      </c>
      <c r="DP86" s="64">
        <f t="shared" si="327"/>
        <v>0.18732526453622114</v>
      </c>
      <c r="DQ86" s="64">
        <f t="shared" si="327"/>
        <v>0.18452984702361158</v>
      </c>
      <c r="DR86" s="64">
        <f t="shared" si="327"/>
        <v>0.2100799809474666</v>
      </c>
      <c r="DS86" s="64"/>
      <c r="DT86" s="64"/>
      <c r="DU86" s="64"/>
      <c r="DV86" s="64"/>
      <c r="EN86" s="64">
        <f t="shared" ref="EN86:FG86" si="328">EN65/EN62</f>
        <v>0.29383437956832059</v>
      </c>
      <c r="EO86" s="64">
        <f t="shared" si="328"/>
        <v>0.30691454079346014</v>
      </c>
      <c r="EP86" s="64">
        <f t="shared" si="328"/>
        <v>0.32220897894318634</v>
      </c>
      <c r="EQ86" s="64">
        <f t="shared" si="328"/>
        <v>0.30911321163143085</v>
      </c>
      <c r="ER86" s="64">
        <f t="shared" si="328"/>
        <v>0.30696245733788396</v>
      </c>
      <c r="ES86" s="64">
        <f t="shared" si="328"/>
        <v>0.30107390629454817</v>
      </c>
      <c r="ET86" s="64">
        <f t="shared" si="328"/>
        <v>0.26364165212332757</v>
      </c>
      <c r="EU86" s="64">
        <f t="shared" si="328"/>
        <v>0.33758834028714957</v>
      </c>
      <c r="EV86" s="64">
        <f t="shared" si="328"/>
        <v>0.32861448926124026</v>
      </c>
      <c r="EW86" s="64">
        <f t="shared" si="328"/>
        <v>0.32216426568252204</v>
      </c>
      <c r="EX86" s="64">
        <f t="shared" si="328"/>
        <v>0.33001637538582668</v>
      </c>
      <c r="EY86" s="64">
        <f t="shared" si="328"/>
        <v>0.34149944321978049</v>
      </c>
      <c r="EZ86" s="64">
        <f t="shared" si="328"/>
        <v>0.30882162063937763</v>
      </c>
      <c r="FA86" s="64">
        <f t="shared" si="328"/>
        <v>0.2911066135799385</v>
      </c>
      <c r="FB86" s="64">
        <f t="shared" si="328"/>
        <v>0</v>
      </c>
      <c r="FC86" s="64">
        <f t="shared" si="328"/>
        <v>0</v>
      </c>
      <c r="FD86" s="64">
        <f t="shared" si="328"/>
        <v>0.29950636320853891</v>
      </c>
      <c r="FE86" s="64">
        <f t="shared" si="328"/>
        <v>0.27800084678338632</v>
      </c>
      <c r="FF86" s="64">
        <f t="shared" ref="FF86" si="329">FF65/FF62</f>
        <v>0.27840478868064855</v>
      </c>
      <c r="FG86" s="64">
        <f t="shared" si="328"/>
        <v>0.24943866926923092</v>
      </c>
      <c r="FH86" s="64">
        <f>FH65/FH62</f>
        <v>0.22711654925225563</v>
      </c>
      <c r="FI86" s="64">
        <f t="shared" ref="FI86:FQ86" si="330">FI65/FI62</f>
        <v>0.23114493332492445</v>
      </c>
      <c r="FJ86" s="64">
        <f t="shared" si="330"/>
        <v>0.22454093528113528</v>
      </c>
      <c r="FK86" s="64">
        <f t="shared" si="330"/>
        <v>0.20020316566299137</v>
      </c>
      <c r="FL86" s="64">
        <f t="shared" si="330"/>
        <v>0.25</v>
      </c>
      <c r="FM86" s="64">
        <f t="shared" si="330"/>
        <v>0.25</v>
      </c>
      <c r="FN86" s="64">
        <f t="shared" si="330"/>
        <v>0.25</v>
      </c>
      <c r="FO86" s="64">
        <f t="shared" si="330"/>
        <v>0.25</v>
      </c>
      <c r="FP86" s="64">
        <f t="shared" si="330"/>
        <v>0.25</v>
      </c>
      <c r="FQ86" s="64">
        <f t="shared" si="330"/>
        <v>0.25</v>
      </c>
    </row>
    <row r="87" spans="1:175" x14ac:dyDescent="0.2">
      <c r="A87" s="102"/>
      <c r="B87" t="s">
        <v>60</v>
      </c>
      <c r="AP87" s="64">
        <f t="shared" ref="AP87:BZ87" si="331">AP66/AP62</f>
        <v>0.21259937364490483</v>
      </c>
      <c r="AQ87" s="64">
        <f t="shared" si="331"/>
        <v>0.2187299766684323</v>
      </c>
      <c r="AR87" s="64">
        <f t="shared" si="331"/>
        <v>0.22890083165700903</v>
      </c>
      <c r="AS87" s="64">
        <f t="shared" si="331"/>
        <v>0.2245656702582555</v>
      </c>
      <c r="AT87" s="64">
        <f t="shared" si="331"/>
        <v>0.22189349112426032</v>
      </c>
      <c r="AU87" s="64">
        <f t="shared" si="331"/>
        <v>0.21554482517889348</v>
      </c>
      <c r="AV87" s="64">
        <f t="shared" si="331"/>
        <v>0.21243935199144762</v>
      </c>
      <c r="AW87" s="64">
        <f t="shared" si="331"/>
        <v>0.20021320879232446</v>
      </c>
      <c r="AX87" s="64">
        <f t="shared" si="331"/>
        <v>0.15667359081787136</v>
      </c>
      <c r="AY87" s="64">
        <f t="shared" si="331"/>
        <v>0.19359929448351085</v>
      </c>
      <c r="AZ87" s="64">
        <f t="shared" si="331"/>
        <v>0.20372931470265629</v>
      </c>
      <c r="BA87" s="64">
        <f t="shared" si="331"/>
        <v>0.14315257742444021</v>
      </c>
      <c r="BB87" s="64">
        <f t="shared" si="331"/>
        <v>0.14306074380785214</v>
      </c>
      <c r="BC87" s="64">
        <f t="shared" si="331"/>
        <v>0.14052036271588322</v>
      </c>
      <c r="BD87" s="64">
        <f t="shared" si="331"/>
        <v>0.14194077720593723</v>
      </c>
      <c r="BE87" s="64">
        <f t="shared" si="331"/>
        <v>0.14021097853433181</v>
      </c>
      <c r="BF87" s="64">
        <f t="shared" si="331"/>
        <v>0.19884847903272238</v>
      </c>
      <c r="BG87" s="64">
        <f t="shared" si="331"/>
        <v>0.19365059896152745</v>
      </c>
      <c r="BH87" s="64">
        <f t="shared" si="331"/>
        <v>0.20346142563801703</v>
      </c>
      <c r="BI87" s="64">
        <f t="shared" si="331"/>
        <v>0.20174397698669541</v>
      </c>
      <c r="BJ87" s="64">
        <f t="shared" si="331"/>
        <v>0.2050387596899225</v>
      </c>
      <c r="BK87" s="64">
        <f t="shared" si="331"/>
        <v>0.1894266703126424</v>
      </c>
      <c r="BL87" s="64">
        <f t="shared" si="331"/>
        <v>0.20651625584914851</v>
      </c>
      <c r="BM87" s="64">
        <f t="shared" si="331"/>
        <v>0.2157105467921058</v>
      </c>
      <c r="BN87" s="64">
        <f t="shared" si="331"/>
        <v>0.23243147142487713</v>
      </c>
      <c r="BO87" s="64">
        <f t="shared" si="331"/>
        <v>0.19249212220852172</v>
      </c>
      <c r="BP87" s="64">
        <f t="shared" si="331"/>
        <v>0.20160568065506657</v>
      </c>
      <c r="BQ87" s="64">
        <f t="shared" si="331"/>
        <v>0.20834078821099203</v>
      </c>
      <c r="BR87" s="64">
        <f t="shared" si="331"/>
        <v>0.22411654788087243</v>
      </c>
      <c r="BS87" s="64">
        <f t="shared" si="331"/>
        <v>0.20553691275167782</v>
      </c>
      <c r="BT87" s="64">
        <f t="shared" si="331"/>
        <v>0.23581823051513262</v>
      </c>
      <c r="BU87" s="64">
        <f t="shared" si="331"/>
        <v>0.24672485071198896</v>
      </c>
      <c r="BV87" s="64">
        <f t="shared" si="331"/>
        <v>0.2455978379467208</v>
      </c>
      <c r="BW87" s="64">
        <f t="shared" si="331"/>
        <v>0.24064619778650481</v>
      </c>
      <c r="BX87" s="64">
        <f t="shared" si="331"/>
        <v>0.22436210938158763</v>
      </c>
      <c r="BY87" s="64">
        <f t="shared" si="331"/>
        <v>0.23860998510203374</v>
      </c>
      <c r="BZ87" s="64">
        <f t="shared" si="331"/>
        <v>0.25399394022861865</v>
      </c>
      <c r="CA87" s="64">
        <f t="shared" ref="CA87:CB87" si="332">CA66/CA62</f>
        <v>0.23687301146676343</v>
      </c>
      <c r="CB87" s="64">
        <f t="shared" si="332"/>
        <v>0.24219952994570063</v>
      </c>
      <c r="CC87" s="64">
        <f t="shared" ref="CC87:CD87" si="333">CC66/CC62</f>
        <v>0.25498400196898841</v>
      </c>
      <c r="CD87" s="64">
        <f t="shared" si="333"/>
        <v>0.2315232460508074</v>
      </c>
      <c r="CE87" s="64">
        <f t="shared" ref="CE87" si="334">CE66/CE62</f>
        <v>0.22376041509677697</v>
      </c>
      <c r="CF87" s="64">
        <f t="shared" ref="CF87" si="335">CF66/CF62</f>
        <v>0.23490067688352381</v>
      </c>
      <c r="CG87" s="64">
        <f t="shared" ref="CG87" si="336">CG66/CG62</f>
        <v>0.230538137387342</v>
      </c>
      <c r="CH87" s="64">
        <f t="shared" ref="CH87" si="337">CH66/CH62</f>
        <v>0.26865838232011308</v>
      </c>
      <c r="CI87" s="64">
        <f t="shared" ref="CI87:CJ87" si="338">CI66/CI62</f>
        <v>0.25097120305851883</v>
      </c>
      <c r="CJ87" s="64">
        <f t="shared" si="338"/>
        <v>0.24716918294849025</v>
      </c>
      <c r="CK87" s="64">
        <f t="shared" ref="CK87:CL87" si="339">CK66/CK62</f>
        <v>0.23814935377621976</v>
      </c>
      <c r="CL87" s="64">
        <f t="shared" si="339"/>
        <v>0.25181841854005726</v>
      </c>
      <c r="CM87" s="64">
        <f t="shared" ref="CM87:CN87" si="340">CM66/CM62</f>
        <v>0.24067096379320235</v>
      </c>
      <c r="CN87" s="64">
        <f t="shared" si="340"/>
        <v>0.21841251309170198</v>
      </c>
      <c r="CO87" s="64">
        <f t="shared" ref="CO87:CQ87" si="341">CO66/CO62</f>
        <v>0.23683280311063981</v>
      </c>
      <c r="CP87" s="64">
        <f t="shared" si="341"/>
        <v>0.24135244371581155</v>
      </c>
      <c r="CQ87" s="64">
        <f t="shared" si="341"/>
        <v>0.23709657923365166</v>
      </c>
      <c r="CR87" s="64">
        <f t="shared" ref="CR87" si="342">CR66/CR62</f>
        <v>0.20976523162134944</v>
      </c>
      <c r="CS87" s="64">
        <f t="shared" ref="CS87" si="343">CS66/CS62</f>
        <v>0.22159718900014846</v>
      </c>
      <c r="CT87" s="64">
        <f t="shared" ref="CT87:CU87" si="344">CT66/CT62</f>
        <v>0.22579442735998506</v>
      </c>
      <c r="CU87" s="64">
        <f t="shared" si="344"/>
        <v>0.2416488285776007</v>
      </c>
      <c r="CV87" s="64">
        <f t="shared" ref="CV87:CW87" si="345">CV66/CV62</f>
        <v>0.24875816065852963</v>
      </c>
      <c r="CW87" s="64">
        <f t="shared" si="345"/>
        <v>0.25214549172844464</v>
      </c>
      <c r="CX87" s="64">
        <f t="shared" ref="CX87:CY87" si="346">CX66/CX62</f>
        <v>0.25866073473126372</v>
      </c>
      <c r="CY87" s="64">
        <f t="shared" si="346"/>
        <v>0.23756783507969564</v>
      </c>
      <c r="CZ87" s="64">
        <f t="shared" ref="CZ87:DF87" si="347">CZ66/CZ62</f>
        <v>0.25279121358693685</v>
      </c>
      <c r="DA87" s="64">
        <f t="shared" si="347"/>
        <v>0.25526948402606009</v>
      </c>
      <c r="DB87" s="64">
        <f t="shared" si="347"/>
        <v>0.24703969032674294</v>
      </c>
      <c r="DC87" s="64">
        <f t="shared" si="347"/>
        <v>0.24569472199365225</v>
      </c>
      <c r="DD87" s="64">
        <f t="shared" si="347"/>
        <v>0.24818991097922857</v>
      </c>
      <c r="DE87" s="64">
        <f t="shared" si="347"/>
        <v>0.25231064520891783</v>
      </c>
      <c r="DF87" s="64">
        <f t="shared" si="347"/>
        <v>0.24492806160077002</v>
      </c>
      <c r="DG87" s="64">
        <f>DG66/DG62</f>
        <v>0.20615613116349343</v>
      </c>
      <c r="DH87" s="64">
        <f t="shared" ref="DH87:DN87" si="348">DH66/DH62</f>
        <v>0.25048166587031234</v>
      </c>
      <c r="DI87" s="64">
        <f t="shared" si="348"/>
        <v>0.25972772455521143</v>
      </c>
      <c r="DJ87" s="64">
        <f t="shared" si="348"/>
        <v>0.27333981566441606</v>
      </c>
      <c r="DK87" s="64">
        <f t="shared" si="348"/>
        <v>0.28520732162868884</v>
      </c>
      <c r="DL87" s="64">
        <f t="shared" si="348"/>
        <v>0.3047250814669219</v>
      </c>
      <c r="DM87" s="64">
        <f t="shared" si="348"/>
        <v>0.22316709371557311</v>
      </c>
      <c r="DN87" s="64">
        <f t="shared" si="348"/>
        <v>0.27399764781353564</v>
      </c>
      <c r="DO87" s="64">
        <f t="shared" ref="DO87:DR87" si="349">DO66/DO62</f>
        <v>0.28773138379771668</v>
      </c>
      <c r="DP87" s="64">
        <f t="shared" si="349"/>
        <v>0.2398697667834519</v>
      </c>
      <c r="DQ87" s="64">
        <f t="shared" si="349"/>
        <v>0.20610138842700371</v>
      </c>
      <c r="DR87" s="64">
        <f t="shared" si="349"/>
        <v>0.27973187528529186</v>
      </c>
      <c r="DS87" s="64"/>
      <c r="DT87" s="64"/>
      <c r="DU87" s="64"/>
      <c r="DV87" s="64"/>
      <c r="FE87" s="53"/>
      <c r="FF87" s="64">
        <f t="shared" ref="FF87" si="350">+FF66/FF62</f>
        <v>0.25067990483572516</v>
      </c>
      <c r="FG87" s="64">
        <f t="shared" ref="FG87" si="351">+FG66/FG62</f>
        <v>0.24799204560735785</v>
      </c>
      <c r="FH87" s="64">
        <f t="shared" ref="FH87" si="352">+FH66/FH62</f>
        <v>0.2476543602238819</v>
      </c>
      <c r="FI87" s="64">
        <f>+FI66/FI62</f>
        <v>0.24644901791783161</v>
      </c>
      <c r="FJ87" s="64">
        <f>+FJ66/FJ62</f>
        <v>0.27104040143065705</v>
      </c>
    </row>
    <row r="88" spans="1:175" x14ac:dyDescent="0.2">
      <c r="A88" s="102"/>
      <c r="B88" t="s">
        <v>206</v>
      </c>
      <c r="AP88" s="64">
        <f t="shared" ref="AP88:BB88" si="353">AP71/AP70</f>
        <v>0.31935573451818922</v>
      </c>
      <c r="AQ88" s="64">
        <f t="shared" si="353"/>
        <v>0.31638030092874975</v>
      </c>
      <c r="AR88" s="64">
        <f t="shared" si="353"/>
        <v>0.34428978701995655</v>
      </c>
      <c r="AS88" s="64">
        <f t="shared" si="353"/>
        <v>0.29423607160050752</v>
      </c>
      <c r="AT88" s="64">
        <f t="shared" si="353"/>
        <v>0.23286362550752307</v>
      </c>
      <c r="AU88" s="64">
        <f t="shared" si="353"/>
        <v>0.2848710381111253</v>
      </c>
      <c r="AV88" s="64">
        <f t="shared" si="353"/>
        <v>0.2667153818048959</v>
      </c>
      <c r="AW88" s="64">
        <f t="shared" si="353"/>
        <v>0.23525647861789473</v>
      </c>
      <c r="AX88" s="64">
        <f t="shared" si="353"/>
        <v>9.6808646985944338E-2</v>
      </c>
      <c r="AY88" s="64">
        <f t="shared" si="353"/>
        <v>0.20547180346175317</v>
      </c>
      <c r="AZ88" s="64">
        <f t="shared" si="353"/>
        <v>0.32179549902152643</v>
      </c>
      <c r="BA88" s="64">
        <f t="shared" si="353"/>
        <v>0.10236373532384734</v>
      </c>
      <c r="BB88" s="64">
        <f t="shared" si="353"/>
        <v>7.2875239357784644E-2</v>
      </c>
      <c r="BC88" s="64">
        <v>0.22</v>
      </c>
      <c r="BD88" s="64">
        <v>0.22</v>
      </c>
      <c r="BE88" s="64">
        <v>0.22</v>
      </c>
      <c r="BF88" s="64">
        <v>0.22</v>
      </c>
      <c r="BG88" s="64">
        <f t="shared" ref="BG88:BZ88" si="354">BG71/BG70</f>
        <v>0.24231121580944903</v>
      </c>
      <c r="BH88" s="64">
        <f t="shared" si="354"/>
        <v>0.24831347782402755</v>
      </c>
      <c r="BI88" s="64">
        <f t="shared" si="354"/>
        <v>7.8861236336688664E-2</v>
      </c>
      <c r="BJ88" s="64">
        <f t="shared" si="354"/>
        <v>0.21005613091944028</v>
      </c>
      <c r="BK88" s="64">
        <f t="shared" si="354"/>
        <v>0.27264573991031388</v>
      </c>
      <c r="BL88" s="64">
        <f t="shared" si="354"/>
        <v>0.22206943966998971</v>
      </c>
      <c r="BM88" s="64">
        <f t="shared" si="354"/>
        <v>0.21555204493593119</v>
      </c>
      <c r="BN88" s="64">
        <f t="shared" si="354"/>
        <v>0.16120365394948946</v>
      </c>
      <c r="BO88" s="64">
        <f t="shared" si="354"/>
        <v>0.20900931998619257</v>
      </c>
      <c r="BP88" s="64">
        <f t="shared" si="354"/>
        <v>0.20076941572493406</v>
      </c>
      <c r="BQ88" s="64">
        <f t="shared" si="354"/>
        <v>0.17926565874730019</v>
      </c>
      <c r="BR88" s="64">
        <f t="shared" si="354"/>
        <v>0.19874390546235837</v>
      </c>
      <c r="BS88" s="64">
        <f t="shared" si="354"/>
        <v>0.24435454211107024</v>
      </c>
      <c r="BT88" s="64">
        <f t="shared" si="354"/>
        <v>0.22108814846056535</v>
      </c>
      <c r="BU88" s="64">
        <f t="shared" si="354"/>
        <v>0.22108127084430404</v>
      </c>
      <c r="BV88" s="64">
        <f t="shared" si="354"/>
        <v>0.15225254850378164</v>
      </c>
      <c r="BW88" s="64">
        <f t="shared" si="354"/>
        <v>0.27284418573169084</v>
      </c>
      <c r="BX88" s="64">
        <f t="shared" si="354"/>
        <v>0.1955778003041054</v>
      </c>
      <c r="BY88" s="64">
        <f t="shared" si="354"/>
        <v>0.20503502048367916</v>
      </c>
      <c r="BZ88" s="64">
        <f t="shared" si="354"/>
        <v>0.18196328810853948</v>
      </c>
      <c r="CA88" s="64">
        <f t="shared" ref="CA88:CB88" si="355">CA71/CA70</f>
        <v>0.20106146630461597</v>
      </c>
      <c r="CB88" s="64">
        <f t="shared" si="355"/>
        <v>0.24843900096061469</v>
      </c>
      <c r="CC88" s="64">
        <f t="shared" ref="CC88:CD88" si="356">CC71/CC70</f>
        <v>0.25825275091697225</v>
      </c>
      <c r="CD88" s="64">
        <f t="shared" si="356"/>
        <v>0.11416689026026296</v>
      </c>
      <c r="CE88" s="64">
        <f t="shared" ref="CE88" si="357">CE71/CE70</f>
        <v>0.1109855618330195</v>
      </c>
      <c r="CF88" s="64">
        <f t="shared" ref="CF88" si="358">CF71/CF70</f>
        <v>6.2460417986067156E-2</v>
      </c>
      <c r="CG88" s="64">
        <f t="shared" ref="CG88" si="359">CG71/CG70</f>
        <v>0.27049716528565215</v>
      </c>
      <c r="CH88" s="64">
        <f t="shared" ref="CH88" si="360">CH71/CH70</f>
        <v>0</v>
      </c>
      <c r="CI88" s="64">
        <f t="shared" ref="CI88:CJ88" si="361">CI71/CI70</f>
        <v>0.12718329652680183</v>
      </c>
      <c r="CJ88" s="64">
        <f t="shared" si="361"/>
        <v>0.17466938847963084</v>
      </c>
      <c r="CK88" s="64">
        <f t="shared" ref="CK88:CL88" si="362">CK71/CK70</f>
        <v>0.20035350384695372</v>
      </c>
      <c r="CL88" s="64">
        <f t="shared" si="362"/>
        <v>0.11579961464354525</v>
      </c>
      <c r="CM88" s="64">
        <f t="shared" ref="CM88:CN88" si="363">CM71/CM70</f>
        <v>0.17621145374449337</v>
      </c>
      <c r="CN88" s="64">
        <f t="shared" si="363"/>
        <v>0.212238379423384</v>
      </c>
      <c r="CO88" s="64">
        <f t="shared" ref="CO88:CQ88" si="364">CO71/CO70</f>
        <v>3.2629384573552078E-2</v>
      </c>
      <c r="CP88" s="64">
        <f t="shared" si="364"/>
        <v>0</v>
      </c>
      <c r="CQ88" s="64">
        <f t="shared" si="364"/>
        <v>0.34500848634469994</v>
      </c>
      <c r="CR88" s="64">
        <f t="shared" ref="CR88" si="365">CR71/CR70</f>
        <v>0.16262210481046876</v>
      </c>
      <c r="CS88" s="64">
        <f t="shared" ref="CS88" si="366">CS71/CS70</f>
        <v>0.16815638865667804</v>
      </c>
      <c r="CT88" s="64">
        <f t="shared" ref="CT88:CU88" si="367">CT71/CT70</f>
        <v>0</v>
      </c>
      <c r="CU88" s="64">
        <f t="shared" si="367"/>
        <v>0.14349424927626972</v>
      </c>
      <c r="CV88" s="64">
        <f t="shared" ref="CV88:CW88" si="368">CV71/CV70</f>
        <v>0.10414560161779569</v>
      </c>
      <c r="CW88" s="64">
        <f t="shared" si="368"/>
        <v>0.12210997355752924</v>
      </c>
      <c r="CX88" s="64">
        <f t="shared" ref="CX88:CY88" si="369">CX71/CX70</f>
        <v>0.10997240835632641</v>
      </c>
      <c r="CY88" s="64">
        <f t="shared" si="369"/>
        <v>0.14963763811334227</v>
      </c>
      <c r="CZ88" s="64">
        <f t="shared" ref="CZ88:DF88" si="370">CZ71/CZ70</f>
        <v>0.15867689357622258</v>
      </c>
      <c r="DA88" s="64">
        <f t="shared" si="370"/>
        <v>0.18152418447694052</v>
      </c>
      <c r="DB88" s="64">
        <f t="shared" si="370"/>
        <v>0.15692650334075731</v>
      </c>
      <c r="DC88" s="64">
        <f t="shared" si="370"/>
        <v>7.4556151403134235E-2</v>
      </c>
      <c r="DD88" s="64">
        <f t="shared" si="370"/>
        <v>0.1070977917981074</v>
      </c>
      <c r="DE88" s="64">
        <f t="shared" si="370"/>
        <v>0.1475739883229315</v>
      </c>
      <c r="DF88" s="64">
        <f t="shared" si="370"/>
        <v>4.903059026281776E-2</v>
      </c>
      <c r="DG88" s="64">
        <f>DG71/DG70</f>
        <v>9.7358034349109293E-2</v>
      </c>
      <c r="DH88" s="64">
        <f t="shared" ref="DH88:DN88" si="371">DH71/DH70</f>
        <v>9.9000475963826662E-2</v>
      </c>
      <c r="DI88" s="64">
        <f t="shared" si="371"/>
        <v>6.2040015264678644E-2</v>
      </c>
      <c r="DJ88" s="64">
        <f t="shared" si="371"/>
        <v>7.6709333576276545E-2</v>
      </c>
      <c r="DK88" s="64">
        <f t="shared" si="371"/>
        <v>0.10939442372580366</v>
      </c>
      <c r="DL88" s="64">
        <f t="shared" si="371"/>
        <v>0.18023352332466389</v>
      </c>
      <c r="DM88" s="64">
        <f t="shared" si="371"/>
        <v>0.1</v>
      </c>
      <c r="DN88" s="64">
        <f t="shared" si="371"/>
        <v>0.10587941424423128</v>
      </c>
      <c r="DO88" s="64">
        <f t="shared" ref="DO88:DR88" si="372">DO71/DO70</f>
        <v>0.11703583182339236</v>
      </c>
      <c r="DP88" s="64">
        <f t="shared" si="372"/>
        <v>0.16435839457320528</v>
      </c>
      <c r="DQ88" s="64">
        <f t="shared" si="372"/>
        <v>0.15</v>
      </c>
      <c r="DR88" s="64">
        <f t="shared" si="372"/>
        <v>0.15</v>
      </c>
      <c r="DS88" s="64"/>
      <c r="DT88" s="64"/>
      <c r="DU88" s="64"/>
      <c r="DV88" s="64"/>
      <c r="FE88" s="53"/>
      <c r="FF88" s="79">
        <f t="shared" ref="FF88" si="373">+FF71/FF70</f>
        <v>0.10710881217671239</v>
      </c>
      <c r="FG88" s="79">
        <f t="shared" ref="FG88" si="374">+FG71/FG70</f>
        <v>0.14657967364218533</v>
      </c>
      <c r="FH88" s="79">
        <f t="shared" ref="FH88" si="375">+FH71/FH70</f>
        <v>8.8339719478328124E-2</v>
      </c>
      <c r="FI88" s="79">
        <f>+FI71/FI70</f>
        <v>8.5151237396883531E-2</v>
      </c>
      <c r="FJ88" s="79">
        <f t="shared" ref="FJ88:FQ88" si="376">+FJ71/FJ70</f>
        <v>0.11852228542933881</v>
      </c>
      <c r="FK88" s="79">
        <f t="shared" si="376"/>
        <v>0.14000000000000001</v>
      </c>
      <c r="FL88" s="79">
        <f t="shared" si="376"/>
        <v>0.2</v>
      </c>
      <c r="FM88" s="79">
        <f t="shared" si="376"/>
        <v>0.2</v>
      </c>
      <c r="FN88" s="79">
        <f t="shared" si="376"/>
        <v>0.19999999999999998</v>
      </c>
      <c r="FO88" s="79">
        <f t="shared" si="376"/>
        <v>0.19999999999999998</v>
      </c>
      <c r="FP88" s="79">
        <f t="shared" si="376"/>
        <v>0.2</v>
      </c>
      <c r="FQ88" s="79">
        <f t="shared" si="376"/>
        <v>0.2</v>
      </c>
      <c r="FR88" s="52" t="s">
        <v>268</v>
      </c>
      <c r="FS88" s="66">
        <v>7.0000000000000007E-2</v>
      </c>
    </row>
    <row r="89" spans="1:175" x14ac:dyDescent="0.2">
      <c r="A89" s="102"/>
      <c r="FR89" s="47" t="s">
        <v>242</v>
      </c>
      <c r="FS89" s="63">
        <v>0.02</v>
      </c>
    </row>
    <row r="90" spans="1:175" x14ac:dyDescent="0.2">
      <c r="A90" s="102"/>
      <c r="B90" t="s">
        <v>187</v>
      </c>
      <c r="BJ90" s="51">
        <f>4498-6662+1155.8</f>
        <v>-1008.2</v>
      </c>
      <c r="BK90" s="51">
        <f>+BJ90+BK72</f>
        <v>289.39999999999986</v>
      </c>
      <c r="BO90" s="51">
        <f>+BO92-BO105</f>
        <v>1939.5</v>
      </c>
      <c r="BP90" s="51">
        <f t="shared" ref="BP90" si="377">+BP92-BP105</f>
        <v>2544.1999999999989</v>
      </c>
      <c r="BQ90" s="51">
        <f t="shared" ref="BQ90" si="378">+BQ92-BQ105</f>
        <v>2923.8999999999996</v>
      </c>
      <c r="BR90" s="51">
        <f>+BR92-BR105</f>
        <v>3939.9000000000015</v>
      </c>
      <c r="BS90" s="51">
        <f>+BS92-BS105</f>
        <v>4031.9000000000005</v>
      </c>
      <c r="BT90" s="51">
        <f>+BT92-BT105</f>
        <v>4299.8</v>
      </c>
      <c r="BU90" s="51">
        <f>+BU92-BU105</f>
        <v>6604.2000000000007</v>
      </c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>
        <f t="shared" ref="CU90:CX90" si="379">+CU92-CU105</f>
        <v>-11716.6</v>
      </c>
      <c r="CV90" s="51">
        <f t="shared" si="379"/>
        <v>-11565.600000000002</v>
      </c>
      <c r="CW90" s="51">
        <f t="shared" si="379"/>
        <v>-11747</v>
      </c>
      <c r="CX90" s="51">
        <f t="shared" si="379"/>
        <v>-10916.3</v>
      </c>
      <c r="CY90" s="51">
        <f t="shared" ref="CY90:DB90" si="380">+CY92-CY105</f>
        <v>-13304.199999999999</v>
      </c>
      <c r="CZ90" s="51">
        <f t="shared" si="380"/>
        <v>-11533.899999999998</v>
      </c>
      <c r="DA90" s="51">
        <f t="shared" si="380"/>
        <v>-10815.599999999999</v>
      </c>
      <c r="DB90" s="51">
        <f t="shared" si="380"/>
        <v>-9947.1999999999989</v>
      </c>
      <c r="DC90" s="51">
        <f t="shared" ref="DC90" si="381">+DC92-DC105</f>
        <v>-9920.7000000000007</v>
      </c>
      <c r="DD90" s="51">
        <f t="shared" ref="DD90" si="382">+DD92-DD105</f>
        <v>-9768.9999999999982</v>
      </c>
      <c r="DE90" s="51">
        <f t="shared" ref="DE90:DR90" si="383">+DE92-DE105</f>
        <v>-9909.6000000000022</v>
      </c>
      <c r="DF90" s="51">
        <f t="shared" si="383"/>
        <v>-9763.5</v>
      </c>
      <c r="DG90" s="51">
        <f t="shared" si="383"/>
        <v>-11213.199999999999</v>
      </c>
      <c r="DH90" s="51">
        <f t="shared" si="383"/>
        <v>-11489.9</v>
      </c>
      <c r="DI90" s="51">
        <f t="shared" si="383"/>
        <v>-10571.7</v>
      </c>
      <c r="DJ90" s="51">
        <f t="shared" si="383"/>
        <v>-11125</v>
      </c>
      <c r="DK90" s="51">
        <f t="shared" si="383"/>
        <v>-12463.899999999998</v>
      </c>
      <c r="DL90" s="51">
        <f t="shared" si="383"/>
        <v>-13245.8</v>
      </c>
      <c r="DM90" s="51">
        <f t="shared" si="383"/>
        <v>-14982.699999999999</v>
      </c>
      <c r="DN90" s="51">
        <f t="shared" si="383"/>
        <v>-19245.400000000001</v>
      </c>
      <c r="DO90" s="51">
        <f t="shared" si="383"/>
        <v>-20538.2</v>
      </c>
      <c r="DP90" s="51">
        <f t="shared" si="383"/>
        <v>-22650.400000000001</v>
      </c>
      <c r="DQ90" s="51">
        <f t="shared" si="383"/>
        <v>0</v>
      </c>
      <c r="DR90" s="51">
        <f t="shared" si="383"/>
        <v>0</v>
      </c>
      <c r="DS90" s="51"/>
      <c r="DT90" s="51"/>
      <c r="DU90" s="51"/>
      <c r="DV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F90" s="49">
        <f>+CX90</f>
        <v>-10916.3</v>
      </c>
      <c r="FG90" s="49">
        <f>+DB90</f>
        <v>-9947.1999999999989</v>
      </c>
      <c r="FH90" s="49">
        <f>+DF90</f>
        <v>-9763.5</v>
      </c>
      <c r="FI90" s="49">
        <f>+DJ90</f>
        <v>-11125</v>
      </c>
      <c r="FJ90" s="49">
        <f>+DN90</f>
        <v>-19245.400000000001</v>
      </c>
      <c r="FK90" s="49">
        <f t="shared" ref="FK90:FQ90" si="384">+FJ90+FK72</f>
        <v>-7193.6197199999951</v>
      </c>
      <c r="FL90" s="49">
        <f t="shared" si="384"/>
        <v>12761.953591680009</v>
      </c>
      <c r="FM90" s="49">
        <f t="shared" si="384"/>
        <v>38307.802688974094</v>
      </c>
      <c r="FN90" s="49">
        <f t="shared" si="384"/>
        <v>71146.653645558239</v>
      </c>
      <c r="FO90" s="49">
        <f t="shared" si="384"/>
        <v>110032.76210535111</v>
      </c>
      <c r="FP90" s="49">
        <f t="shared" si="384"/>
        <v>153767.1900913362</v>
      </c>
      <c r="FQ90" s="49">
        <f t="shared" si="384"/>
        <v>201832.33808663872</v>
      </c>
      <c r="FR90" s="47" t="s">
        <v>241</v>
      </c>
      <c r="FS90" s="63">
        <v>7.0000000000000007E-2</v>
      </c>
    </row>
    <row r="91" spans="1:175" x14ac:dyDescent="0.2">
      <c r="A91" s="102"/>
      <c r="FR91" s="47" t="s">
        <v>243</v>
      </c>
      <c r="FS91" s="51">
        <f>NPV(FS90,FL72:IS72)+Main!J5-Main!J6</f>
        <v>775730.08911687066</v>
      </c>
    </row>
    <row r="92" spans="1:175" s="49" customFormat="1" x14ac:dyDescent="0.2">
      <c r="A92" s="98"/>
      <c r="B92" s="49" t="s">
        <v>174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>
        <f>5993.2+733.8+1779.5</f>
        <v>8506.5</v>
      </c>
      <c r="BO92" s="51">
        <f>6506.4+206.7+1898.7</f>
        <v>8611.7999999999993</v>
      </c>
      <c r="BP92" s="51">
        <f>6113.5+216.3+2943</f>
        <v>9272.7999999999993</v>
      </c>
      <c r="BQ92" s="51">
        <f>6597.7+186.6+3219.6</f>
        <v>10003.9</v>
      </c>
      <c r="BR92" s="51">
        <f>5922.5+974.6+4029.8</f>
        <v>10926.900000000001</v>
      </c>
      <c r="BS92" s="51">
        <f>4122.2+802.4+4521.1</f>
        <v>9445.7000000000007</v>
      </c>
      <c r="BT92" s="51">
        <f>4345.8+915.7+4547.6</f>
        <v>9809.1</v>
      </c>
      <c r="BU92" s="51">
        <f>5319.2+1580.7+5224.3</f>
        <v>12124.2</v>
      </c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>
        <f>2036.4+100.7+2111.4</f>
        <v>4248.5</v>
      </c>
      <c r="CV92" s="51">
        <f>2290.2+77.7+1852.7</f>
        <v>4220.5999999999995</v>
      </c>
      <c r="CW92" s="51">
        <f>1563.8+89.2+1825.3</f>
        <v>3478.3</v>
      </c>
      <c r="CX92" s="51">
        <f>2337.5+101+1962.4</f>
        <v>4400.8999999999996</v>
      </c>
      <c r="CY92" s="51">
        <f>1699+78.4+2148.7</f>
        <v>3926.1</v>
      </c>
      <c r="CZ92" s="51">
        <f>2365.1+22.8+2406.4</f>
        <v>4794.3</v>
      </c>
      <c r="DA92" s="51">
        <f>3595.3+35+2476.2</f>
        <v>6106.5</v>
      </c>
      <c r="DB92" s="51">
        <f>3657.1+24.2+2966.8</f>
        <v>6648.1</v>
      </c>
      <c r="DC92" s="51">
        <f>3002.4+49+3232.4</f>
        <v>6283.8</v>
      </c>
      <c r="DD92" s="51">
        <f>3220+51.2+3474.9</f>
        <v>6746.1</v>
      </c>
      <c r="DE92" s="51">
        <f>3788.2+37.1+3350.5</f>
        <v>7175.7999999999993</v>
      </c>
      <c r="DF92" s="51">
        <f>3818.5+90.1+3212.6</f>
        <v>7121.2</v>
      </c>
      <c r="DG92" s="51">
        <f>2459.2+109.1+2727.3</f>
        <v>5295.6</v>
      </c>
      <c r="DH92" s="51">
        <f>2622.9+113.8+2587.2</f>
        <v>5323.9</v>
      </c>
      <c r="DI92" s="51">
        <f>2617.4+124.7+2574.6</f>
        <v>5316.7</v>
      </c>
      <c r="DJ92" s="51">
        <f>2067+144.8+2901.8</f>
        <v>5113.6000000000004</v>
      </c>
      <c r="DK92" s="51">
        <f>3545.9+123.4+2750.4</f>
        <v>6419.7000000000007</v>
      </c>
      <c r="DL92" s="51">
        <f>2694.5+134.6+2745.1</f>
        <v>5574.2</v>
      </c>
      <c r="DM92" s="51">
        <f>2380.8+113.1+2691.7</f>
        <v>5185.6000000000004</v>
      </c>
      <c r="DN92" s="51">
        <f>2818.6+109.1+3052.2</f>
        <v>5979.9</v>
      </c>
      <c r="DO92" s="51">
        <f>2460.2+126.1+3086.9</f>
        <v>5673.2</v>
      </c>
      <c r="DP92" s="51">
        <f>3223.6+140.4+2877.6</f>
        <v>6241.6</v>
      </c>
      <c r="DQ92" s="51"/>
      <c r="DR92" s="51"/>
      <c r="DS92" s="51"/>
      <c r="DT92" s="51"/>
      <c r="DU92" s="51"/>
      <c r="DV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F92" s="49">
        <f t="shared" ref="FF92:FF116" si="385">+CX92</f>
        <v>4400.8999999999996</v>
      </c>
      <c r="FG92" s="49">
        <f t="shared" ref="FG92:FG103" si="386">+DB92</f>
        <v>6648.1</v>
      </c>
      <c r="FH92" s="49">
        <f t="shared" ref="FH92:FH118" si="387">+DF92</f>
        <v>7121.2</v>
      </c>
      <c r="FI92" s="49">
        <f t="shared" ref="FI92:FI118" si="388">+DJ92</f>
        <v>5113.6000000000004</v>
      </c>
      <c r="FJ92" s="49">
        <f>+DN92</f>
        <v>5979.9</v>
      </c>
      <c r="FR92" s="60" t="s">
        <v>264</v>
      </c>
      <c r="FS92" s="65">
        <f>+FS91/Main!J3</f>
        <v>816.1921815181139</v>
      </c>
    </row>
    <row r="93" spans="1:175" s="49" customFormat="1" x14ac:dyDescent="0.2">
      <c r="A93" s="98"/>
      <c r="B93" s="50" t="s">
        <v>284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>
        <v>3493.8</v>
      </c>
      <c r="BO93" s="51">
        <v>3694.3</v>
      </c>
      <c r="BP93" s="51">
        <v>3833.6</v>
      </c>
      <c r="BQ93" s="51">
        <v>3533.2</v>
      </c>
      <c r="BR93" s="51">
        <v>3597.7</v>
      </c>
      <c r="BS93" s="51">
        <v>3402.1</v>
      </c>
      <c r="BT93" s="51">
        <v>3181.7</v>
      </c>
      <c r="BU93" s="51">
        <v>3268.2</v>
      </c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>
        <v>4200.5</v>
      </c>
      <c r="CV93" s="51">
        <v>4612.5</v>
      </c>
      <c r="CW93" s="51">
        <v>4441.7</v>
      </c>
      <c r="CX93" s="51">
        <v>4547.3</v>
      </c>
      <c r="CY93" s="51">
        <v>5106.1000000000004</v>
      </c>
      <c r="CZ93" s="51">
        <v>4828.8999999999996</v>
      </c>
      <c r="DA93" s="51">
        <v>4886.7</v>
      </c>
      <c r="DB93" s="51">
        <v>5875.3</v>
      </c>
      <c r="DC93" s="51">
        <v>5592.8</v>
      </c>
      <c r="DD93" s="51">
        <v>5829.4</v>
      </c>
      <c r="DE93" s="51">
        <v>5914.3</v>
      </c>
      <c r="DF93" s="51">
        <v>6672.8</v>
      </c>
      <c r="DG93" s="51">
        <v>6322.5</v>
      </c>
      <c r="DH93" s="51">
        <v>6364.5</v>
      </c>
      <c r="DI93" s="51">
        <v>6715.3</v>
      </c>
      <c r="DJ93" s="51">
        <v>6896</v>
      </c>
      <c r="DK93" s="51">
        <v>7526.2</v>
      </c>
      <c r="DL93" s="51">
        <v>7516.1</v>
      </c>
      <c r="DM93" s="51">
        <v>8167.1</v>
      </c>
      <c r="DN93" s="51">
        <v>9090.5</v>
      </c>
      <c r="DO93" s="51">
        <v>7885.6</v>
      </c>
      <c r="DP93" s="51">
        <v>11027.9</v>
      </c>
      <c r="DQ93" s="51"/>
      <c r="DR93" s="51"/>
      <c r="DS93" s="51"/>
      <c r="DT93" s="51"/>
      <c r="DU93" s="51"/>
      <c r="DV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F93" s="49">
        <f t="shared" si="385"/>
        <v>4547.3</v>
      </c>
      <c r="FG93" s="49">
        <f t="shared" si="386"/>
        <v>5875.3</v>
      </c>
      <c r="FH93" s="49">
        <f t="shared" si="387"/>
        <v>6672.8</v>
      </c>
      <c r="FI93" s="49">
        <f t="shared" si="388"/>
        <v>6896</v>
      </c>
      <c r="FJ93" s="49">
        <f t="shared" ref="FJ93:FJ116" si="389">+DN93</f>
        <v>9090.5</v>
      </c>
    </row>
    <row r="94" spans="1:175" s="49" customFormat="1" x14ac:dyDescent="0.2">
      <c r="A94" s="98"/>
      <c r="B94" s="50" t="s">
        <v>285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>
        <v>664.3</v>
      </c>
      <c r="BO94" s="51">
        <v>488.8</v>
      </c>
      <c r="BP94" s="51">
        <v>612.9</v>
      </c>
      <c r="BQ94" s="51">
        <v>564.4</v>
      </c>
      <c r="BR94" s="51">
        <v>640.20000000000005</v>
      </c>
      <c r="BS94" s="51">
        <v>529.20000000000005</v>
      </c>
      <c r="BT94" s="51">
        <v>590</v>
      </c>
      <c r="BU94" s="51">
        <v>527.29999999999995</v>
      </c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>
        <v>977.5</v>
      </c>
      <c r="CV94" s="51">
        <v>977.5</v>
      </c>
      <c r="CW94" s="51">
        <v>1096.2</v>
      </c>
      <c r="CX94" s="51">
        <v>994.2</v>
      </c>
      <c r="CY94" s="51">
        <v>1246.4000000000001</v>
      </c>
      <c r="CZ94" s="51">
        <v>946.7</v>
      </c>
      <c r="DA94" s="51">
        <v>958.1</v>
      </c>
      <c r="DB94" s="51">
        <v>1053.7</v>
      </c>
      <c r="DC94" s="51">
        <v>1065.8</v>
      </c>
      <c r="DD94" s="51">
        <v>1073.4000000000001</v>
      </c>
      <c r="DE94" s="51">
        <v>1110.7</v>
      </c>
      <c r="DF94" s="51">
        <v>1454.4</v>
      </c>
      <c r="DG94" s="51">
        <v>1483.2</v>
      </c>
      <c r="DH94" s="51">
        <v>1307.9000000000001</v>
      </c>
      <c r="DI94" s="51">
        <v>1609.5</v>
      </c>
      <c r="DJ94" s="51">
        <v>1662.9</v>
      </c>
      <c r="DK94" s="51">
        <v>1495.9</v>
      </c>
      <c r="DL94" s="51">
        <v>1655.3</v>
      </c>
      <c r="DM94" s="51">
        <v>2196.6999999999998</v>
      </c>
      <c r="DN94" s="51">
        <v>2245.6999999999998</v>
      </c>
      <c r="DO94" s="51">
        <v>2127.9</v>
      </c>
      <c r="DP94" s="51">
        <v>2051.1</v>
      </c>
      <c r="DQ94" s="51"/>
      <c r="DR94" s="51"/>
      <c r="DS94" s="51"/>
      <c r="DT94" s="51"/>
      <c r="DU94" s="51"/>
      <c r="DV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F94" s="49">
        <f t="shared" si="385"/>
        <v>994.2</v>
      </c>
      <c r="FG94" s="49">
        <f t="shared" si="386"/>
        <v>1053.7</v>
      </c>
      <c r="FH94" s="49">
        <f t="shared" si="387"/>
        <v>1454.4</v>
      </c>
      <c r="FI94" s="49">
        <f t="shared" si="388"/>
        <v>1662.9</v>
      </c>
      <c r="FJ94" s="49">
        <f t="shared" si="389"/>
        <v>2245.6999999999998</v>
      </c>
    </row>
    <row r="95" spans="1:175" s="49" customFormat="1" x14ac:dyDescent="0.2">
      <c r="A95" s="98"/>
      <c r="B95" s="50" t="s">
        <v>286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>
        <v>2517.6999999999998</v>
      </c>
      <c r="BO95" s="51">
        <v>2767.2</v>
      </c>
      <c r="BP95" s="51">
        <v>2870.2</v>
      </c>
      <c r="BQ95" s="51">
        <v>2513.3000000000002</v>
      </c>
      <c r="BR95" s="51">
        <v>2299.8000000000002</v>
      </c>
      <c r="BS95" s="51">
        <v>2424.1999999999998</v>
      </c>
      <c r="BT95" s="51">
        <v>2320.8000000000002</v>
      </c>
      <c r="BU95" s="51">
        <v>2553.4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v>3055.2</v>
      </c>
      <c r="CV95" s="51">
        <v>3181.1</v>
      </c>
      <c r="CW95" s="51">
        <v>3101.3</v>
      </c>
      <c r="CX95" s="51">
        <v>3190.7</v>
      </c>
      <c r="CY95" s="51">
        <v>3102.4</v>
      </c>
      <c r="CZ95" s="51">
        <v>3313.9</v>
      </c>
      <c r="DA95" s="51">
        <v>3555.4</v>
      </c>
      <c r="DB95" s="51">
        <v>3980.3</v>
      </c>
      <c r="DC95" s="51">
        <v>3660.8</v>
      </c>
      <c r="DD95" s="51">
        <v>3824.9</v>
      </c>
      <c r="DE95" s="51">
        <v>3907.4</v>
      </c>
      <c r="DF95" s="51">
        <v>3886</v>
      </c>
      <c r="DG95" s="51">
        <v>3893</v>
      </c>
      <c r="DH95" s="51">
        <v>3899.4</v>
      </c>
      <c r="DI95" s="51">
        <v>3831.1</v>
      </c>
      <c r="DJ95" s="51">
        <v>4309.7</v>
      </c>
      <c r="DK95" s="51">
        <v>4544.8</v>
      </c>
      <c r="DL95" s="51">
        <v>4798.7</v>
      </c>
      <c r="DM95" s="51">
        <v>4901.3999999999996</v>
      </c>
      <c r="DN95" s="51">
        <v>5772.8</v>
      </c>
      <c r="DO95" s="51">
        <v>6101.8</v>
      </c>
      <c r="DP95" s="51">
        <v>6481.5</v>
      </c>
      <c r="DQ95" s="51"/>
      <c r="DR95" s="51"/>
      <c r="DS95" s="51"/>
      <c r="DT95" s="51"/>
      <c r="DU95" s="51"/>
      <c r="DV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 t="shared" si="385"/>
        <v>3190.7</v>
      </c>
      <c r="FG95" s="49">
        <f t="shared" si="386"/>
        <v>3980.3</v>
      </c>
      <c r="FH95" s="49">
        <f t="shared" si="387"/>
        <v>3886</v>
      </c>
      <c r="FI95" s="49">
        <f t="shared" si="388"/>
        <v>4309.7</v>
      </c>
      <c r="FJ95" s="49">
        <f t="shared" si="389"/>
        <v>5772.8</v>
      </c>
    </row>
    <row r="96" spans="1:175" s="49" customFormat="1" x14ac:dyDescent="0.2">
      <c r="A96" s="98"/>
      <c r="B96" s="50" t="s">
        <v>287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>
        <v>828.3</v>
      </c>
      <c r="BO96" s="51">
        <v>550.1</v>
      </c>
      <c r="BP96" s="51">
        <v>436.5</v>
      </c>
      <c r="BQ96" s="51">
        <v>378.4</v>
      </c>
      <c r="BR96" s="51">
        <v>158.5</v>
      </c>
      <c r="BS96" s="51">
        <v>324</v>
      </c>
      <c r="BT96" s="51">
        <v>0</v>
      </c>
      <c r="BU96" s="51">
        <v>0</v>
      </c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>
        <v>2227.1999999999998</v>
      </c>
      <c r="CV96" s="51">
        <v>2315.5</v>
      </c>
      <c r="CW96" s="51">
        <v>2369.6</v>
      </c>
      <c r="CX96" s="51">
        <v>2538.9</v>
      </c>
      <c r="CY96" s="51">
        <v>2761.9</v>
      </c>
      <c r="CZ96" s="51">
        <v>3104.5</v>
      </c>
      <c r="DA96" s="51">
        <v>3209.4</v>
      </c>
      <c r="DB96" s="51">
        <v>2871.5</v>
      </c>
      <c r="DC96" s="51">
        <v>3233.7</v>
      </c>
      <c r="DD96" s="51">
        <v>3296.6</v>
      </c>
      <c r="DE96" s="51">
        <v>3050.6</v>
      </c>
      <c r="DF96" s="51">
        <v>2530.6</v>
      </c>
      <c r="DG96" s="51">
        <v>2697.7</v>
      </c>
      <c r="DH96" s="51">
        <v>2806.7</v>
      </c>
      <c r="DI96" s="51">
        <v>2741.9</v>
      </c>
      <c r="DJ96" s="51">
        <v>2954.1</v>
      </c>
      <c r="DK96" s="51">
        <v>3575.2</v>
      </c>
      <c r="DL96" s="51">
        <v>4532.3999999999996</v>
      </c>
      <c r="DM96" s="51">
        <v>5247.9</v>
      </c>
      <c r="DN96" s="51">
        <v>5540.8</v>
      </c>
      <c r="DO96" s="51">
        <v>6348.6</v>
      </c>
      <c r="DP96" s="51">
        <v>7137.6</v>
      </c>
      <c r="DQ96" s="51"/>
      <c r="DR96" s="51"/>
      <c r="DS96" s="51"/>
      <c r="DT96" s="51"/>
      <c r="DU96" s="51"/>
      <c r="DV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F96" s="49">
        <f t="shared" si="385"/>
        <v>2538.9</v>
      </c>
      <c r="FG96" s="49">
        <f t="shared" si="386"/>
        <v>2871.5</v>
      </c>
      <c r="FH96" s="49">
        <f t="shared" si="387"/>
        <v>2530.6</v>
      </c>
      <c r="FI96" s="49">
        <f t="shared" si="388"/>
        <v>2954.1</v>
      </c>
      <c r="FJ96" s="49">
        <f t="shared" si="389"/>
        <v>5540.8</v>
      </c>
    </row>
    <row r="97" spans="1:166" s="49" customFormat="1" x14ac:dyDescent="0.2">
      <c r="A97" s="98"/>
      <c r="B97" s="50" t="s">
        <v>288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v>608.9</v>
      </c>
      <c r="BO97" s="51">
        <v>1140.8</v>
      </c>
      <c r="BP97" s="51">
        <v>867.3</v>
      </c>
      <c r="BQ97" s="51">
        <v>799.1</v>
      </c>
      <c r="BR97" s="51">
        <v>654.9</v>
      </c>
      <c r="BS97" s="51">
        <v>998.5</v>
      </c>
      <c r="BT97" s="51">
        <v>953.3</v>
      </c>
      <c r="BU97" s="51">
        <v>790.1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>
        <v>149.5</v>
      </c>
      <c r="DO97" s="51">
        <v>138.6</v>
      </c>
      <c r="DP97" s="51">
        <v>142.19999999999999</v>
      </c>
      <c r="DQ97" s="51"/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si="385"/>
        <v>0</v>
      </c>
      <c r="FG97" s="49">
        <f t="shared" si="386"/>
        <v>0</v>
      </c>
      <c r="FI97" s="49">
        <f t="shared" si="388"/>
        <v>0</v>
      </c>
      <c r="FJ97" s="49">
        <f t="shared" si="389"/>
        <v>149.5</v>
      </c>
    </row>
    <row r="98" spans="1:166" s="49" customFormat="1" x14ac:dyDescent="0.2">
      <c r="A98" s="98"/>
      <c r="B98" s="50" t="s">
        <v>289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4818.8</v>
      </c>
      <c r="BO98" s="51">
        <v>4731.3</v>
      </c>
      <c r="BP98" s="51">
        <v>4955.3999999999996</v>
      </c>
      <c r="BQ98" s="51">
        <v>5221.8999999999996</v>
      </c>
      <c r="BR98" s="51">
        <v>5128.1000000000004</v>
      </c>
      <c r="BS98" s="51">
        <v>5266.7</v>
      </c>
      <c r="BT98" s="51">
        <v>5142.8</v>
      </c>
      <c r="BU98" s="51">
        <v>5031.1000000000004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f>3855.9+6641.5</f>
        <v>10497.4</v>
      </c>
      <c r="CV98" s="51">
        <f>3820.1+6586.6</f>
        <v>10406.700000000001</v>
      </c>
      <c r="CW98" s="51">
        <f>3772.5+6689.3</f>
        <v>10461.799999999999</v>
      </c>
      <c r="CX98" s="51">
        <f>3679.4+6618</f>
        <v>10297.4</v>
      </c>
      <c r="CY98" s="51">
        <f>3779.1+7766.7</f>
        <v>11545.8</v>
      </c>
      <c r="CZ98" s="51">
        <f>3723.2+7712.5</f>
        <v>11435.7</v>
      </c>
      <c r="DA98" s="51">
        <f>3726.4+7588.6</f>
        <v>11315</v>
      </c>
      <c r="DB98" s="51">
        <f>3766.5+7450</f>
        <v>11216.5</v>
      </c>
      <c r="DC98" s="51">
        <f>3877.4+8087.8</f>
        <v>11965.2</v>
      </c>
      <c r="DD98" s="51">
        <f>3884.2+7985.4</f>
        <v>11869.599999999999</v>
      </c>
      <c r="DE98" s="51">
        <f>3884.1+7887.7</f>
        <v>11771.8</v>
      </c>
      <c r="DF98" s="51">
        <f>3892+7691.9</f>
        <v>11583.9</v>
      </c>
      <c r="DG98" s="51">
        <f>3892+7482.4</f>
        <v>11374.4</v>
      </c>
      <c r="DH98" s="51">
        <f>3891.8+7497.7</f>
        <v>11389.5</v>
      </c>
      <c r="DI98" s="52">
        <f>3891.6+7124.1</f>
        <v>11015.7</v>
      </c>
      <c r="DJ98" s="51">
        <f>4073+7206.6</f>
        <v>11279.6</v>
      </c>
      <c r="DK98" s="51">
        <f>4073.1+7087.1</f>
        <v>11160.2</v>
      </c>
      <c r="DL98" s="51">
        <f>4078.9+6903.5</f>
        <v>10982.4</v>
      </c>
      <c r="DM98" s="51">
        <f>4085.2+6781.7</f>
        <v>10866.9</v>
      </c>
      <c r="DN98" s="51">
        <f>4939.7+6906.6</f>
        <v>11846.3</v>
      </c>
      <c r="DO98" s="51">
        <f>4939.6+6762.2</f>
        <v>11701.8</v>
      </c>
      <c r="DP98" s="51">
        <f>5768.2+6636.1</f>
        <v>12404.3</v>
      </c>
      <c r="DQ98" s="51"/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85"/>
        <v>10297.4</v>
      </c>
      <c r="FG98" s="49">
        <f t="shared" si="386"/>
        <v>11216.5</v>
      </c>
      <c r="FH98" s="49">
        <f t="shared" si="387"/>
        <v>11583.9</v>
      </c>
      <c r="FI98" s="49">
        <f t="shared" si="388"/>
        <v>11279.6</v>
      </c>
      <c r="FJ98" s="49">
        <f t="shared" si="389"/>
        <v>11846.3</v>
      </c>
    </row>
    <row r="99" spans="1:166" s="49" customFormat="1" x14ac:dyDescent="0.2">
      <c r="A99" s="98"/>
      <c r="B99" s="50" t="s">
        <v>385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2511</v>
      </c>
      <c r="CV99" s="51">
        <v>2507.4</v>
      </c>
      <c r="CW99" s="51">
        <v>2412.8000000000002</v>
      </c>
      <c r="CX99" s="51">
        <v>2572.6</v>
      </c>
      <c r="CY99" s="51">
        <v>2471.6</v>
      </c>
      <c r="CZ99" s="51">
        <v>2481.8000000000002</v>
      </c>
      <c r="DA99" s="51">
        <v>2555.3000000000002</v>
      </c>
      <c r="DB99" s="51">
        <v>2830.4</v>
      </c>
      <c r="DC99" s="51">
        <v>2649.9</v>
      </c>
      <c r="DD99" s="51">
        <v>2674.9</v>
      </c>
      <c r="DE99" s="51">
        <v>2625.6</v>
      </c>
      <c r="DF99" s="51">
        <v>2489.3000000000002</v>
      </c>
      <c r="DG99" s="51">
        <v>2464.9</v>
      </c>
      <c r="DH99" s="51">
        <v>2371.9</v>
      </c>
      <c r="DI99" s="51">
        <v>2384.3000000000002</v>
      </c>
      <c r="DJ99" s="51">
        <v>2792.9</v>
      </c>
      <c r="DK99" s="51">
        <v>3406.7</v>
      </c>
      <c r="DL99" s="51">
        <v>3805.9</v>
      </c>
      <c r="DM99" s="51">
        <v>4574.8</v>
      </c>
      <c r="DN99" s="51">
        <v>5477.3</v>
      </c>
      <c r="DO99" s="51">
        <v>5633.9</v>
      </c>
      <c r="DP99" s="51">
        <v>6655.3</v>
      </c>
      <c r="DQ99" s="51"/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85"/>
        <v>2572.6</v>
      </c>
      <c r="FG99" s="49">
        <f t="shared" si="386"/>
        <v>2830.4</v>
      </c>
      <c r="FH99" s="49">
        <f t="shared" si="387"/>
        <v>2489.3000000000002</v>
      </c>
      <c r="FI99" s="49">
        <f t="shared" si="388"/>
        <v>2792.9</v>
      </c>
      <c r="FJ99" s="49">
        <f t="shared" si="389"/>
        <v>5477.3</v>
      </c>
    </row>
    <row r="100" spans="1:166" s="49" customFormat="1" x14ac:dyDescent="0.2">
      <c r="A100" s="98"/>
      <c r="B100" s="50" t="s">
        <v>290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1622.4</v>
      </c>
      <c r="BO100" s="51">
        <v>1743.3</v>
      </c>
      <c r="BP100" s="51">
        <v>1976.9</v>
      </c>
      <c r="BQ100" s="51">
        <v>2215.8000000000002</v>
      </c>
      <c r="BR100" s="51">
        <v>2493.4</v>
      </c>
      <c r="BS100" s="51">
        <v>2093.1999999999998</v>
      </c>
      <c r="BT100" s="51">
        <v>2195</v>
      </c>
      <c r="BU100" s="51">
        <v>2387.8000000000002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1963</v>
      </c>
      <c r="CV100" s="51">
        <v>2052.1</v>
      </c>
      <c r="CW100" s="51">
        <v>2194.1999999999998</v>
      </c>
      <c r="CX100" s="51"/>
      <c r="CY100" s="51"/>
      <c r="CZ100" s="51"/>
      <c r="DA100" s="51"/>
      <c r="DB100" s="51"/>
      <c r="DC100" s="51">
        <v>0</v>
      </c>
      <c r="DD100" s="51">
        <v>0</v>
      </c>
      <c r="DE100" s="51">
        <v>0</v>
      </c>
      <c r="DF100" s="51">
        <v>0</v>
      </c>
      <c r="DG100" s="51">
        <v>0</v>
      </c>
      <c r="DH100" s="51">
        <v>0</v>
      </c>
      <c r="DI100" s="51">
        <v>0</v>
      </c>
      <c r="DJ100" s="51">
        <v>0</v>
      </c>
      <c r="DK100" s="51">
        <v>0</v>
      </c>
      <c r="DL100" s="51">
        <v>0</v>
      </c>
      <c r="DM100" s="51">
        <v>0</v>
      </c>
      <c r="DN100" s="51">
        <v>0</v>
      </c>
      <c r="DO100" s="51">
        <v>0</v>
      </c>
      <c r="DP100" s="51">
        <v>0</v>
      </c>
      <c r="DQ100" s="51"/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85"/>
        <v>0</v>
      </c>
      <c r="FG100" s="49">
        <f t="shared" si="386"/>
        <v>0</v>
      </c>
      <c r="FI100" s="49">
        <f t="shared" si="388"/>
        <v>0</v>
      </c>
      <c r="FJ100" s="49">
        <f t="shared" si="389"/>
        <v>0</v>
      </c>
    </row>
    <row r="101" spans="1:166" s="49" customFormat="1" x14ac:dyDescent="0.2">
      <c r="A101" s="98"/>
      <c r="B101" s="50" t="s">
        <v>291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7940.7</v>
      </c>
      <c r="BO101" s="51">
        <v>7967.7</v>
      </c>
      <c r="BP101" s="51">
        <v>7953.7</v>
      </c>
      <c r="BQ101" s="51">
        <v>7812.2</v>
      </c>
      <c r="BR101" s="51">
        <v>7760.3</v>
      </c>
      <c r="BS101" s="51">
        <v>7754.6</v>
      </c>
      <c r="BT101" s="51">
        <v>7619.9</v>
      </c>
      <c r="BU101" s="51">
        <v>7638.9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7780</v>
      </c>
      <c r="CV101" s="51">
        <v>7847.5</v>
      </c>
      <c r="CW101" s="51">
        <v>7801.5</v>
      </c>
      <c r="CX101" s="51">
        <v>7872.9</v>
      </c>
      <c r="CY101" s="51">
        <v>7897.9</v>
      </c>
      <c r="CZ101" s="51">
        <v>7981.1</v>
      </c>
      <c r="DA101" s="51">
        <v>8281.1</v>
      </c>
      <c r="DB101" s="51">
        <v>8681.9</v>
      </c>
      <c r="DC101" s="51">
        <v>8630.1</v>
      </c>
      <c r="DD101" s="51">
        <v>8855.5</v>
      </c>
      <c r="DE101" s="51">
        <v>8920.4</v>
      </c>
      <c r="DF101" s="51">
        <v>8985.1</v>
      </c>
      <c r="DG101" s="51">
        <v>9102.7000000000007</v>
      </c>
      <c r="DH101" s="51">
        <v>9128.2000000000007</v>
      </c>
      <c r="DI101" s="51">
        <v>9311.2999999999993</v>
      </c>
      <c r="DJ101" s="51">
        <v>10144</v>
      </c>
      <c r="DK101" s="51">
        <v>10546.2</v>
      </c>
      <c r="DL101" s="51">
        <v>11277.4</v>
      </c>
      <c r="DM101" s="51">
        <v>11863.2</v>
      </c>
      <c r="DN101" s="51">
        <v>12913.6</v>
      </c>
      <c r="DO101" s="51">
        <v>13624</v>
      </c>
      <c r="DP101" s="51">
        <v>14829.4</v>
      </c>
      <c r="DQ101" s="51"/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85"/>
        <v>7872.9</v>
      </c>
      <c r="FG101" s="49">
        <f t="shared" si="386"/>
        <v>8681.9</v>
      </c>
      <c r="FH101" s="49">
        <f t="shared" si="387"/>
        <v>8985.1</v>
      </c>
      <c r="FI101" s="49">
        <f t="shared" si="388"/>
        <v>10144</v>
      </c>
      <c r="FJ101" s="49">
        <f t="shared" si="389"/>
        <v>12913.6</v>
      </c>
    </row>
    <row r="102" spans="1:166" s="49" customFormat="1" x14ac:dyDescent="0.2">
      <c r="A102" s="98"/>
      <c r="B102" s="50" t="s">
        <v>386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546.5</v>
      </c>
      <c r="CV102" s="51">
        <v>545.5</v>
      </c>
      <c r="CW102" s="51">
        <v>535.70000000000005</v>
      </c>
      <c r="CX102" s="51">
        <f>532.1+2339.1</f>
        <v>2871.2</v>
      </c>
      <c r="CY102" s="51">
        <v>3044.6</v>
      </c>
      <c r="CZ102" s="51">
        <v>3080.1</v>
      </c>
      <c r="DA102" s="51">
        <v>3078.5</v>
      </c>
      <c r="DB102" s="51">
        <v>3475.4</v>
      </c>
      <c r="DC102" s="51">
        <v>3756.2</v>
      </c>
      <c r="DD102" s="51">
        <v>3638.6</v>
      </c>
      <c r="DE102" s="51">
        <v>3710.4</v>
      </c>
      <c r="DF102" s="51">
        <v>4082.7</v>
      </c>
      <c r="DG102" s="51">
        <v>4285.3</v>
      </c>
      <c r="DH102" s="51">
        <v>4471.6000000000004</v>
      </c>
      <c r="DI102" s="51">
        <v>4535.7</v>
      </c>
      <c r="DJ102" s="51">
        <v>4337</v>
      </c>
      <c r="DK102" s="51">
        <v>4488.1000000000004</v>
      </c>
      <c r="DL102" s="51">
        <v>4671.6000000000004</v>
      </c>
      <c r="DM102" s="51">
        <v>4911.8999999999996</v>
      </c>
      <c r="DN102" s="51">
        <v>4989.8999999999996</v>
      </c>
      <c r="DO102" s="51">
        <v>4708.1000000000004</v>
      </c>
      <c r="DP102" s="51">
        <v>4903.8999999999996</v>
      </c>
      <c r="DQ102" s="51"/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85"/>
        <v>2871.2</v>
      </c>
      <c r="FG102" s="49">
        <f t="shared" si="386"/>
        <v>3475.4</v>
      </c>
      <c r="FH102" s="49">
        <f t="shared" si="387"/>
        <v>4082.7</v>
      </c>
      <c r="FI102" s="49">
        <f t="shared" si="388"/>
        <v>4337</v>
      </c>
      <c r="FJ102" s="49">
        <f t="shared" si="389"/>
        <v>4989.8999999999996</v>
      </c>
    </row>
    <row r="103" spans="1:166" s="49" customFormat="1" x14ac:dyDescent="0.2">
      <c r="A103" s="98"/>
      <c r="B103" s="50" t="s">
        <v>292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f>SUM(BN92:BN101)</f>
        <v>31001.4</v>
      </c>
      <c r="BO103" s="51">
        <f>SUM(BO92:BO101)</f>
        <v>31695.3</v>
      </c>
      <c r="BP103" s="51">
        <f t="shared" ref="BP103" si="390">SUM(BP92:BP101)</f>
        <v>32779.299999999996</v>
      </c>
      <c r="BQ103" s="51">
        <f>SUM(BQ92:BQ101)</f>
        <v>33042.199999999997</v>
      </c>
      <c r="BR103" s="51">
        <f>SUM(BR92:BR101)</f>
        <v>33659.80000000001</v>
      </c>
      <c r="BS103" s="51">
        <f>SUM(BS92:BS101)</f>
        <v>32238.200000000004</v>
      </c>
      <c r="BT103" s="51">
        <f>SUM(BT92:BT101)</f>
        <v>31812.6</v>
      </c>
      <c r="BU103" s="51">
        <f>SUM(BU92:BU101)</f>
        <v>34321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 t="shared" ref="CU103:CX103" si="391">SUM(CU92:CU102)</f>
        <v>38006.800000000003</v>
      </c>
      <c r="CV103" s="51">
        <f t="shared" si="391"/>
        <v>38666.400000000001</v>
      </c>
      <c r="CW103" s="51">
        <f t="shared" si="391"/>
        <v>37893.1</v>
      </c>
      <c r="CX103" s="51">
        <f t="shared" si="391"/>
        <v>39286.1</v>
      </c>
      <c r="CY103" s="51">
        <f t="shared" ref="CY103:DB103" si="392">SUM(CY92:CY102)</f>
        <v>41102.799999999996</v>
      </c>
      <c r="CZ103" s="51">
        <f t="shared" si="392"/>
        <v>41967</v>
      </c>
      <c r="DA103" s="51">
        <f t="shared" si="392"/>
        <v>43946</v>
      </c>
      <c r="DB103" s="51">
        <f t="shared" si="392"/>
        <v>46633.100000000006</v>
      </c>
      <c r="DC103" s="51">
        <f t="shared" ref="DC103" si="393">SUM(DC92:DC102)</f>
        <v>46838.299999999996</v>
      </c>
      <c r="DD103" s="51">
        <f t="shared" ref="DD103" si="394">SUM(DD92:DD102)</f>
        <v>47808.999999999993</v>
      </c>
      <c r="DE103" s="51">
        <f t="shared" ref="DE103:DP103" si="395">SUM(DE92:DE102)</f>
        <v>48187</v>
      </c>
      <c r="DF103" s="51">
        <f t="shared" si="395"/>
        <v>48806</v>
      </c>
      <c r="DG103" s="51">
        <f t="shared" si="395"/>
        <v>46919.3</v>
      </c>
      <c r="DH103" s="51">
        <f t="shared" si="395"/>
        <v>47063.6</v>
      </c>
      <c r="DI103" s="51">
        <f t="shared" si="395"/>
        <v>47461.5</v>
      </c>
      <c r="DJ103" s="51">
        <f t="shared" si="395"/>
        <v>49489.8</v>
      </c>
      <c r="DK103" s="51">
        <f t="shared" si="395"/>
        <v>53162.999999999993</v>
      </c>
      <c r="DL103" s="51">
        <f t="shared" si="395"/>
        <v>54814</v>
      </c>
      <c r="DM103" s="51">
        <f t="shared" si="395"/>
        <v>57915.500000000007</v>
      </c>
      <c r="DN103" s="51">
        <f t="shared" si="395"/>
        <v>64006.3</v>
      </c>
      <c r="DO103" s="51">
        <f t="shared" si="395"/>
        <v>63943.5</v>
      </c>
      <c r="DP103" s="51">
        <f t="shared" si="395"/>
        <v>71874.799999999988</v>
      </c>
      <c r="DQ103" s="51"/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85"/>
        <v>39286.1</v>
      </c>
      <c r="FG103" s="49">
        <f t="shared" si="386"/>
        <v>46633.100000000006</v>
      </c>
      <c r="FH103" s="49">
        <f t="shared" si="387"/>
        <v>48806</v>
      </c>
      <c r="FI103" s="49">
        <f t="shared" si="388"/>
        <v>49489.8</v>
      </c>
      <c r="FJ103" s="49">
        <f t="shared" si="389"/>
        <v>64006.3</v>
      </c>
    </row>
    <row r="104" spans="1:166" x14ac:dyDescent="0.2">
      <c r="A104" s="102"/>
      <c r="FG104" s="49"/>
      <c r="FH104" s="49"/>
      <c r="FI104" s="49"/>
    </row>
    <row r="105" spans="1:166" s="49" customFormat="1" x14ac:dyDescent="0.2">
      <c r="A105" s="98"/>
      <c r="B105" s="50" t="s">
        <v>175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f>156+6770.5</f>
        <v>6926.5</v>
      </c>
      <c r="BO105" s="51">
        <f>1539.9+5132.4</f>
        <v>6672.2999999999993</v>
      </c>
      <c r="BP105" s="51">
        <f>1528.5+5200.1</f>
        <v>6728.6</v>
      </c>
      <c r="BQ105" s="51">
        <f>1628.7+5451.3</f>
        <v>7080</v>
      </c>
      <c r="BR105" s="51">
        <f>1522.3+5464.7</f>
        <v>6987</v>
      </c>
      <c r="BS105" s="51">
        <f>10.6+5403.2</f>
        <v>5413.8</v>
      </c>
      <c r="BT105" s="51">
        <f>9.1+5500.2</f>
        <v>5509.3</v>
      </c>
      <c r="BU105" s="51">
        <f>9.1+5510.9</f>
        <v>5520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f>2354.9+13610.2</f>
        <v>15965.1</v>
      </c>
      <c r="CV105" s="51">
        <f>2068.6+13717.6</f>
        <v>15786.2</v>
      </c>
      <c r="CW105" s="51">
        <f>1563.1+13662.2</f>
        <v>15225.300000000001</v>
      </c>
      <c r="CX105" s="51">
        <f>1499.3+13817.9</f>
        <v>15317.199999999999</v>
      </c>
      <c r="CY105" s="51">
        <f>3248+13982.3</f>
        <v>17230.3</v>
      </c>
      <c r="CZ105" s="51">
        <f>1263.8+15064.4</f>
        <v>16328.199999999999</v>
      </c>
      <c r="DA105" s="51">
        <f>587.5+16334.6</f>
        <v>16922.099999999999</v>
      </c>
      <c r="DB105" s="51">
        <f>16586.6+8.7</f>
        <v>16595.3</v>
      </c>
      <c r="DC105" s="51">
        <f>4.9+16199.6</f>
        <v>16204.5</v>
      </c>
      <c r="DD105" s="51">
        <f>1778.5+14736.6</f>
        <v>16515.099999999999</v>
      </c>
      <c r="DE105" s="51">
        <f>1563+15522.4</f>
        <v>17085.400000000001</v>
      </c>
      <c r="DF105" s="51">
        <f>1538.3+15346.4</f>
        <v>16884.7</v>
      </c>
      <c r="DG105" s="51">
        <f>1355.9+15152.9</f>
        <v>16508.8</v>
      </c>
      <c r="DH105" s="51">
        <f>2121.8+14692</f>
        <v>16813.8</v>
      </c>
      <c r="DI105" s="51">
        <f>1744.6+14143.8</f>
        <v>15888.4</v>
      </c>
      <c r="DJ105" s="51">
        <f>1501.1+14737.5</f>
        <v>16238.6</v>
      </c>
      <c r="DK105" s="51">
        <f>18880.5+3.1</f>
        <v>18883.599999999999</v>
      </c>
      <c r="DL105" s="51">
        <f>661.6+18158.4</f>
        <v>18820</v>
      </c>
      <c r="DM105" s="51">
        <f>2244.7+17923.6</f>
        <v>20168.3</v>
      </c>
      <c r="DN105" s="51">
        <f>6904.5+18320.8</f>
        <v>25225.3</v>
      </c>
      <c r="DO105" s="51">
        <f>24559.9+1651.5</f>
        <v>26211.4</v>
      </c>
      <c r="DP105" s="51">
        <f>5161.6+23730.4</f>
        <v>28892</v>
      </c>
      <c r="DQ105" s="51"/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85"/>
        <v>15317.199999999999</v>
      </c>
      <c r="FG105" s="49">
        <f t="shared" ref="FG105:FG116" si="396">+DB105</f>
        <v>16595.3</v>
      </c>
      <c r="FH105" s="49">
        <f t="shared" si="387"/>
        <v>16884.7</v>
      </c>
      <c r="FI105" s="49">
        <f t="shared" si="388"/>
        <v>16238.6</v>
      </c>
      <c r="FJ105" s="49">
        <f t="shared" si="389"/>
        <v>25225.3</v>
      </c>
    </row>
    <row r="106" spans="1:166" s="49" customFormat="1" x14ac:dyDescent="0.2">
      <c r="A106" s="98"/>
      <c r="B106" s="50" t="s">
        <v>293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1072.2</v>
      </c>
      <c r="BO106" s="51">
        <v>1183.2</v>
      </c>
      <c r="BP106" s="51">
        <v>1187.5999999999999</v>
      </c>
      <c r="BQ106" s="51">
        <v>1154.3</v>
      </c>
      <c r="BR106" s="51">
        <v>1125.2</v>
      </c>
      <c r="BS106" s="51">
        <v>1246.3</v>
      </c>
      <c r="BT106" s="51">
        <v>1201.5999999999999</v>
      </c>
      <c r="BU106" s="51">
        <v>1328.7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1168.0999999999999</v>
      </c>
      <c r="CV106" s="51">
        <v>1198.9000000000001</v>
      </c>
      <c r="CW106" s="51">
        <v>1114.9000000000001</v>
      </c>
      <c r="CX106" s="51">
        <v>1405.3</v>
      </c>
      <c r="CY106" s="51">
        <v>1207.7</v>
      </c>
      <c r="CZ106" s="51">
        <v>1247.2</v>
      </c>
      <c r="DA106" s="51">
        <v>1430.1</v>
      </c>
      <c r="DB106" s="51">
        <v>1606.7</v>
      </c>
      <c r="DC106" s="51">
        <v>1639.6</v>
      </c>
      <c r="DD106" s="51">
        <v>1597.8</v>
      </c>
      <c r="DE106" s="51">
        <v>1566.8</v>
      </c>
      <c r="DF106" s="51">
        <v>1670.6</v>
      </c>
      <c r="DG106" s="51">
        <v>1433.3</v>
      </c>
      <c r="DH106" s="51">
        <v>1659.3</v>
      </c>
      <c r="DI106" s="51">
        <v>1683.2</v>
      </c>
      <c r="DJ106" s="51">
        <v>1930.6</v>
      </c>
      <c r="DK106" s="51">
        <v>2015.9</v>
      </c>
      <c r="DL106" s="51">
        <f>2474.2</f>
        <v>2474.1999999999998</v>
      </c>
      <c r="DM106" s="51">
        <v>2435.1</v>
      </c>
      <c r="DN106" s="51">
        <v>2598.8000000000002</v>
      </c>
      <c r="DO106" s="51">
        <v>2473.6999999999998</v>
      </c>
      <c r="DP106" s="51">
        <v>2924.8</v>
      </c>
      <c r="DQ106" s="51"/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85"/>
        <v>1405.3</v>
      </c>
      <c r="FG106" s="49">
        <f t="shared" si="396"/>
        <v>1606.7</v>
      </c>
      <c r="FH106" s="49">
        <f t="shared" si="387"/>
        <v>1670.6</v>
      </c>
      <c r="FI106" s="49">
        <f t="shared" si="388"/>
        <v>1930.6</v>
      </c>
      <c r="FJ106" s="49">
        <f t="shared" si="389"/>
        <v>2598.8000000000002</v>
      </c>
    </row>
    <row r="107" spans="1:166" s="49" customFormat="1" x14ac:dyDescent="0.2">
      <c r="A107" s="98"/>
      <c r="B107" s="50" t="s">
        <v>294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851.8</v>
      </c>
      <c r="BO107" s="51">
        <v>524</v>
      </c>
      <c r="BP107" s="51">
        <v>584.70000000000005</v>
      </c>
      <c r="BQ107" s="51">
        <v>689.3</v>
      </c>
      <c r="BR107" s="51">
        <v>804.7</v>
      </c>
      <c r="BS107" s="51">
        <v>533.79999999999995</v>
      </c>
      <c r="BT107" s="51">
        <v>602.9</v>
      </c>
      <c r="BU107" s="51">
        <v>772.7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511.7</v>
      </c>
      <c r="CV107" s="51">
        <v>588.20000000000005</v>
      </c>
      <c r="CW107" s="51">
        <v>704.5</v>
      </c>
      <c r="CX107" s="51">
        <v>915.5</v>
      </c>
      <c r="CY107" s="51">
        <v>565.79999999999995</v>
      </c>
      <c r="CZ107" s="51">
        <v>673.6</v>
      </c>
      <c r="DA107" s="51">
        <v>795.6</v>
      </c>
      <c r="DB107" s="51">
        <v>997.2</v>
      </c>
      <c r="DC107" s="51">
        <v>649.9</v>
      </c>
      <c r="DD107" s="51">
        <v>755.5</v>
      </c>
      <c r="DE107" s="51">
        <v>836.6</v>
      </c>
      <c r="DF107" s="51">
        <v>958.1</v>
      </c>
      <c r="DG107" s="51">
        <v>693.1</v>
      </c>
      <c r="DH107" s="51">
        <v>835.8</v>
      </c>
      <c r="DI107" s="51">
        <v>984.1</v>
      </c>
      <c r="DJ107" s="51">
        <v>1059.8</v>
      </c>
      <c r="DK107" s="51">
        <v>739.7</v>
      </c>
      <c r="DL107" s="51">
        <v>867.7</v>
      </c>
      <c r="DM107" s="51">
        <v>1233.2</v>
      </c>
      <c r="DN107" s="51">
        <v>1650.4</v>
      </c>
      <c r="DO107" s="51">
        <v>844.2</v>
      </c>
      <c r="DP107" s="51">
        <v>1168.3</v>
      </c>
      <c r="DQ107" s="51"/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85"/>
        <v>915.5</v>
      </c>
      <c r="FG107" s="49">
        <f t="shared" si="396"/>
        <v>997.2</v>
      </c>
      <c r="FH107" s="49">
        <f t="shared" si="387"/>
        <v>958.1</v>
      </c>
      <c r="FI107" s="49">
        <f t="shared" si="388"/>
        <v>1059.8</v>
      </c>
      <c r="FJ107" s="49">
        <f t="shared" si="389"/>
        <v>1650.4</v>
      </c>
    </row>
    <row r="108" spans="1:166" s="49" customFormat="1" x14ac:dyDescent="0.2">
      <c r="A108" s="98"/>
      <c r="B108" s="50" t="s">
        <v>295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v>1372.6</v>
      </c>
      <c r="BO108" s="51">
        <v>1489.5</v>
      </c>
      <c r="BP108" s="51">
        <v>1807.6</v>
      </c>
      <c r="BQ108" s="51">
        <v>1882.3</v>
      </c>
      <c r="BR108" s="51">
        <v>1771.3</v>
      </c>
      <c r="BS108" s="51">
        <v>1619.8</v>
      </c>
      <c r="BT108" s="51">
        <v>1628.6</v>
      </c>
      <c r="BU108" s="51">
        <v>1695.6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4455.7</v>
      </c>
      <c r="CV108" s="51">
        <v>4993.7</v>
      </c>
      <c r="CW108" s="51">
        <v>5277</v>
      </c>
      <c r="CX108" s="51">
        <v>4933.6000000000004</v>
      </c>
      <c r="CY108" s="51">
        <v>4703.8999999999996</v>
      </c>
      <c r="CZ108" s="51">
        <v>5282.2</v>
      </c>
      <c r="DA108" s="51">
        <v>5745.2</v>
      </c>
      <c r="DB108" s="51">
        <v>5853</v>
      </c>
      <c r="DC108" s="51">
        <v>5821.4</v>
      </c>
      <c r="DD108" s="51">
        <v>7035.8</v>
      </c>
      <c r="DE108" s="51">
        <v>7185.6</v>
      </c>
      <c r="DF108" s="51">
        <v>6845.8</v>
      </c>
      <c r="DG108" s="51">
        <v>6768.7</v>
      </c>
      <c r="DH108" s="51">
        <v>7991.4</v>
      </c>
      <c r="DI108" s="51">
        <v>8568.4</v>
      </c>
      <c r="DJ108" s="51">
        <v>8784.1</v>
      </c>
      <c r="DK108" s="51">
        <v>9529.5</v>
      </c>
      <c r="DL108" s="51">
        <v>10389.9</v>
      </c>
      <c r="DM108" s="51">
        <v>11522.3</v>
      </c>
      <c r="DN108" s="51">
        <v>11689</v>
      </c>
      <c r="DO108" s="51">
        <v>9429.6</v>
      </c>
      <c r="DP108" s="51">
        <v>12446.8</v>
      </c>
      <c r="DQ108" s="51"/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85"/>
        <v>4933.6000000000004</v>
      </c>
      <c r="FG108" s="49">
        <f t="shared" si="396"/>
        <v>5853</v>
      </c>
      <c r="FH108" s="49">
        <f t="shared" si="387"/>
        <v>6845.8</v>
      </c>
      <c r="FI108" s="49">
        <f t="shared" si="388"/>
        <v>8784.1</v>
      </c>
      <c r="FJ108" s="49">
        <f t="shared" si="389"/>
        <v>11689</v>
      </c>
    </row>
    <row r="109" spans="1:166" s="49" customFormat="1" x14ac:dyDescent="0.2">
      <c r="A109" s="98"/>
      <c r="B109" s="50" t="s">
        <v>296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540</v>
      </c>
      <c r="BO109" s="51">
        <v>0</v>
      </c>
      <c r="BP109" s="51">
        <v>542.29999999999995</v>
      </c>
      <c r="BQ109" s="51">
        <v>0</v>
      </c>
      <c r="BR109" s="51">
        <v>542.29999999999995</v>
      </c>
      <c r="BS109" s="51">
        <v>0</v>
      </c>
      <c r="BT109" s="51">
        <v>543.6</v>
      </c>
      <c r="BU109" s="51">
        <v>0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0</v>
      </c>
      <c r="CV109" s="51">
        <v>593.9</v>
      </c>
      <c r="CW109" s="51">
        <v>0</v>
      </c>
      <c r="CX109" s="51">
        <v>671.5</v>
      </c>
      <c r="CY109" s="51">
        <v>0</v>
      </c>
      <c r="CZ109" s="51">
        <v>0</v>
      </c>
      <c r="DA109" s="51">
        <v>0</v>
      </c>
      <c r="DB109" s="51">
        <v>770.6</v>
      </c>
      <c r="DC109" s="51">
        <v>0</v>
      </c>
      <c r="DD109" s="51">
        <v>770.8</v>
      </c>
      <c r="DE109" s="51">
        <v>0</v>
      </c>
      <c r="DF109" s="51">
        <v>885.5</v>
      </c>
      <c r="DG109" s="51">
        <v>0</v>
      </c>
      <c r="DH109" s="51">
        <v>882.2</v>
      </c>
      <c r="DI109" s="51">
        <v>0</v>
      </c>
      <c r="DJ109" s="51">
        <v>1017.2</v>
      </c>
      <c r="DK109" s="51">
        <v>0</v>
      </c>
      <c r="DL109" s="51">
        <v>1016.2</v>
      </c>
      <c r="DM109" s="51">
        <v>0</v>
      </c>
      <c r="DN109" s="51">
        <v>1169.2</v>
      </c>
      <c r="DO109" s="51">
        <v>0</v>
      </c>
      <c r="DP109" s="51">
        <v>1170.5</v>
      </c>
      <c r="DQ109" s="51"/>
      <c r="DR109" s="51"/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385"/>
        <v>671.5</v>
      </c>
      <c r="FG109" s="49">
        <f t="shared" si="396"/>
        <v>770.6</v>
      </c>
      <c r="FH109" s="49">
        <f t="shared" si="387"/>
        <v>885.5</v>
      </c>
      <c r="FI109" s="49">
        <f t="shared" si="388"/>
        <v>1017.2</v>
      </c>
      <c r="FJ109" s="49">
        <f t="shared" si="389"/>
        <v>1169.2</v>
      </c>
    </row>
    <row r="110" spans="1:166" s="49" customFormat="1" x14ac:dyDescent="0.2">
      <c r="A110" s="98"/>
      <c r="B110" s="50" t="s">
        <v>82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457.5</v>
      </c>
      <c r="BO110" s="51">
        <v>315.2</v>
      </c>
      <c r="BP110" s="51">
        <v>183.1</v>
      </c>
      <c r="BQ110" s="51">
        <v>144.4</v>
      </c>
      <c r="BR110" s="51">
        <v>261.60000000000002</v>
      </c>
      <c r="BS110" s="51">
        <v>388.8</v>
      </c>
      <c r="BT110" s="51">
        <v>33.5</v>
      </c>
      <c r="BU110" s="51">
        <v>338.2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491.4</v>
      </c>
      <c r="CV110" s="51">
        <v>222.9</v>
      </c>
      <c r="CW110" s="51">
        <v>180.7</v>
      </c>
      <c r="CX110" s="51">
        <v>160.6</v>
      </c>
      <c r="CY110" s="51">
        <v>667.4</v>
      </c>
      <c r="CZ110" s="51">
        <v>1460.8</v>
      </c>
      <c r="DA110" s="51">
        <v>1173.5</v>
      </c>
      <c r="DB110" s="51">
        <v>495.1</v>
      </c>
      <c r="DC110" s="51">
        <v>791.6</v>
      </c>
      <c r="DD110" s="51">
        <v>529.9</v>
      </c>
      <c r="DE110" s="51">
        <v>203.5</v>
      </c>
      <c r="DF110" s="51">
        <v>126.9</v>
      </c>
      <c r="DG110" s="51">
        <v>598.29999999999995</v>
      </c>
      <c r="DH110" s="51">
        <v>126.6</v>
      </c>
      <c r="DI110" s="51">
        <v>685.6</v>
      </c>
      <c r="DJ110" s="51">
        <v>475.1</v>
      </c>
      <c r="DK110" s="51">
        <v>1528.3</v>
      </c>
      <c r="DL110" s="51">
        <v>1233.8</v>
      </c>
      <c r="DM110" s="51">
        <v>1977.5</v>
      </c>
      <c r="DN110" s="51">
        <v>0</v>
      </c>
      <c r="DO110" s="51">
        <v>0</v>
      </c>
      <c r="DP110" s="51">
        <v>0</v>
      </c>
      <c r="DQ110" s="51"/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85"/>
        <v>160.6</v>
      </c>
      <c r="FG110" s="49">
        <f t="shared" si="396"/>
        <v>495.1</v>
      </c>
      <c r="FH110" s="49">
        <f t="shared" si="387"/>
        <v>126.9</v>
      </c>
      <c r="FI110" s="49">
        <f t="shared" si="388"/>
        <v>475.1</v>
      </c>
      <c r="FJ110" s="49">
        <f t="shared" si="389"/>
        <v>0</v>
      </c>
    </row>
    <row r="111" spans="1:166" s="49" customFormat="1" x14ac:dyDescent="0.2">
      <c r="A111" s="98"/>
      <c r="B111" s="50" t="s">
        <v>297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2651.3</v>
      </c>
      <c r="BO111" s="51">
        <v>2600</v>
      </c>
      <c r="BP111" s="51">
        <v>2786.7</v>
      </c>
      <c r="BQ111" s="51">
        <v>2720.3</v>
      </c>
      <c r="BR111" s="51">
        <v>2903.5</v>
      </c>
      <c r="BS111" s="51">
        <v>2754.4</v>
      </c>
      <c r="BT111" s="51">
        <v>2590.4</v>
      </c>
      <c r="BU111" s="51">
        <v>2816.4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2254.3000000000002</v>
      </c>
      <c r="CV111" s="51">
        <v>2189.1999999999998</v>
      </c>
      <c r="CW111" s="51">
        <v>1988.4</v>
      </c>
      <c r="CX111" s="51">
        <v>2189.4</v>
      </c>
      <c r="CY111" s="51">
        <v>2217.4</v>
      </c>
      <c r="CZ111" s="51">
        <v>2060.9</v>
      </c>
      <c r="DA111" s="51">
        <v>2245</v>
      </c>
      <c r="DB111" s="51">
        <v>2750.3</v>
      </c>
      <c r="DC111" s="51">
        <v>2806.8</v>
      </c>
      <c r="DD111" s="51">
        <v>2624.9</v>
      </c>
      <c r="DE111" s="51">
        <v>2326.5</v>
      </c>
      <c r="DF111" s="51">
        <v>3027.5</v>
      </c>
      <c r="DG111" s="51">
        <v>2536.6999999999998</v>
      </c>
      <c r="DH111" s="51">
        <v>2003.5</v>
      </c>
      <c r="DI111" s="51">
        <v>1986.9</v>
      </c>
      <c r="DJ111" s="51">
        <v>2370.3000000000002</v>
      </c>
      <c r="DK111" s="51">
        <v>2193.5</v>
      </c>
      <c r="DL111" s="51">
        <v>2271.6</v>
      </c>
      <c r="DM111" s="51">
        <v>2585.4</v>
      </c>
      <c r="DN111" s="51">
        <v>3281.3</v>
      </c>
      <c r="DO111" s="51">
        <v>4199.1000000000004</v>
      </c>
      <c r="DP111" s="51">
        <v>4249.2</v>
      </c>
      <c r="DQ111" s="51"/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85"/>
        <v>2189.4</v>
      </c>
      <c r="FG111" s="49">
        <f t="shared" si="396"/>
        <v>2750.3</v>
      </c>
      <c r="FH111" s="49">
        <f t="shared" si="387"/>
        <v>3027.5</v>
      </c>
      <c r="FI111" s="49">
        <f t="shared" si="388"/>
        <v>2370.3000000000002</v>
      </c>
      <c r="FJ111" s="49">
        <f t="shared" si="389"/>
        <v>3281.3</v>
      </c>
    </row>
    <row r="112" spans="1:166" s="49" customFormat="1" x14ac:dyDescent="0.2">
      <c r="A112" s="98"/>
      <c r="B112" s="50" t="s">
        <v>298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1887.4</v>
      </c>
      <c r="BO112" s="51">
        <v>1866.4</v>
      </c>
      <c r="BP112" s="51">
        <v>1848.6</v>
      </c>
      <c r="BQ112" s="51">
        <v>1805.9</v>
      </c>
      <c r="BR112" s="51">
        <v>3068.5</v>
      </c>
      <c r="BS112" s="51">
        <v>2766.5</v>
      </c>
      <c r="BT112" s="51">
        <v>2714.5</v>
      </c>
      <c r="BU112" s="51">
        <v>2702.4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2757.6</v>
      </c>
      <c r="CV112" s="51">
        <v>2723.4</v>
      </c>
      <c r="CW112" s="51">
        <v>2414.1999999999998</v>
      </c>
      <c r="CX112" s="51">
        <v>3698.2</v>
      </c>
      <c r="CY112" s="51">
        <v>3632</v>
      </c>
      <c r="CZ112" s="51">
        <v>3398.6</v>
      </c>
      <c r="DA112" s="51">
        <v>3435.5</v>
      </c>
      <c r="DB112" s="51">
        <v>4094.5</v>
      </c>
      <c r="DC112" s="51">
        <v>3969.8</v>
      </c>
      <c r="DD112" s="51">
        <v>3918.5</v>
      </c>
      <c r="DE112" s="51">
        <v>3878.8</v>
      </c>
      <c r="DF112" s="51">
        <v>1954.1</v>
      </c>
      <c r="DG112" s="51">
        <v>1940.3</v>
      </c>
      <c r="DH112" s="51">
        <v>1888.6</v>
      </c>
      <c r="DI112" s="51">
        <v>1832.5</v>
      </c>
      <c r="DJ112" s="51">
        <v>1305.0999999999999</v>
      </c>
      <c r="DK112" s="51">
        <v>1313</v>
      </c>
      <c r="DL112" s="51">
        <v>1308.8</v>
      </c>
      <c r="DM112" s="51">
        <v>1311.9</v>
      </c>
      <c r="DN112" s="51">
        <v>1438.8</v>
      </c>
      <c r="DO112" s="51">
        <v>1427.9</v>
      </c>
      <c r="DP112" s="51">
        <v>1420.4</v>
      </c>
      <c r="DQ112" s="51"/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85"/>
        <v>3698.2</v>
      </c>
      <c r="FG112" s="49">
        <f t="shared" si="396"/>
        <v>4094.5</v>
      </c>
      <c r="FH112" s="49">
        <f t="shared" si="387"/>
        <v>1954.1</v>
      </c>
      <c r="FI112" s="49">
        <f t="shared" si="388"/>
        <v>1305.0999999999999</v>
      </c>
      <c r="FJ112" s="49">
        <f t="shared" si="389"/>
        <v>1438.8</v>
      </c>
    </row>
    <row r="113" spans="1:166" s="49" customFormat="1" x14ac:dyDescent="0.2">
      <c r="A113" s="98"/>
      <c r="B113" s="50" t="s">
        <v>82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1234.8</v>
      </c>
      <c r="BO113" s="51">
        <v>1224.3</v>
      </c>
      <c r="BP113" s="51">
        <v>1283</v>
      </c>
      <c r="BQ113" s="51">
        <v>1058.8</v>
      </c>
      <c r="BR113" s="51">
        <v>1086.3</v>
      </c>
      <c r="BS113" s="51">
        <v>1158.3</v>
      </c>
      <c r="BT113" s="51">
        <v>1207.5</v>
      </c>
      <c r="BU113" s="51">
        <v>1275.0999999999999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f>3760.4+2399.5</f>
        <v>6159.9</v>
      </c>
      <c r="CV113" s="51">
        <f>2380.9+3485.7</f>
        <v>5866.6</v>
      </c>
      <c r="CW113" s="51">
        <f>3526.5+2413.7</f>
        <v>5940.2</v>
      </c>
      <c r="CX113" s="51">
        <f>3607.2+1014.3</f>
        <v>4621.5</v>
      </c>
      <c r="CY113" s="51">
        <f>3621.9+2186.2</f>
        <v>5808.1</v>
      </c>
      <c r="CZ113" s="51">
        <f>3377.5+2039.2</f>
        <v>5416.7</v>
      </c>
      <c r="DA113" s="51">
        <f>3392.7+2107.7</f>
        <v>5500.4</v>
      </c>
      <c r="DB113" s="51">
        <f>3837.8+2099.9</f>
        <v>5937.7000000000007</v>
      </c>
      <c r="DC113" s="51">
        <f>3917.5+2200.6</f>
        <v>6118.1</v>
      </c>
      <c r="DD113" s="51">
        <f>3738+1857.3</f>
        <v>5595.3</v>
      </c>
      <c r="DE113" s="51">
        <f>3768.5+1632.5</f>
        <v>5401</v>
      </c>
      <c r="DF113" s="51">
        <f>3920+1733.7</f>
        <v>5653.7</v>
      </c>
      <c r="DG113" s="51">
        <f>1286.1+3978.1</f>
        <v>5264.2</v>
      </c>
      <c r="DH113" s="51">
        <f>3557.6+862.5</f>
        <v>4420.1000000000004</v>
      </c>
      <c r="DI113" s="51">
        <f>3641.7+171.9</f>
        <v>3813.6</v>
      </c>
      <c r="DJ113" s="51">
        <f>3709.6+87.3</f>
        <v>3796.9</v>
      </c>
      <c r="DK113" s="51">
        <v>3842.1</v>
      </c>
      <c r="DL113" s="51">
        <v>3330.7</v>
      </c>
      <c r="DM113" s="51">
        <v>3468.3</v>
      </c>
      <c r="DN113" s="51">
        <v>3849.2</v>
      </c>
      <c r="DO113" s="51">
        <v>4189.3999999999996</v>
      </c>
      <c r="DP113" s="51">
        <v>3496.6</v>
      </c>
      <c r="DQ113" s="51"/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85"/>
        <v>4621.5</v>
      </c>
      <c r="FG113" s="49">
        <f t="shared" si="396"/>
        <v>5937.7000000000007</v>
      </c>
      <c r="FH113" s="49">
        <f t="shared" si="387"/>
        <v>5653.7</v>
      </c>
      <c r="FI113" s="49">
        <f t="shared" si="388"/>
        <v>3796.9</v>
      </c>
      <c r="FJ113" s="49">
        <f t="shared" si="389"/>
        <v>3849.2</v>
      </c>
    </row>
    <row r="114" spans="1:166" s="49" customFormat="1" x14ac:dyDescent="0.2">
      <c r="A114" s="98"/>
      <c r="B114" s="50" t="s">
        <v>299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1594.5</v>
      </c>
      <c r="BO114" s="51">
        <v>1886.2</v>
      </c>
      <c r="BP114" s="51">
        <v>1550.1</v>
      </c>
      <c r="BQ114" s="51">
        <v>1449</v>
      </c>
      <c r="BR114" s="51">
        <v>1573.8</v>
      </c>
      <c r="BS114" s="51">
        <v>1533.9</v>
      </c>
      <c r="BT114" s="51">
        <v>1472.8</v>
      </c>
      <c r="BU114" s="51">
        <v>1815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1169.8+508.2</f>
        <v>1678</v>
      </c>
      <c r="CV114" s="51">
        <f>1142.8+503.3</f>
        <v>1646.1</v>
      </c>
      <c r="CW114" s="51">
        <f>1100.4+485.2</f>
        <v>1585.6000000000001</v>
      </c>
      <c r="CX114" s="51">
        <v>2187.5</v>
      </c>
      <c r="CY114" s="51">
        <v>1873</v>
      </c>
      <c r="CZ114" s="51">
        <v>1826.8</v>
      </c>
      <c r="DA114" s="51">
        <v>1702.6</v>
      </c>
      <c r="DB114" s="51">
        <v>1707.5</v>
      </c>
      <c r="DC114" s="51">
        <v>1737.3</v>
      </c>
      <c r="DD114" s="51">
        <v>1801.9</v>
      </c>
      <c r="DE114" s="51">
        <v>1748.7</v>
      </c>
      <c r="DF114" s="51">
        <v>1644.3</v>
      </c>
      <c r="DG114" s="51">
        <v>1713.9</v>
      </c>
      <c r="DH114" s="51">
        <v>1783.1</v>
      </c>
      <c r="DI114" s="51">
        <v>1852.9</v>
      </c>
      <c r="DJ114" s="51">
        <v>1736.7</v>
      </c>
      <c r="DK114" s="51">
        <v>1822.5</v>
      </c>
      <c r="DL114" s="51">
        <v>1951.8</v>
      </c>
      <c r="DM114" s="51">
        <v>1906.1</v>
      </c>
      <c r="DN114" s="51">
        <v>2240.6</v>
      </c>
      <c r="DO114" s="51">
        <v>2270.8000000000002</v>
      </c>
      <c r="DP114" s="51">
        <v>2470.6999999999998</v>
      </c>
      <c r="DQ114" s="51"/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85"/>
        <v>2187.5</v>
      </c>
      <c r="FG114" s="49">
        <f t="shared" si="396"/>
        <v>1707.5</v>
      </c>
      <c r="FH114" s="49">
        <f t="shared" si="387"/>
        <v>1644.3</v>
      </c>
      <c r="FI114" s="49">
        <f t="shared" si="388"/>
        <v>1736.7</v>
      </c>
      <c r="FJ114" s="49">
        <f t="shared" si="389"/>
        <v>2240.6</v>
      </c>
    </row>
    <row r="115" spans="1:166" s="49" customFormat="1" x14ac:dyDescent="0.2">
      <c r="A115" s="98"/>
      <c r="B115" s="50" t="s">
        <v>300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12412.8</v>
      </c>
      <c r="BO115" s="51">
        <v>13934.2</v>
      </c>
      <c r="BP115" s="51">
        <v>14277</v>
      </c>
      <c r="BQ115" s="51">
        <v>15057.9</v>
      </c>
      <c r="BR115" s="51">
        <v>13535.6</v>
      </c>
      <c r="BS115" s="51">
        <v>14822.6</v>
      </c>
      <c r="BT115" s="51">
        <v>14307.9</v>
      </c>
      <c r="BU115" s="51">
        <v>16056.9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2565</v>
      </c>
      <c r="CV115" s="51">
        <v>2857.3</v>
      </c>
      <c r="CW115" s="51">
        <v>3462.3</v>
      </c>
      <c r="CX115" s="51">
        <f>2699.1+486.7</f>
        <v>3185.7999999999997</v>
      </c>
      <c r="CY115" s="51">
        <v>3197.2</v>
      </c>
      <c r="CZ115" s="51">
        <v>4272</v>
      </c>
      <c r="DA115" s="51">
        <v>4996</v>
      </c>
      <c r="DB115" s="51">
        <v>5825.2</v>
      </c>
      <c r="DC115" s="51">
        <v>7099.3</v>
      </c>
      <c r="DD115" s="51">
        <v>6663.5</v>
      </c>
      <c r="DE115" s="51">
        <v>7954.1</v>
      </c>
      <c r="DF115" s="51">
        <v>9154.7999999999993</v>
      </c>
      <c r="DG115" s="51">
        <v>9462</v>
      </c>
      <c r="DH115" s="51">
        <v>8659.2000000000007</v>
      </c>
      <c r="DI115" s="51">
        <v>10165.9</v>
      </c>
      <c r="DJ115" s="51">
        <v>10775.4</v>
      </c>
      <c r="DK115" s="51">
        <v>11294.9</v>
      </c>
      <c r="DL115" s="51">
        <v>11149.3</v>
      </c>
      <c r="DM115" s="51">
        <v>11307.4</v>
      </c>
      <c r="DN115" s="51">
        <v>10863.7</v>
      </c>
      <c r="DO115" s="51">
        <v>12897.4</v>
      </c>
      <c r="DP115" s="51">
        <v>13635.5</v>
      </c>
      <c r="DQ115" s="51"/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85"/>
        <v>3185.7999999999997</v>
      </c>
      <c r="FG115" s="49">
        <f t="shared" si="396"/>
        <v>5825.2</v>
      </c>
      <c r="FH115" s="49">
        <f t="shared" si="387"/>
        <v>9154.7999999999993</v>
      </c>
      <c r="FI115" s="49">
        <f t="shared" si="388"/>
        <v>10775.4</v>
      </c>
      <c r="FJ115" s="49">
        <f t="shared" si="389"/>
        <v>10863.7</v>
      </c>
    </row>
    <row r="116" spans="1:166" s="49" customFormat="1" x14ac:dyDescent="0.2">
      <c r="A116" s="98"/>
      <c r="B116" s="50" t="s">
        <v>301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f>SUM(BN105:BN115)</f>
        <v>31001.4</v>
      </c>
      <c r="BO116" s="51">
        <f>SUM(BO105:BO115)</f>
        <v>31695.3</v>
      </c>
      <c r="BP116" s="51">
        <f t="shared" ref="BP116" si="397">SUM(BP105:BP115)</f>
        <v>32779.300000000003</v>
      </c>
      <c r="BQ116" s="51">
        <f>SUM(BQ105:BQ115)</f>
        <v>33042.199999999997</v>
      </c>
      <c r="BR116" s="51">
        <f>SUM(BR105:BR115)</f>
        <v>33659.799999999996</v>
      </c>
      <c r="BS116" s="51">
        <f>SUM(BS105:BS115)</f>
        <v>32238.199999999997</v>
      </c>
      <c r="BT116" s="51">
        <f>SUM(BT105:BT115)</f>
        <v>31812.6</v>
      </c>
      <c r="BU116" s="51">
        <f>SUM(BU105:BU115)</f>
        <v>34321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f t="shared" ref="CU116:CV116" si="398">SUM(CU105:CU115)</f>
        <v>38006.800000000003</v>
      </c>
      <c r="CV116" s="51">
        <f t="shared" si="398"/>
        <v>38666.400000000009</v>
      </c>
      <c r="CW116" s="51">
        <f t="shared" ref="CW116:CX116" si="399">SUM(CW105:CW115)</f>
        <v>37893.100000000006</v>
      </c>
      <c r="CX116" s="51">
        <f t="shared" si="399"/>
        <v>39286.100000000006</v>
      </c>
      <c r="CY116" s="51">
        <f t="shared" ref="CY116:DB116" si="400">SUM(CY105:CY115)</f>
        <v>41102.799999999996</v>
      </c>
      <c r="CZ116" s="51">
        <f t="shared" ref="CZ116" si="401">SUM(CZ105:CZ115)</f>
        <v>41967</v>
      </c>
      <c r="DA116" s="51">
        <f t="shared" si="400"/>
        <v>43945.999999999993</v>
      </c>
      <c r="DB116" s="51">
        <f t="shared" si="400"/>
        <v>46633.099999999991</v>
      </c>
      <c r="DC116" s="51">
        <f t="shared" ref="DC116" si="402">SUM(DC105:DC115)</f>
        <v>46838.3</v>
      </c>
      <c r="DD116" s="51">
        <f t="shared" ref="DD116" si="403">SUM(DD105:DD115)</f>
        <v>47809.000000000007</v>
      </c>
      <c r="DE116" s="51">
        <f t="shared" ref="DE116:DP116" si="404">SUM(DE105:DE115)</f>
        <v>48187</v>
      </c>
      <c r="DF116" s="51">
        <f t="shared" si="404"/>
        <v>48806</v>
      </c>
      <c r="DG116" s="51">
        <f t="shared" si="404"/>
        <v>46919.299999999996</v>
      </c>
      <c r="DH116" s="51">
        <f t="shared" si="404"/>
        <v>47063.599999999991</v>
      </c>
      <c r="DI116" s="51">
        <f t="shared" si="404"/>
        <v>47461.5</v>
      </c>
      <c r="DJ116" s="51">
        <f t="shared" si="404"/>
        <v>49489.799999999996</v>
      </c>
      <c r="DK116" s="51">
        <f t="shared" si="404"/>
        <v>53163</v>
      </c>
      <c r="DL116" s="51">
        <f t="shared" si="404"/>
        <v>54814</v>
      </c>
      <c r="DM116" s="51">
        <f t="shared" si="404"/>
        <v>57915.5</v>
      </c>
      <c r="DN116" s="51">
        <f t="shared" si="404"/>
        <v>64006.3</v>
      </c>
      <c r="DO116" s="51">
        <f t="shared" si="404"/>
        <v>63943.500000000007</v>
      </c>
      <c r="DP116" s="51">
        <f t="shared" si="404"/>
        <v>71874.799999999988</v>
      </c>
      <c r="DQ116" s="51"/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85"/>
        <v>39286.100000000006</v>
      </c>
      <c r="FG116" s="49">
        <f t="shared" si="396"/>
        <v>46633.099999999991</v>
      </c>
      <c r="FH116" s="49">
        <f t="shared" si="387"/>
        <v>48806</v>
      </c>
      <c r="FI116" s="49">
        <f t="shared" si="388"/>
        <v>49489.799999999996</v>
      </c>
      <c r="FJ116" s="49">
        <f t="shared" si="389"/>
        <v>64006.3</v>
      </c>
    </row>
    <row r="117" spans="1:166" x14ac:dyDescent="0.2">
      <c r="A117" s="102"/>
      <c r="FG117" s="49"/>
      <c r="FH117" s="49"/>
      <c r="FI117" s="49"/>
    </row>
    <row r="118" spans="1:166" x14ac:dyDescent="0.2">
      <c r="A118" s="102"/>
      <c r="B118" s="50" t="s">
        <v>387</v>
      </c>
      <c r="CU118" s="51">
        <f t="shared" ref="CU118:CX118" si="405">CU72</f>
        <v>1094.6999999999975</v>
      </c>
      <c r="CV118" s="51">
        <f t="shared" si="405"/>
        <v>1329.0000000000009</v>
      </c>
      <c r="CW118" s="51">
        <f t="shared" si="405"/>
        <v>1294.8000000000011</v>
      </c>
      <c r="CX118" s="51">
        <f t="shared" si="405"/>
        <v>1354.7999999999995</v>
      </c>
      <c r="CY118" s="51">
        <f t="shared" ref="CY118:DB118" si="406">CY72</f>
        <v>1431.4999999999975</v>
      </c>
      <c r="CZ118" s="51">
        <f t="shared" si="406"/>
        <v>1228.4999999999986</v>
      </c>
      <c r="DA118" s="51">
        <f t="shared" si="406"/>
        <v>1164.1999999999989</v>
      </c>
      <c r="DB118" s="51">
        <f t="shared" si="406"/>
        <v>1892.6999999999991</v>
      </c>
      <c r="DC118" s="51">
        <f t="shared" ref="DC118:DJ118" si="407">DC72</f>
        <v>1777.5000000000007</v>
      </c>
      <c r="DD118" s="51">
        <f t="shared" si="407"/>
        <v>1698.2999999999972</v>
      </c>
      <c r="DE118" s="51">
        <f t="shared" si="407"/>
        <v>1693.5999999999979</v>
      </c>
      <c r="DF118" s="51">
        <f t="shared" si="407"/>
        <v>2207.1999999999994</v>
      </c>
      <c r="DG118" s="51">
        <f t="shared" si="407"/>
        <v>2538.4999999999991</v>
      </c>
      <c r="DH118" s="51">
        <f t="shared" si="407"/>
        <v>1703.7000000000016</v>
      </c>
      <c r="DI118" s="51">
        <f t="shared" si="407"/>
        <v>1720.4999999999993</v>
      </c>
      <c r="DJ118" s="51">
        <f t="shared" si="407"/>
        <v>2026.900000000001</v>
      </c>
      <c r="DK118" s="51">
        <f t="shared" ref="DK118:DP118" si="408">+DK72</f>
        <v>1504.4999999999991</v>
      </c>
      <c r="DL118" s="51">
        <f t="shared" si="408"/>
        <v>1481.3999999999992</v>
      </c>
      <c r="DM118" s="51">
        <f t="shared" si="408"/>
        <v>2668.5656999999987</v>
      </c>
      <c r="DN118" s="51">
        <f t="shared" si="408"/>
        <v>2863.6000000000045</v>
      </c>
      <c r="DO118" s="51">
        <f t="shared" si="408"/>
        <v>2387.8000000000002</v>
      </c>
      <c r="DP118" s="51">
        <f t="shared" si="408"/>
        <v>3547.7999999999984</v>
      </c>
      <c r="FF118" s="49">
        <f>+DA118</f>
        <v>1164.1999999999989</v>
      </c>
      <c r="FG118" s="49">
        <f>+DB118</f>
        <v>1892.6999999999991</v>
      </c>
      <c r="FH118" s="49">
        <f t="shared" si="387"/>
        <v>2207.1999999999994</v>
      </c>
      <c r="FI118" s="49">
        <f t="shared" si="388"/>
        <v>2026.900000000001</v>
      </c>
      <c r="FJ118" s="49">
        <f>SUM(DK118:DN118)</f>
        <v>8518.065700000001</v>
      </c>
    </row>
    <row r="119" spans="1:166" x14ac:dyDescent="0.2">
      <c r="A119" s="102"/>
      <c r="B119" s="50" t="s">
        <v>388</v>
      </c>
      <c r="CU119" s="51">
        <v>4241.6000000000004</v>
      </c>
      <c r="CV119" s="51">
        <f>5568.8-CU119</f>
        <v>1327.1999999999998</v>
      </c>
      <c r="CW119" s="51">
        <f>6822.7-CV119-CU119</f>
        <v>1253.8999999999996</v>
      </c>
      <c r="CX119" s="51">
        <f>8318.4-CW119-CV119-CU119</f>
        <v>1495.6999999999998</v>
      </c>
      <c r="CY119" s="51">
        <v>1456.5</v>
      </c>
      <c r="CZ119" s="51">
        <f>2868.5-CY119</f>
        <v>1412</v>
      </c>
      <c r="DA119" s="51">
        <f>4076.9-CZ119-CY119</f>
        <v>1208.4000000000001</v>
      </c>
      <c r="DB119" s="51">
        <f>6193.7-DA119-CZ119-CY119</f>
        <v>2116.7999999999993</v>
      </c>
      <c r="DC119" s="51">
        <v>1355.3</v>
      </c>
      <c r="DD119" s="51">
        <f>2745.5-DC119</f>
        <v>1390.2</v>
      </c>
      <c r="DE119" s="51">
        <f>3855.6-DD119-DC119</f>
        <v>1110.0999999999997</v>
      </c>
      <c r="DF119" s="51">
        <f>5581.7-DE119-DD119-DC119</f>
        <v>1726.1000000000006</v>
      </c>
      <c r="DG119" s="51">
        <v>1902.9</v>
      </c>
      <c r="DH119" s="51">
        <f>2855.4-DG119</f>
        <v>952.5</v>
      </c>
      <c r="DI119" s="51">
        <f>4307.1-DH119-DG119</f>
        <v>1451.7000000000003</v>
      </c>
      <c r="DJ119" s="51">
        <f>6244.8-DI119-DH119-DG119</f>
        <v>1937.7000000000003</v>
      </c>
      <c r="DK119" s="51">
        <v>1344.9</v>
      </c>
      <c r="DL119" s="52">
        <f>3108.1-DK119</f>
        <v>1763.1999999999998</v>
      </c>
      <c r="DM119" s="51">
        <f>3050.7-DL119-DK119</f>
        <v>-57.400000000000091</v>
      </c>
      <c r="DN119" s="51">
        <f>5240.4-DM119-DL119-DK119</f>
        <v>2189.6999999999994</v>
      </c>
      <c r="DO119" s="51">
        <v>2242.9</v>
      </c>
      <c r="DP119" s="51">
        <f>5209.9-DO119</f>
        <v>2966.9999999999995</v>
      </c>
      <c r="FF119" s="49">
        <f t="shared" ref="FF119:FF126" si="409">SUM(CU119:CX119)</f>
        <v>8318.4</v>
      </c>
      <c r="FG119" s="49">
        <f t="shared" ref="FG119:FG126" si="410">SUM(CY119:DB119)</f>
        <v>6193.6999999999989</v>
      </c>
      <c r="FH119" s="49">
        <f t="shared" ref="FH119:FH124" si="411">SUM(DC119:DF119)</f>
        <v>5581.7</v>
      </c>
      <c r="FI119" s="49">
        <f t="shared" ref="FI119:FI124" si="412">SUM(DG119:DJ119)</f>
        <v>6244.8000000000011</v>
      </c>
      <c r="FJ119" s="49">
        <f t="shared" ref="FJ119:FJ124" si="413">SUM(DK119:DN119)</f>
        <v>5240.3999999999996</v>
      </c>
    </row>
    <row r="120" spans="1:166" x14ac:dyDescent="0.2">
      <c r="A120" s="102"/>
      <c r="B120" s="50" t="s">
        <v>389</v>
      </c>
      <c r="CU120" s="51">
        <v>356.5</v>
      </c>
      <c r="CV120" s="51">
        <f>603.9-CU120</f>
        <v>247.39999999999998</v>
      </c>
      <c r="CW120" s="51">
        <f>891.9-CV120-CU120</f>
        <v>288</v>
      </c>
      <c r="CX120" s="51">
        <f>1232.6-CW120-CV120-CU120</f>
        <v>340.69999999999993</v>
      </c>
      <c r="CY120" s="51">
        <v>273.60000000000002</v>
      </c>
      <c r="CZ120" s="51">
        <f>598-CY120</f>
        <v>324.39999999999998</v>
      </c>
      <c r="DA120" s="51">
        <f>956.4-CZ120-CY120</f>
        <v>358.4</v>
      </c>
      <c r="DB120" s="51">
        <f>1323.9-DA120-CZ120-CY120</f>
        <v>367.50000000000011</v>
      </c>
      <c r="DC120" s="51">
        <v>350.3</v>
      </c>
      <c r="DD120" s="51">
        <f>719.6-DC120</f>
        <v>369.3</v>
      </c>
      <c r="DE120" s="51">
        <f>1101.9-DD120-DC120</f>
        <v>382.30000000000013</v>
      </c>
      <c r="DF120" s="51">
        <f>1547.6-DE120-DD120-DC120</f>
        <v>445.69999999999976</v>
      </c>
      <c r="DG120" s="51">
        <v>435.7</v>
      </c>
      <c r="DH120" s="51">
        <f>784.6-DG120</f>
        <v>348.90000000000003</v>
      </c>
      <c r="DI120" s="51">
        <f>1147.5-DH120-DG120</f>
        <v>362.89999999999992</v>
      </c>
      <c r="DJ120" s="51">
        <f>1522.5-DI120-DH120-DG120</f>
        <v>375.00000000000006</v>
      </c>
      <c r="DK120" s="51">
        <v>362.3</v>
      </c>
      <c r="DL120" s="51">
        <f>728.6-DK120</f>
        <v>366.3</v>
      </c>
      <c r="DM120" s="51">
        <f>1139.6-DL120-DK120</f>
        <v>410.99999999999994</v>
      </c>
      <c r="DN120" s="51">
        <f>1527.3-DM120-DL120-DK120</f>
        <v>387.7</v>
      </c>
      <c r="DO120" s="51">
        <v>400.6</v>
      </c>
      <c r="DP120" s="51">
        <f>815-DO120</f>
        <v>414.4</v>
      </c>
      <c r="FF120" s="49">
        <f t="shared" si="409"/>
        <v>1232.5999999999999</v>
      </c>
      <c r="FG120" s="49">
        <f t="shared" si="410"/>
        <v>1323.9</v>
      </c>
      <c r="FH120" s="49">
        <f t="shared" si="411"/>
        <v>1547.6</v>
      </c>
      <c r="FI120" s="49">
        <f t="shared" si="412"/>
        <v>1522.5</v>
      </c>
      <c r="FJ120" s="49">
        <f t="shared" si="413"/>
        <v>1527.3</v>
      </c>
    </row>
    <row r="121" spans="1:166" x14ac:dyDescent="0.2">
      <c r="A121" s="102"/>
      <c r="B121" s="50" t="s">
        <v>385</v>
      </c>
      <c r="CU121" s="51">
        <v>-72.400000000000006</v>
      </c>
      <c r="CV121" s="51">
        <f>-11.3-CU121</f>
        <v>61.100000000000009</v>
      </c>
      <c r="CW121" s="51">
        <f>-23.4-CV121-CU121</f>
        <v>-12.099999999999994</v>
      </c>
      <c r="CX121" s="51">
        <f>62.4-CW121-CV121-CU121</f>
        <v>85.8</v>
      </c>
      <c r="CY121" s="51">
        <v>11.2</v>
      </c>
      <c r="CZ121" s="51">
        <f>-93.5-CY121</f>
        <v>-104.7</v>
      </c>
      <c r="DA121" s="51">
        <f>66.2-CZ121-CY121</f>
        <v>159.70000000000002</v>
      </c>
      <c r="DB121" s="51">
        <f>-134.5-DA121-CZ121-CY121</f>
        <v>-200.70000000000005</v>
      </c>
      <c r="DC121" s="51">
        <v>-119.1</v>
      </c>
      <c r="DD121" s="51">
        <f>-413.8-DC121</f>
        <v>-294.70000000000005</v>
      </c>
      <c r="DE121" s="51">
        <f>-709.8-DD121-DC121</f>
        <v>-295.99999999999989</v>
      </c>
      <c r="DF121" s="51">
        <f>-802.3-DE121-DD121-DC121</f>
        <v>-92.500000000000028</v>
      </c>
      <c r="DG121" s="51">
        <v>-506.6</v>
      </c>
      <c r="DH121" s="51">
        <f>-1125-DG121</f>
        <v>-618.4</v>
      </c>
      <c r="DI121" s="51">
        <f>-2195.6-DH121-DG121</f>
        <v>-1070.5999999999999</v>
      </c>
      <c r="DJ121" s="51">
        <f>-2185.2-DI121-DH121-DG121</f>
        <v>10.400000000000091</v>
      </c>
      <c r="DK121" s="51">
        <v>-559.4</v>
      </c>
      <c r="DL121" s="51">
        <f>-990.5-DK121</f>
        <v>-431.1</v>
      </c>
      <c r="DM121" s="51">
        <f>-1834.8-DL121-DK121</f>
        <v>-844.29999999999984</v>
      </c>
      <c r="DN121" s="51">
        <f>-2341-DM121-DL121-DK121</f>
        <v>-506.20000000000039</v>
      </c>
      <c r="DO121" s="51">
        <v>-279</v>
      </c>
      <c r="DP121" s="51">
        <f>-1286.6-DO121</f>
        <v>-1007.5999999999999</v>
      </c>
      <c r="FF121" s="49">
        <f t="shared" si="409"/>
        <v>62.400000000000006</v>
      </c>
      <c r="FG121" s="49">
        <f t="shared" si="410"/>
        <v>-134.50000000000003</v>
      </c>
      <c r="FH121" s="49">
        <f t="shared" si="411"/>
        <v>-802.3</v>
      </c>
      <c r="FI121" s="49">
        <f t="shared" si="412"/>
        <v>-2185.1999999999998</v>
      </c>
      <c r="FJ121" s="49">
        <f t="shared" si="413"/>
        <v>-2341</v>
      </c>
    </row>
    <row r="122" spans="1:166" x14ac:dyDescent="0.2">
      <c r="A122" s="102"/>
      <c r="B122" s="50" t="s">
        <v>390</v>
      </c>
      <c r="CU122" s="51">
        <v>75.8</v>
      </c>
      <c r="CV122" s="51">
        <f>155.3-CU122</f>
        <v>79.500000000000014</v>
      </c>
      <c r="CW122" s="51">
        <f>230.8-CV122-CU122</f>
        <v>75.500000000000014</v>
      </c>
      <c r="CX122" s="51">
        <f>312.4-CW122-CV122-CU122</f>
        <v>81.59999999999998</v>
      </c>
      <c r="CY122" s="51">
        <v>71.8</v>
      </c>
      <c r="CZ122" s="51">
        <f>148.6-CY122</f>
        <v>76.8</v>
      </c>
      <c r="DA122" s="51">
        <f>220.3-CZ122-CY122</f>
        <v>71.7</v>
      </c>
      <c r="DB122" s="51">
        <f>308.1-DA122-CZ122-CY122</f>
        <v>87.800000000000026</v>
      </c>
      <c r="DC122" s="51">
        <v>85.5</v>
      </c>
      <c r="DD122" s="51">
        <f>177.4-DC122</f>
        <v>91.9</v>
      </c>
      <c r="DE122" s="51">
        <f>267.5-DD122-DC122</f>
        <v>90.1</v>
      </c>
      <c r="DF122" s="51">
        <f>342.8-DE122-DD122-DC122</f>
        <v>75.300000000000011</v>
      </c>
      <c r="DG122" s="51">
        <v>101</v>
      </c>
      <c r="DH122" s="51">
        <f>193.1-DG122</f>
        <v>92.1</v>
      </c>
      <c r="DI122" s="51">
        <f>278.2-DH122-DG122</f>
        <v>85.1</v>
      </c>
      <c r="DJ122" s="51">
        <f>371.1-DI122-DH122-DG122</f>
        <v>92.9</v>
      </c>
      <c r="DK122" s="51">
        <v>131.19999999999999</v>
      </c>
      <c r="DL122" s="51">
        <f>292.7-DK122</f>
        <v>161.5</v>
      </c>
      <c r="DM122" s="51">
        <f>508.3-DL122-DK122</f>
        <v>215.60000000000002</v>
      </c>
      <c r="DN122" s="51">
        <f>628.5-DM122-DL122-DK122</f>
        <v>120.19999999999999</v>
      </c>
      <c r="DO122" s="51">
        <v>159.4</v>
      </c>
      <c r="DP122" s="51">
        <f>370.5-DO122</f>
        <v>211.1</v>
      </c>
      <c r="FF122" s="49">
        <f t="shared" si="409"/>
        <v>312.39999999999998</v>
      </c>
      <c r="FG122" s="49">
        <f t="shared" si="410"/>
        <v>308.10000000000002</v>
      </c>
      <c r="FH122" s="49">
        <f t="shared" si="411"/>
        <v>342.8</v>
      </c>
      <c r="FI122" s="49">
        <f t="shared" si="412"/>
        <v>371.1</v>
      </c>
      <c r="FJ122" s="49">
        <f t="shared" si="413"/>
        <v>628.5</v>
      </c>
    </row>
    <row r="123" spans="1:166" x14ac:dyDescent="0.2">
      <c r="A123" s="102"/>
      <c r="B123" s="50" t="s">
        <v>391</v>
      </c>
      <c r="CU123" s="51">
        <v>-3680.5</v>
      </c>
      <c r="CV123" s="51">
        <f>-3680.5-CU123</f>
        <v>0</v>
      </c>
      <c r="CW123" s="51">
        <f>-3680.5-CV123-CU123</f>
        <v>0</v>
      </c>
      <c r="CX123" s="51">
        <f>-3680.5-309.8-CW123-CV123-CU123</f>
        <v>-309.80000000000018</v>
      </c>
      <c r="CY123" s="51">
        <v>0</v>
      </c>
      <c r="CZ123" s="51">
        <f>-765-CY123</f>
        <v>-765</v>
      </c>
      <c r="DA123" s="51">
        <f>-909.5-CZ123-CY123</f>
        <v>-144.5</v>
      </c>
      <c r="DB123" s="51">
        <f>-1438.5-DA123-CZ123-CY123</f>
        <v>-529</v>
      </c>
      <c r="DC123" s="51">
        <v>-302.2</v>
      </c>
      <c r="DD123" s="51">
        <f>-518.1-DC123</f>
        <v>-215.90000000000003</v>
      </c>
      <c r="DE123" s="51">
        <f>-271.1-DD123-DC123</f>
        <v>247</v>
      </c>
      <c r="DF123" s="51">
        <f>-178-DE123-DD123-DC123</f>
        <v>93.100000000000023</v>
      </c>
      <c r="DG123" s="51">
        <v>426.1</v>
      </c>
      <c r="DH123" s="51">
        <f>545.6-DG123</f>
        <v>119.5</v>
      </c>
      <c r="DI123" s="51">
        <f>676.4-DH123-DG123</f>
        <v>130.79999999999995</v>
      </c>
      <c r="DJ123" s="51">
        <f>420-DI123-DH123-DG123</f>
        <v>-256.39999999999998</v>
      </c>
      <c r="DK123" s="51">
        <v>14.2</v>
      </c>
      <c r="DL123" s="51">
        <f>80-DK123</f>
        <v>65.8</v>
      </c>
      <c r="DM123" s="51">
        <f>144.5-DL123-DK123</f>
        <v>64.5</v>
      </c>
      <c r="DN123" s="51">
        <f>23.5-DM123-DL123-DK123</f>
        <v>-121</v>
      </c>
      <c r="DO123" s="51">
        <v>-15.8</v>
      </c>
      <c r="DP123" s="51">
        <f>142.2-DO123</f>
        <v>158</v>
      </c>
      <c r="FF123" s="49">
        <f t="shared" si="409"/>
        <v>-3990.3</v>
      </c>
      <c r="FG123" s="49">
        <f t="shared" si="410"/>
        <v>-1438.5</v>
      </c>
      <c r="FH123" s="49">
        <f t="shared" si="411"/>
        <v>-178</v>
      </c>
      <c r="FI123" s="49">
        <f t="shared" si="412"/>
        <v>420</v>
      </c>
      <c r="FJ123" s="49">
        <f t="shared" si="413"/>
        <v>23.5</v>
      </c>
    </row>
    <row r="124" spans="1:166" x14ac:dyDescent="0.2">
      <c r="A124" s="102"/>
      <c r="B124" s="50" t="s">
        <v>392</v>
      </c>
      <c r="CU124" s="51">
        <v>136.9</v>
      </c>
      <c r="CV124" s="51">
        <f>161.9-CU124</f>
        <v>25</v>
      </c>
      <c r="CW124" s="51">
        <f>239.6-CV124-CU124</f>
        <v>77.699999999999989</v>
      </c>
      <c r="CX124" s="51">
        <f>239.6-CW124-CV124-CU124</f>
        <v>0</v>
      </c>
      <c r="CY124" s="51">
        <v>52.3</v>
      </c>
      <c r="CZ124" s="51">
        <f>294.1-CY124</f>
        <v>241.8</v>
      </c>
      <c r="DA124" s="51">
        <f>294.1-CZ124-CY124</f>
        <v>0</v>
      </c>
      <c r="DB124" s="51">
        <f>660.4-DA124-CZ124-CY124</f>
        <v>366.29999999999995</v>
      </c>
      <c r="DC124" s="51">
        <v>299.3</v>
      </c>
      <c r="DD124" s="51">
        <f>324.3-DC124</f>
        <v>25</v>
      </c>
      <c r="DE124" s="51">
        <f>498.3-DD124-DC124</f>
        <v>174</v>
      </c>
      <c r="DF124" s="51">
        <f>874.9-DE124-DD124-DC124</f>
        <v>376.59999999999997</v>
      </c>
      <c r="DG124" s="51">
        <v>153</v>
      </c>
      <c r="DH124" s="51">
        <f>233-DG124</f>
        <v>80</v>
      </c>
      <c r="DI124" s="51">
        <f>252-DH124-DG124</f>
        <v>19</v>
      </c>
      <c r="DJ124" s="51">
        <f>420.9-DI124-DH124-DG124</f>
        <v>168.89999999999998</v>
      </c>
      <c r="DK124" s="51">
        <v>105</v>
      </c>
      <c r="DL124" s="51">
        <f>202.1-DK124</f>
        <v>97.1</v>
      </c>
      <c r="DM124" s="51">
        <f>3177.2-DL124-DK124</f>
        <v>2975.1</v>
      </c>
      <c r="DN124" s="51">
        <f>3799.8-DM124-DL124-DK124</f>
        <v>622.60000000000025</v>
      </c>
      <c r="DO124" s="51">
        <v>110.5</v>
      </c>
      <c r="DP124" s="51">
        <f>264.8-DO124</f>
        <v>154.30000000000001</v>
      </c>
      <c r="FF124" s="49">
        <f t="shared" si="409"/>
        <v>239.6</v>
      </c>
      <c r="FG124" s="49">
        <f t="shared" si="410"/>
        <v>660.4</v>
      </c>
      <c r="FH124" s="49">
        <f t="shared" si="411"/>
        <v>874.9</v>
      </c>
      <c r="FI124" s="49">
        <f t="shared" si="412"/>
        <v>420.9</v>
      </c>
      <c r="FJ124" s="49">
        <f t="shared" si="413"/>
        <v>3799.8</v>
      </c>
    </row>
    <row r="125" spans="1:166" x14ac:dyDescent="0.2">
      <c r="A125" s="102"/>
      <c r="B125" s="50" t="s">
        <v>78</v>
      </c>
      <c r="CU125" s="51">
        <v>-714.3</v>
      </c>
      <c r="CV125" s="51">
        <f>-1516.4-CU125</f>
        <v>-802.10000000000014</v>
      </c>
      <c r="CW125" s="51">
        <f>-1763.7-CV125-CU125</f>
        <v>-247.29999999999995</v>
      </c>
      <c r="CX125" s="51">
        <f>348.7-CW125-CV125-CU125</f>
        <v>2112.4</v>
      </c>
      <c r="CY125" s="51">
        <v>-74.900000000000006</v>
      </c>
      <c r="CZ125" s="51">
        <f>-481.6-CY125</f>
        <v>-406.70000000000005</v>
      </c>
      <c r="DA125" s="51">
        <f>-232.2-CZ125-CY125</f>
        <v>249.40000000000006</v>
      </c>
      <c r="DB125" s="51">
        <f>333.9-DA125-CZ125-CY125</f>
        <v>566.09999999999991</v>
      </c>
      <c r="DC125" s="51">
        <v>-102.8</v>
      </c>
      <c r="DD125" s="51">
        <f>118.4-DC125</f>
        <v>221.2</v>
      </c>
      <c r="DE125" s="51">
        <f>-548.1-DD125-DC125+405.2</f>
        <v>-261.3</v>
      </c>
      <c r="DF125" s="51">
        <f>511.4-DE125-DD125-DC125+405.2</f>
        <v>1059.5</v>
      </c>
      <c r="DG125" s="51">
        <v>-45.5</v>
      </c>
      <c r="DH125" s="51">
        <f>-117.6-DG125</f>
        <v>-72.099999999999994</v>
      </c>
      <c r="DI125" s="51">
        <f>821.5-DH125-DG125</f>
        <v>939.1</v>
      </c>
      <c r="DJ125" s="51">
        <f>304.8-DI125-DH125-DG125</f>
        <v>-516.69999999999993</v>
      </c>
      <c r="DK125" s="51">
        <v>168.3</v>
      </c>
      <c r="DL125" s="51">
        <f>-382.4-DK125</f>
        <v>-550.70000000000005</v>
      </c>
      <c r="DM125" s="51">
        <f>117.2-DL125-DK125-1853.9</f>
        <v>-1354.3</v>
      </c>
      <c r="DN125" s="51">
        <f>295.5-1878.9-DM125-DL125-DK125</f>
        <v>153.2999999999999</v>
      </c>
      <c r="DO125" s="51">
        <v>298.60000000000002</v>
      </c>
      <c r="DP125" s="51">
        <f>-3150.3-DO125</f>
        <v>-3448.9</v>
      </c>
      <c r="FF125" s="49">
        <f t="shared" si="409"/>
        <v>348.70000000000005</v>
      </c>
      <c r="FG125" s="49">
        <f t="shared" si="410"/>
        <v>333.9</v>
      </c>
      <c r="FH125" s="49">
        <f>SUM(DC125:DF125)</f>
        <v>916.59999999999991</v>
      </c>
      <c r="FI125" s="49">
        <f>SUM(DG125:DJ125)</f>
        <v>304.80000000000007</v>
      </c>
      <c r="FJ125" s="49">
        <f>SUM(DK125:DN125)</f>
        <v>-1583.4</v>
      </c>
    </row>
    <row r="126" spans="1:166" x14ac:dyDescent="0.2">
      <c r="A126" s="102"/>
      <c r="B126" s="50" t="s">
        <v>393</v>
      </c>
      <c r="CU126" s="51">
        <v>-32.299999999999997</v>
      </c>
      <c r="CV126" s="51">
        <f>81.1-CU126</f>
        <v>113.39999999999999</v>
      </c>
      <c r="CW126" s="51">
        <f>155.5-CV126-CU126</f>
        <v>74.400000000000006</v>
      </c>
      <c r="CX126" s="51">
        <f>-127.2-258.7-602.3-221.3-477.7-CW126-CV126-CU126</f>
        <v>-1842.7000000000003</v>
      </c>
      <c r="CY126" s="51">
        <v>-1408.1</v>
      </c>
      <c r="CZ126" s="51">
        <f>308.7-CY126</f>
        <v>1716.8</v>
      </c>
      <c r="DA126" s="51">
        <f>212.2-CZ126-CY126</f>
        <v>-96.5</v>
      </c>
      <c r="DB126" s="51">
        <f>-1350.2-533.4-457.1+322+1271.3-DA126-CZ126-CY126</f>
        <v>-959.59999999999991</v>
      </c>
      <c r="DC126" s="51">
        <v>131.1</v>
      </c>
      <c r="DD126" s="51">
        <f>319.6-DC126</f>
        <v>188.50000000000003</v>
      </c>
      <c r="DE126" s="51">
        <f>504.7-DD126-DC126</f>
        <v>185.09999999999994</v>
      </c>
      <c r="DF126" s="51">
        <f>-1278.3-235.9+1515.4-359.7-664.1-DE126-DD126-DC126</f>
        <v>-1527.2999999999997</v>
      </c>
      <c r="DG126" s="51">
        <v>32.6</v>
      </c>
      <c r="DH126" s="51">
        <f>-49.2-DG126</f>
        <v>-81.800000000000011</v>
      </c>
      <c r="DI126" s="51">
        <f>217.9-DH126-DG126</f>
        <v>267.10000000000002</v>
      </c>
      <c r="DJ126" s="51">
        <f>-299.6-599.7-793.5+346.6+1331.7-DI126-DH126-DG126</f>
        <v>-232.40000000000023</v>
      </c>
      <c r="DK126" s="51">
        <v>164.1</v>
      </c>
      <c r="DL126" s="51">
        <f>-676.1-DK126</f>
        <v>-840.2</v>
      </c>
      <c r="DM126" s="51">
        <f>103.2-DL126-DK126</f>
        <v>779.30000000000007</v>
      </c>
      <c r="DN126" s="51">
        <f>-2451-1425-3453.4+4274.4-DM126-DL126-DK126</f>
        <v>-3158.2000000000003</v>
      </c>
      <c r="DO126" s="51">
        <v>-1751.2</v>
      </c>
      <c r="DP126" s="51">
        <f>266.7-DO126</f>
        <v>2017.9</v>
      </c>
      <c r="FF126" s="49">
        <f t="shared" si="409"/>
        <v>-1687.2000000000003</v>
      </c>
      <c r="FG126" s="49">
        <f t="shared" si="410"/>
        <v>-747.39999999999986</v>
      </c>
      <c r="FH126" s="49">
        <f>SUM(DC126:DF126)</f>
        <v>-1022.5999999999998</v>
      </c>
      <c r="FI126" s="49">
        <f>SUM(DG126:DJ126)</f>
        <v>-14.500000000000227</v>
      </c>
      <c r="FJ126" s="49">
        <f>SUM(DK126:DN126)</f>
        <v>-3055</v>
      </c>
    </row>
    <row r="127" spans="1:166" s="49" customFormat="1" x14ac:dyDescent="0.2">
      <c r="B127" s="50" t="s">
        <v>302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>
        <v>1176.0999999999999</v>
      </c>
      <c r="BP127" s="51">
        <f>3216.4-BO127</f>
        <v>2040.3000000000002</v>
      </c>
      <c r="BQ127" s="51">
        <f>5289.8-BP127-BO127</f>
        <v>2073.4</v>
      </c>
      <c r="BR127" s="52">
        <f>7234.5-BQ127-BP127-BO127</f>
        <v>1944.7000000000003</v>
      </c>
      <c r="BS127" s="52">
        <v>852.5</v>
      </c>
      <c r="BT127" s="52">
        <f>2158.5-BS127</f>
        <v>1306</v>
      </c>
      <c r="BU127" s="51">
        <f>3702.8-BT127-BS127</f>
        <v>1544.3000000000002</v>
      </c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>
        <f t="shared" ref="CU127:CX127" si="414">SUM(CU119:CU126)</f>
        <v>311.30000000000103</v>
      </c>
      <c r="CV127" s="51">
        <f t="shared" si="414"/>
        <v>1051.4999999999998</v>
      </c>
      <c r="CW127" s="51">
        <f t="shared" si="414"/>
        <v>1510.1</v>
      </c>
      <c r="CX127" s="51">
        <f t="shared" si="414"/>
        <v>1963.6999999999994</v>
      </c>
      <c r="CY127" s="51">
        <f>SUM(CY119:CY126)</f>
        <v>382.39999999999986</v>
      </c>
      <c r="CZ127" s="51">
        <f t="shared" ref="CZ127:DB127" si="415">SUM(CZ119:CZ126)</f>
        <v>2495.3999999999996</v>
      </c>
      <c r="DA127" s="51">
        <f t="shared" si="415"/>
        <v>1806.6000000000004</v>
      </c>
      <c r="DB127" s="51">
        <f t="shared" si="415"/>
        <v>1815.1999999999998</v>
      </c>
      <c r="DC127" s="51">
        <f t="shared" ref="DC127:DP127" si="416">SUM(DC119:DC126)</f>
        <v>1697.3999999999999</v>
      </c>
      <c r="DD127" s="51">
        <f t="shared" si="416"/>
        <v>1775.5</v>
      </c>
      <c r="DE127" s="51">
        <f t="shared" si="416"/>
        <v>1631.3</v>
      </c>
      <c r="DF127" s="51">
        <f t="shared" si="416"/>
        <v>2156.5000000000005</v>
      </c>
      <c r="DG127" s="51">
        <f t="shared" si="416"/>
        <v>2499.1999999999998</v>
      </c>
      <c r="DH127" s="51">
        <f t="shared" si="416"/>
        <v>820.7</v>
      </c>
      <c r="DI127" s="51">
        <f t="shared" si="416"/>
        <v>2185.1000000000004</v>
      </c>
      <c r="DJ127" s="51">
        <f t="shared" si="416"/>
        <v>1579.4000000000003</v>
      </c>
      <c r="DK127" s="52">
        <f t="shared" si="416"/>
        <v>1730.6000000000001</v>
      </c>
      <c r="DL127" s="52">
        <f t="shared" si="416"/>
        <v>631.89999999999986</v>
      </c>
      <c r="DM127" s="52">
        <f t="shared" si="416"/>
        <v>2189.5</v>
      </c>
      <c r="DN127" s="52">
        <f t="shared" si="416"/>
        <v>-311.90000000000146</v>
      </c>
      <c r="DO127" s="51">
        <f t="shared" si="416"/>
        <v>1165.9999999999998</v>
      </c>
      <c r="DP127" s="51">
        <f t="shared" si="416"/>
        <v>1466.1999999999998</v>
      </c>
      <c r="DQ127" s="51"/>
      <c r="DR127" s="51"/>
      <c r="DS127" s="51"/>
      <c r="DT127" s="51"/>
      <c r="DU127" s="51"/>
      <c r="DV127" s="51"/>
      <c r="EN127" s="51"/>
      <c r="EO127" s="51"/>
      <c r="EP127" s="51"/>
      <c r="EQ127" s="51"/>
      <c r="ER127" s="51"/>
      <c r="ES127" s="51"/>
      <c r="ET127" s="51"/>
      <c r="EU127" s="51">
        <v>7295.6</v>
      </c>
      <c r="EV127" s="51">
        <v>4335.5</v>
      </c>
      <c r="EW127" s="51">
        <v>6856.8</v>
      </c>
      <c r="EX127" s="51"/>
      <c r="EY127" s="51"/>
      <c r="EZ127" s="51"/>
      <c r="FA127" s="51"/>
      <c r="FB127" s="51"/>
      <c r="FC127" s="51"/>
      <c r="FD127" s="51"/>
      <c r="FF127" s="49">
        <f>SUM(DG127:DJ127)</f>
        <v>7084.4000000000005</v>
      </c>
      <c r="FG127" s="49">
        <f>SUM(DH127:DK127)</f>
        <v>6315.8000000000011</v>
      </c>
      <c r="FH127" s="49">
        <f>SUM(DI127:DL127)</f>
        <v>6127.0000000000009</v>
      </c>
      <c r="FI127" s="49">
        <f>SUM(DJ127:DM127)</f>
        <v>6131.4000000000005</v>
      </c>
      <c r="FJ127" s="49">
        <f>SUM(DK127:DN127)</f>
        <v>4240.0999999999985</v>
      </c>
    </row>
    <row r="128" spans="1:166" x14ac:dyDescent="0.2">
      <c r="DC128" s="51"/>
      <c r="DD128" s="51"/>
      <c r="DJ128" s="51"/>
      <c r="FG128" s="49"/>
      <c r="FH128" s="49"/>
      <c r="FI128" s="49"/>
    </row>
    <row r="129" spans="2:166" x14ac:dyDescent="0.2">
      <c r="B129" s="50" t="s">
        <v>394</v>
      </c>
      <c r="CU129" s="51">
        <v>-203.7</v>
      </c>
      <c r="CV129" s="51">
        <f>-444-CU129</f>
        <v>-240.3</v>
      </c>
      <c r="CW129" s="51">
        <f>-707.4-CV129-CU129</f>
        <v>-263.39999999999998</v>
      </c>
      <c r="CX129" s="51">
        <f>-1033.9-CW129-CV129-CU129</f>
        <v>-326.50000000000006</v>
      </c>
      <c r="CY129" s="51">
        <v>-258.3</v>
      </c>
      <c r="CZ129" s="51">
        <f>-540.1-CY129</f>
        <v>-281.8</v>
      </c>
      <c r="DA129" s="51">
        <f>-933.2-CZ129-CY129</f>
        <v>-393.10000000000008</v>
      </c>
      <c r="DB129" s="51">
        <f>-1387.9-DA129-CZ129-CY129</f>
        <v>-454.7</v>
      </c>
      <c r="DC129" s="51">
        <v>-300.3</v>
      </c>
      <c r="DD129" s="51">
        <f>-681.6-DC129</f>
        <v>-381.3</v>
      </c>
      <c r="DE129" s="51">
        <f>-1018.4-DD129-DC129</f>
        <v>-336.7999999999999</v>
      </c>
      <c r="DF129" s="51">
        <f>-1309.8-DE129-DD129-DC129</f>
        <v>-291.40000000000003</v>
      </c>
      <c r="DG129" s="51">
        <v>-365.4</v>
      </c>
      <c r="DH129" s="51">
        <f>-736.4-DG129</f>
        <v>-371</v>
      </c>
      <c r="DI129" s="51">
        <f>-1353.6-DH129-DG129</f>
        <v>-617.19999999999993</v>
      </c>
      <c r="DJ129" s="51">
        <f>-1854.3-DI129-DH129-DG129</f>
        <v>-500.69999999999993</v>
      </c>
      <c r="DK129" s="51">
        <v>-668.5</v>
      </c>
      <c r="DL129" s="51">
        <f>-1406.7-DK129</f>
        <v>-738.2</v>
      </c>
      <c r="DM129" s="51">
        <f>-2377-DL129-DK129</f>
        <v>-970.3</v>
      </c>
      <c r="DN129" s="51">
        <f>-3447.6-DM129-DL129-DK129</f>
        <v>-1070.6000000000001</v>
      </c>
      <c r="DO129" s="51">
        <v>-986.3</v>
      </c>
      <c r="DP129" s="51">
        <f>-2211.1-DO129</f>
        <v>-1224.8</v>
      </c>
      <c r="FF129" s="49">
        <f t="shared" ref="FF129:FF132" si="417">SUM(CU129:CX129)</f>
        <v>-1033.9000000000001</v>
      </c>
      <c r="FG129" s="49">
        <f t="shared" ref="FG129:FG132" si="418">SUM(CY129:DB129)</f>
        <v>-1387.9</v>
      </c>
      <c r="FH129" s="49">
        <f>SUM(DC129:DF129)</f>
        <v>-1309.8</v>
      </c>
      <c r="FI129" s="49">
        <f>SUM(DG129:DJ129)</f>
        <v>-1854.2999999999997</v>
      </c>
      <c r="FJ129" s="49">
        <f>SUM(DK129:DN129)</f>
        <v>-3447.6000000000004</v>
      </c>
    </row>
    <row r="130" spans="2:166" x14ac:dyDescent="0.2">
      <c r="B130" s="50" t="s">
        <v>391</v>
      </c>
      <c r="CU130" s="51">
        <f>35.9-33.7+83.6-60.6</f>
        <v>25.199999999999982</v>
      </c>
      <c r="CV130" s="51">
        <f>89.4-34.1+416.4-146.6-CU130</f>
        <v>299.90000000000003</v>
      </c>
      <c r="CW130" s="51">
        <f>116.3-34.1+498.4-196.7-CV130-CU130</f>
        <v>58.799999999999905</v>
      </c>
      <c r="CX130" s="51">
        <f>136.6-42.7+609.8-247.5-CW130-CV130-CU130</f>
        <v>72.300000000000011</v>
      </c>
      <c r="CY130" s="51">
        <f>36.8+54.5-83</f>
        <v>8.2999999999999972</v>
      </c>
      <c r="CZ130" s="51">
        <f>111.2+412-154.8-CY130</f>
        <v>360.1</v>
      </c>
      <c r="DA130" s="51">
        <f>118.8-11.4+574.1-223.7-CZ130-CY130</f>
        <v>89.399999999999991</v>
      </c>
      <c r="DB130" s="51">
        <f>129.7-11.4+757.1-358.7-DA130-CZ130-CY130</f>
        <v>58.900000000000048</v>
      </c>
      <c r="DC130" s="51">
        <f>4-19.4+284.8-291.5</f>
        <v>-22.099999999999966</v>
      </c>
      <c r="DD130" s="51">
        <f>21.3-26.6+461.9-503.1-DC130</f>
        <v>-24.400000000000091</v>
      </c>
      <c r="DE130" s="51">
        <f>46.6-27.9+537.2-710.1-DD130-DC130</f>
        <v>-107.69999999999987</v>
      </c>
      <c r="DF130" s="51">
        <f>47.4-83.5+800-929.9-DE130-DD130-DC130</f>
        <v>-11.800000000000068</v>
      </c>
      <c r="DG130" s="51">
        <f>26.7-14.6+81.4-116.7</f>
        <v>-23.200000000000003</v>
      </c>
      <c r="DH130" s="51">
        <f>57.6-32.9+168.5-251.4-DG130</f>
        <v>-35.000000000000014</v>
      </c>
      <c r="DI130" s="51">
        <f>83.1-65+251.6-474.1-DH130-DG130</f>
        <v>-146.20000000000005</v>
      </c>
      <c r="DJ130" s="51">
        <f>121.4-107.4+342.2-600.2-DI130-DH130-DG130</f>
        <v>-39.599999999999994</v>
      </c>
      <c r="DK130" s="51">
        <f>61.5-23+281.9-146</f>
        <v>174.39999999999998</v>
      </c>
      <c r="DL130" s="51">
        <f>109.6-59.8+388.4-343.4-DK130</f>
        <v>-79.599999999999966</v>
      </c>
      <c r="DM130" s="51">
        <f>155.2-79.2+476.2-474.8-DL130-DK130</f>
        <v>-17.400000000000091</v>
      </c>
      <c r="DN130" s="51">
        <f>192.2-98.2+508.1-730.8-DM130-DL130-DK130</f>
        <v>-206.09999999999985</v>
      </c>
      <c r="DO130" s="51">
        <f>41.4-24.4+70.5-117.1</f>
        <v>-29.599999999999994</v>
      </c>
      <c r="DP130" s="51">
        <f>75.4-48.8-DO130</f>
        <v>56.2</v>
      </c>
      <c r="FF130" s="49">
        <f t="shared" si="417"/>
        <v>456.19999999999993</v>
      </c>
      <c r="FG130" s="49">
        <f t="shared" si="418"/>
        <v>516.70000000000005</v>
      </c>
      <c r="FH130" s="49">
        <f>SUM(DC130:DF130)</f>
        <v>-166</v>
      </c>
      <c r="FI130" s="49">
        <f>SUM(DG130:DJ130)</f>
        <v>-244.00000000000006</v>
      </c>
      <c r="FJ130" s="49">
        <f>SUM(DK130:DN130)</f>
        <v>-128.69999999999993</v>
      </c>
    </row>
    <row r="131" spans="2:166" x14ac:dyDescent="0.2">
      <c r="B131" s="50" t="s">
        <v>395</v>
      </c>
      <c r="CU131" s="51">
        <f>-6917.7-196.9</f>
        <v>-7114.5999999999995</v>
      </c>
      <c r="CV131" s="51">
        <f>-6917.7-CU131-241.9</f>
        <v>-45.000000000000369</v>
      </c>
      <c r="CW131" s="51">
        <f>-6917.7-CV131-CU131-319.6</f>
        <v>-77.700000000000387</v>
      </c>
      <c r="CX131" s="51">
        <f>-6917.7-374+354.8-CW131-CV131-CU131-319.6</f>
        <v>-19.199999999999477</v>
      </c>
      <c r="CY131" s="51">
        <f>-849.3-13</f>
        <v>-862.3</v>
      </c>
      <c r="CZ131" s="51">
        <f>-849.3-CY131-254.4</f>
        <v>-241.4</v>
      </c>
      <c r="DA131" s="51">
        <f>-849.3-CZ131-CY131-276.4</f>
        <v>-22</v>
      </c>
      <c r="DB131" s="51">
        <f>-641.2-849.3-DA131-CZ131-CY131</f>
        <v>-364.79999999999995</v>
      </c>
      <c r="DC131" s="51">
        <f>-747.4-191.8</f>
        <v>-939.2</v>
      </c>
      <c r="DD131" s="51">
        <f>-747.4-341.8-DC131</f>
        <v>-150</v>
      </c>
      <c r="DE131" s="51">
        <f>-747.4-DD131-DC131-460.6</f>
        <v>-118.79999999999995</v>
      </c>
      <c r="DF131" s="51">
        <f>-563.4-DE131-DD131-DC131-747.4</f>
        <v>-102.79999999999995</v>
      </c>
      <c r="DG131" s="51">
        <v>-491.8</v>
      </c>
      <c r="DH131" s="51">
        <f>-571.8-DG131</f>
        <v>-79.999999999999943</v>
      </c>
      <c r="DI131" s="51">
        <f>-574.8-DH131-DG131</f>
        <v>-3</v>
      </c>
      <c r="DJ131" s="51">
        <f>-629.7-327.2-DI131-DH131-DG131</f>
        <v>-382.10000000000008</v>
      </c>
      <c r="DK131" s="51">
        <v>-235</v>
      </c>
      <c r="DL131" s="51">
        <f>-333.1-DK131</f>
        <v>-98.100000000000023</v>
      </c>
      <c r="DM131" s="51">
        <f>1604.3-3364-DL131-DK131</f>
        <v>-1426.6</v>
      </c>
      <c r="DN131" s="51">
        <f>-3944.5-DM131-DL131-DK131-1044.3</f>
        <v>-3229.1000000000004</v>
      </c>
      <c r="DO131" s="51">
        <v>-96.5</v>
      </c>
      <c r="DP131" s="51">
        <f>-947.7-DO131-274.5</f>
        <v>-1125.7</v>
      </c>
      <c r="FF131" s="49">
        <f t="shared" si="417"/>
        <v>-7256.5</v>
      </c>
      <c r="FG131" s="49">
        <f t="shared" si="418"/>
        <v>-1490.5</v>
      </c>
      <c r="FH131" s="49">
        <f>SUM(DC131:DF131)</f>
        <v>-1310.8</v>
      </c>
      <c r="FI131" s="49">
        <f>SUM(DG131:DJ131)</f>
        <v>-956.90000000000009</v>
      </c>
      <c r="FJ131" s="49">
        <f>SUM(DK131:DN131)</f>
        <v>-4988.8</v>
      </c>
    </row>
    <row r="132" spans="2:166" x14ac:dyDescent="0.2">
      <c r="B132" s="50" t="s">
        <v>78</v>
      </c>
      <c r="CU132" s="51">
        <v>-385.6</v>
      </c>
      <c r="CV132" s="51">
        <f>-339.2-CU132</f>
        <v>46.400000000000034</v>
      </c>
      <c r="CW132" s="51">
        <f>-480.7-CV132-CU132</f>
        <v>-141.5</v>
      </c>
      <c r="CX132" s="51">
        <f>-248.7-CW132-CV132-CU132</f>
        <v>232</v>
      </c>
      <c r="CY132" s="51">
        <v>51.4</v>
      </c>
      <c r="CZ132" s="51">
        <f>4.1-CY132</f>
        <v>-47.3</v>
      </c>
      <c r="DA132" s="51">
        <f>16.3-CZ132-CY132</f>
        <v>12.199999999999996</v>
      </c>
      <c r="DB132" s="51">
        <f>102.8-DA132-CZ132-CY132</f>
        <v>86.499999999999972</v>
      </c>
      <c r="DC132" s="51">
        <v>-21.9</v>
      </c>
      <c r="DD132" s="51">
        <f>50.5-DC132</f>
        <v>72.400000000000006</v>
      </c>
      <c r="DE132" s="51">
        <f>-2.7-DD132-DC132</f>
        <v>-53.20000000000001</v>
      </c>
      <c r="DF132" s="51">
        <f>24.3-DE132-DD132-DC132</f>
        <v>27.000000000000007</v>
      </c>
      <c r="DG132" s="51">
        <v>-133.4</v>
      </c>
      <c r="DH132" s="51">
        <f>-111.3-DG132</f>
        <v>22.100000000000009</v>
      </c>
      <c r="DI132" s="51">
        <f>-268.3-DH132-DG132</f>
        <v>-157.00000000000003</v>
      </c>
      <c r="DJ132" s="51">
        <f>-206.4-DI132-DH132-DG132</f>
        <v>61.90000000000002</v>
      </c>
      <c r="DK132" s="51">
        <v>40.299999999999997</v>
      </c>
      <c r="DL132" s="51">
        <f>497.1-DK132</f>
        <v>456.8</v>
      </c>
      <c r="DM132" s="51">
        <f>-169.1-DL132-DK132</f>
        <v>-666.19999999999993</v>
      </c>
      <c r="DN132" s="51">
        <f>-191.9+1604.3-DM132-DL132-DK132</f>
        <v>1581.5</v>
      </c>
      <c r="DO132" s="51">
        <v>-65.2</v>
      </c>
      <c r="DP132" s="51">
        <f>30.4-DO132</f>
        <v>95.6</v>
      </c>
      <c r="FF132" s="49">
        <f t="shared" si="417"/>
        <v>-248.7</v>
      </c>
      <c r="FG132" s="49">
        <f t="shared" si="418"/>
        <v>102.79999999999997</v>
      </c>
      <c r="FH132" s="49">
        <f>SUM(DC132:DF132)</f>
        <v>24.300000000000004</v>
      </c>
      <c r="FI132" s="49">
        <f>SUM(DG132:DJ132)</f>
        <v>-206.39999999999998</v>
      </c>
      <c r="FJ132" s="49">
        <f>SUM(DK132:DN132)</f>
        <v>1412.4</v>
      </c>
    </row>
    <row r="133" spans="2:166" x14ac:dyDescent="0.2">
      <c r="B133" s="50" t="s">
        <v>396</v>
      </c>
      <c r="CU133" s="51">
        <f>SUM(CU129:CU132)</f>
        <v>-7678.7</v>
      </c>
      <c r="CV133" s="51">
        <f>SUM(CV129:CV132)</f>
        <v>60.999999999999687</v>
      </c>
      <c r="CW133" s="51">
        <f>SUM(CW129:CW132)</f>
        <v>-423.80000000000047</v>
      </c>
      <c r="CX133" s="51">
        <f t="shared" ref="CX133" si="419">SUM(CX129:CX132)</f>
        <v>-41.399999999999523</v>
      </c>
      <c r="CY133" s="51">
        <f t="shared" ref="CY133:DB133" si="420">SUM(CY129:CY132)</f>
        <v>-1060.8999999999999</v>
      </c>
      <c r="CZ133" s="51">
        <f t="shared" si="420"/>
        <v>-210.39999999999998</v>
      </c>
      <c r="DA133" s="51">
        <f t="shared" si="420"/>
        <v>-313.50000000000011</v>
      </c>
      <c r="DB133" s="51">
        <f t="shared" si="420"/>
        <v>-674.09999999999991</v>
      </c>
      <c r="DC133" s="51">
        <f t="shared" ref="DC133:DP133" si="421">SUM(DC129:DC132)</f>
        <v>-1283.5</v>
      </c>
      <c r="DD133" s="51">
        <f t="shared" si="421"/>
        <v>-483.30000000000007</v>
      </c>
      <c r="DE133" s="51">
        <f t="shared" si="421"/>
        <v>-616.49999999999977</v>
      </c>
      <c r="DF133" s="51">
        <f t="shared" si="421"/>
        <v>-379.00000000000006</v>
      </c>
      <c r="DG133" s="51">
        <f t="shared" si="421"/>
        <v>-1013.8</v>
      </c>
      <c r="DH133" s="51">
        <f t="shared" si="421"/>
        <v>-463.89999999999992</v>
      </c>
      <c r="DI133" s="51">
        <f t="shared" si="421"/>
        <v>-923.4</v>
      </c>
      <c r="DJ133" s="51">
        <f t="shared" si="421"/>
        <v>-860.50000000000011</v>
      </c>
      <c r="DK133" s="51">
        <f t="shared" si="421"/>
        <v>-688.80000000000007</v>
      </c>
      <c r="DL133" s="51">
        <f t="shared" si="421"/>
        <v>-459.09999999999997</v>
      </c>
      <c r="DM133" s="51">
        <f t="shared" si="421"/>
        <v>-3080.5</v>
      </c>
      <c r="DN133" s="51">
        <f t="shared" si="421"/>
        <v>-2924.3</v>
      </c>
      <c r="DO133" s="51">
        <f t="shared" si="421"/>
        <v>-1177.6000000000001</v>
      </c>
      <c r="DP133" s="51">
        <f t="shared" si="421"/>
        <v>-2198.7000000000003</v>
      </c>
      <c r="FF133" s="49">
        <f>SUM(DG133:DJ133)</f>
        <v>-3261.6</v>
      </c>
      <c r="FG133" s="49">
        <f>SUM(DH133:DK133)</f>
        <v>-2936.6000000000004</v>
      </c>
      <c r="FH133" s="49">
        <f t="shared" ref="FH133" si="422">SUM(DI133:DL133)</f>
        <v>-2931.8</v>
      </c>
      <c r="FI133" s="49">
        <f t="shared" ref="FI133" si="423">SUM(DJ133:DM133)</f>
        <v>-5088.8999999999996</v>
      </c>
      <c r="FJ133" s="49">
        <f t="shared" ref="FJ133:FJ139" si="424">SUM(DK133:DN133)</f>
        <v>-7152.7</v>
      </c>
    </row>
    <row r="134" spans="2:166" x14ac:dyDescent="0.2">
      <c r="CW134" s="51"/>
      <c r="DC134" s="51"/>
      <c r="DD134" s="51"/>
      <c r="DJ134" s="51"/>
      <c r="FG134" s="49"/>
      <c r="FH134" s="49"/>
      <c r="FI134" s="49"/>
    </row>
    <row r="135" spans="2:166" x14ac:dyDescent="0.2">
      <c r="B135" s="50" t="s">
        <v>296</v>
      </c>
      <c r="CU135" s="51">
        <v>-637.20000000000005</v>
      </c>
      <c r="CV135" s="51">
        <f>-1235.2-CU135</f>
        <v>-598</v>
      </c>
      <c r="CW135" s="51">
        <f>-1822.6-CV135-CU135</f>
        <v>-587.39999999999986</v>
      </c>
      <c r="CX135" s="51">
        <f>-2409.8-CW135-CV135-CU135</f>
        <v>-587.20000000000027</v>
      </c>
      <c r="CY135" s="51">
        <v>-671.3</v>
      </c>
      <c r="CZ135" s="51">
        <f>-1345.5-CY135</f>
        <v>-674.2</v>
      </c>
      <c r="DA135" s="51">
        <f>-2017.1-CZ135-CY135</f>
        <v>-671.59999999999991</v>
      </c>
      <c r="DB135" s="51">
        <f>-2687.1-DA135-CZ135-CY135</f>
        <v>-670</v>
      </c>
      <c r="DC135" s="51">
        <v>-774.8</v>
      </c>
      <c r="DD135" s="51">
        <f>-1543.1-DC135</f>
        <v>-768.3</v>
      </c>
      <c r="DE135" s="51">
        <f>-2313.5-DD135-DC135</f>
        <v>-770.40000000000009</v>
      </c>
      <c r="DF135" s="51">
        <f>-3086.8-DE135-DD135-DC135</f>
        <v>-773.30000000000018</v>
      </c>
      <c r="DG135" s="51">
        <v>-885.5</v>
      </c>
      <c r="DH135" s="51">
        <f>-1769.2-DG135</f>
        <v>-883.7</v>
      </c>
      <c r="DI135" s="51">
        <f>-2651.4-DH135-DG135</f>
        <v>-882.2</v>
      </c>
      <c r="DJ135" s="51">
        <f>-3535.8-DI135-DH135-DG135</f>
        <v>-884.40000000000032</v>
      </c>
      <c r="DK135" s="51">
        <v>-1017.2</v>
      </c>
      <c r="DL135" s="51">
        <f>-2035-DK135</f>
        <v>-1017.8</v>
      </c>
      <c r="DM135" s="51">
        <f>-3051.2-DL135-DK135</f>
        <v>-1016.1999999999998</v>
      </c>
      <c r="DN135" s="51">
        <f>-4069.3-DM135-DL135-DK135</f>
        <v>-1018.1000000000004</v>
      </c>
      <c r="DO135" s="51">
        <v>-1169.2</v>
      </c>
      <c r="DP135" s="51">
        <f>-2341.6-DO135</f>
        <v>-1172.3999999999999</v>
      </c>
      <c r="FF135" s="49">
        <f t="shared" ref="FF135:FF138" si="425">SUM(CU135:CX135)</f>
        <v>-2409.8000000000002</v>
      </c>
      <c r="FG135" s="49">
        <f t="shared" ref="FG135:FG138" si="426">SUM(CY135:DB135)</f>
        <v>-2687.1</v>
      </c>
      <c r="FH135" s="49">
        <f>SUM(DC135:DF135)</f>
        <v>-3086.8</v>
      </c>
      <c r="FI135" s="49">
        <f>SUM(DG135:DJ135)</f>
        <v>-3535.8</v>
      </c>
      <c r="FJ135" s="49">
        <f>SUM(DK135:DN135)</f>
        <v>-4069.3</v>
      </c>
    </row>
    <row r="136" spans="2:166" x14ac:dyDescent="0.2">
      <c r="B136" s="50" t="s">
        <v>399</v>
      </c>
      <c r="CU136" s="51">
        <f>1850.4+4448.3-600</f>
        <v>5698.7000000000007</v>
      </c>
      <c r="CV136" s="51">
        <f>1564.3+4448.3-600.2-CU136</f>
        <v>-286.30000000000018</v>
      </c>
      <c r="CW136" s="51">
        <f>1058.9+4448.3-600.3-CV136-CU136</f>
        <v>-505.5</v>
      </c>
      <c r="CX136" s="51">
        <f>995.4+6556.4-2866.4-CW136-CV136-CU136</f>
        <v>-221.50000000000091</v>
      </c>
      <c r="CY136" s="51">
        <f>1748.7-276.3</f>
        <v>1472.4</v>
      </c>
      <c r="CZ136" s="51">
        <f>-235.4+988.6-276.3-CY136</f>
        <v>-995.5</v>
      </c>
      <c r="DA136" s="51">
        <f>-914.3+2062.3-276.3-CZ136-CY136</f>
        <v>394.80000000000018</v>
      </c>
      <c r="DB136" s="51">
        <f>-1494.2+2062.3-276.5-DA136-CZ136-CY136</f>
        <v>-580.10000000000014</v>
      </c>
      <c r="DC136" s="51">
        <v>-3.7</v>
      </c>
      <c r="DD136" s="51">
        <f>196.3-DC136</f>
        <v>200</v>
      </c>
      <c r="DE136" s="51">
        <f>-1.5+2410.8-1905.3-DD136-DC136</f>
        <v>307.70000000000022</v>
      </c>
      <c r="DF136" s="51">
        <f>-4+2410.8-1905.4-DE136-DD136-DC136</f>
        <v>-2.6000000000001249</v>
      </c>
      <c r="DG136" s="52">
        <f>499.7-710.1</f>
        <v>-210.40000000000003</v>
      </c>
      <c r="DH136" s="51">
        <f>2117.2-1560-DG136</f>
        <v>767.59999999999991</v>
      </c>
      <c r="DI136" s="51">
        <f>1741.3-1560-DH136-DG136</f>
        <v>-375.89999999999992</v>
      </c>
      <c r="DJ136" s="51">
        <f>1498-1560-DI136-DH136-DG136</f>
        <v>-243.29999999999995</v>
      </c>
      <c r="DK136" s="51">
        <f>-1498+3958.5</f>
        <v>2460.5</v>
      </c>
      <c r="DL136" s="51">
        <f>-1498-DK136+3958.5</f>
        <v>0</v>
      </c>
      <c r="DM136" s="51">
        <f>97-DL136-DK136+3958.5</f>
        <v>1595</v>
      </c>
      <c r="DN136" s="51">
        <f>4691.4+3958.5-DM136-DL136-DK136</f>
        <v>4594.3999999999996</v>
      </c>
      <c r="DO136" s="51">
        <v>-5204.8</v>
      </c>
      <c r="DP136" s="51">
        <f>-1804.7+6452.5-DO136-664.2</f>
        <v>9188.4</v>
      </c>
      <c r="FF136" s="49">
        <f t="shared" si="425"/>
        <v>4685.3999999999996</v>
      </c>
      <c r="FG136" s="49">
        <f t="shared" si="426"/>
        <v>291.60000000000014</v>
      </c>
      <c r="FH136" s="49">
        <f>SUM(DC136:DF136)</f>
        <v>501.40000000000009</v>
      </c>
      <c r="FI136" s="49">
        <f>SUM(DG136:DJ136)</f>
        <v>-62.000000000000057</v>
      </c>
      <c r="FJ136" s="49">
        <f>SUM(DK136:DN136)</f>
        <v>8649.9</v>
      </c>
    </row>
    <row r="137" spans="2:166" x14ac:dyDescent="0.2">
      <c r="B137" s="38" t="s">
        <v>398</v>
      </c>
      <c r="CU137" s="51">
        <v>-3500</v>
      </c>
      <c r="CV137" s="51">
        <f>-3500-CU137</f>
        <v>0</v>
      </c>
      <c r="CW137" s="51">
        <f>-4100-CV137-CU137</f>
        <v>-600</v>
      </c>
      <c r="CX137" s="51">
        <f>-4400-CW137-CV137-CU137</f>
        <v>-300</v>
      </c>
      <c r="CY137" s="51">
        <v>-500</v>
      </c>
      <c r="CZ137" s="51">
        <f>-500-CY137</f>
        <v>0</v>
      </c>
      <c r="DA137" s="51">
        <f>-500-CZ137-CY137</f>
        <v>0</v>
      </c>
      <c r="DB137" s="51">
        <f>-500-DA137-CZ137-CY137</f>
        <v>0</v>
      </c>
      <c r="DC137" s="51">
        <v>0</v>
      </c>
      <c r="DD137" s="51">
        <f>-500-DC137</f>
        <v>-500</v>
      </c>
      <c r="DE137" s="51">
        <f>-500-DD137-DC137</f>
        <v>0</v>
      </c>
      <c r="DF137" s="51">
        <f>-1250-DE137-DD137-DC137</f>
        <v>-750</v>
      </c>
      <c r="DG137" s="51">
        <v>-1500</v>
      </c>
      <c r="DH137" s="51">
        <f>-1500-DG137</f>
        <v>0</v>
      </c>
      <c r="DI137" s="51">
        <f>-1500-DH137-DG137</f>
        <v>0</v>
      </c>
      <c r="DJ137" s="51">
        <f>-1500-DI137-DH137-DG137</f>
        <v>0</v>
      </c>
      <c r="DK137" s="51">
        <v>-750</v>
      </c>
      <c r="DL137" s="51">
        <f>-750-DK137</f>
        <v>0</v>
      </c>
      <c r="DM137" s="51">
        <f>-750-DL137-DK137</f>
        <v>0</v>
      </c>
      <c r="DN137" s="51">
        <f>-750-DM137-DL137-DK137</f>
        <v>0</v>
      </c>
      <c r="DO137" s="51">
        <v>6452.5</v>
      </c>
      <c r="DP137" s="51">
        <f>0-DO137</f>
        <v>-6452.5</v>
      </c>
      <c r="FF137" s="49">
        <f t="shared" si="425"/>
        <v>-4400</v>
      </c>
      <c r="FG137" s="49">
        <f t="shared" si="426"/>
        <v>-500</v>
      </c>
      <c r="FH137" s="49">
        <f>SUM(DC137:DF137)</f>
        <v>-1250</v>
      </c>
      <c r="FI137" s="49">
        <f>SUM(DG137:DJ137)</f>
        <v>-1500</v>
      </c>
      <c r="FJ137" s="49">
        <f>SUM(DK137:DN137)</f>
        <v>-750</v>
      </c>
    </row>
    <row r="138" spans="2:166" x14ac:dyDescent="0.2">
      <c r="B138" s="38" t="s">
        <v>78</v>
      </c>
      <c r="CU138" s="51">
        <v>-193.7</v>
      </c>
      <c r="CV138" s="51">
        <f>-195.2-CU138</f>
        <v>-1.5</v>
      </c>
      <c r="CW138" s="51">
        <f>-195.2-CV138-CU138</f>
        <v>0</v>
      </c>
      <c r="CX138" s="51">
        <f>-200.1-CW138-CV138-CU138</f>
        <v>-4.9000000000000057</v>
      </c>
      <c r="CY138" s="51">
        <v>-194.4</v>
      </c>
      <c r="CZ138" s="51">
        <f>-197.9-CY138</f>
        <v>-3.5</v>
      </c>
      <c r="DA138" s="51">
        <f>-200.2-CZ138-CY138</f>
        <v>-2.2999999999999829</v>
      </c>
      <c r="DB138" s="51">
        <f>-241.6-DA138-CZ138-CY138</f>
        <v>-41.400000000000006</v>
      </c>
      <c r="DC138" s="51">
        <v>-279.89999999999998</v>
      </c>
      <c r="DD138" s="51">
        <f>-294.8-DC138</f>
        <v>-14.900000000000034</v>
      </c>
      <c r="DE138" s="51">
        <f>-295.3-DD138-DC138</f>
        <v>-0.5</v>
      </c>
      <c r="DF138" s="51">
        <f>-295.9-DE138-DD138-DC138</f>
        <v>-0.59999999999996589</v>
      </c>
      <c r="DG138" s="51">
        <v>-282.39999999999998</v>
      </c>
      <c r="DH138" s="51">
        <f>-290-DG138</f>
        <v>-7.6000000000000227</v>
      </c>
      <c r="DI138" s="51">
        <f>-295.2-DH138-DG138</f>
        <v>-5.1999999999999886</v>
      </c>
      <c r="DJ138" s="51">
        <f>-308.9-DI138-DH138-DG138</f>
        <v>-13.699999999999989</v>
      </c>
      <c r="DK138" s="51">
        <v>-281</v>
      </c>
      <c r="DL138" s="51">
        <f>-296.6-DK138</f>
        <v>-15.600000000000023</v>
      </c>
      <c r="DM138" s="51">
        <f>-303.4-DL138-DK138</f>
        <v>-6.7999999999999545</v>
      </c>
      <c r="DN138" s="51">
        <f>-335-DM138-DL138-DK138</f>
        <v>-31.600000000000023</v>
      </c>
      <c r="DO138" s="51">
        <v>-389.8</v>
      </c>
      <c r="DP138" s="51">
        <f>-397.8-DO138</f>
        <v>-8</v>
      </c>
      <c r="FF138" s="49">
        <f t="shared" si="425"/>
        <v>-200.1</v>
      </c>
      <c r="FG138" s="49">
        <f t="shared" si="426"/>
        <v>-241.6</v>
      </c>
      <c r="FH138" s="49">
        <f>SUM(DC138:DF138)</f>
        <v>-295.89999999999998</v>
      </c>
      <c r="FI138" s="49">
        <f>SUM(DG138:DJ138)</f>
        <v>-308.89999999999998</v>
      </c>
      <c r="FJ138" s="49">
        <f>SUM(DK138:DN138)</f>
        <v>-335</v>
      </c>
    </row>
    <row r="139" spans="2:166" x14ac:dyDescent="0.2">
      <c r="B139" s="38" t="s">
        <v>397</v>
      </c>
      <c r="CU139" s="51">
        <f t="shared" ref="CU139" si="427">SUM(CU135:CU138)</f>
        <v>1367.8000000000009</v>
      </c>
      <c r="CV139" s="51">
        <f t="shared" ref="CV139" si="428">SUM(CV135:CV138)</f>
        <v>-885.80000000000018</v>
      </c>
      <c r="CW139" s="51">
        <f t="shared" ref="CW139" si="429">SUM(CW135:CW138)</f>
        <v>-1692.8999999999999</v>
      </c>
      <c r="CX139" s="51">
        <f t="shared" ref="CX139" si="430">SUM(CX135:CX138)</f>
        <v>-1113.6000000000013</v>
      </c>
      <c r="CY139" s="51">
        <f t="shared" ref="CY139:DB139" si="431">SUM(CY135:CY138)</f>
        <v>106.70000000000013</v>
      </c>
      <c r="CZ139" s="51">
        <f t="shared" si="431"/>
        <v>-1673.2</v>
      </c>
      <c r="DA139" s="51">
        <f t="shared" si="431"/>
        <v>-279.09999999999968</v>
      </c>
      <c r="DB139" s="51">
        <f t="shared" si="431"/>
        <v>-1291.5000000000002</v>
      </c>
      <c r="DC139" s="51">
        <f t="shared" ref="DC139:DP139" si="432">SUM(DC135:DC138)</f>
        <v>-1058.4000000000001</v>
      </c>
      <c r="DD139" s="51">
        <f t="shared" si="432"/>
        <v>-1083.2</v>
      </c>
      <c r="DE139" s="51">
        <f t="shared" si="432"/>
        <v>-463.19999999999987</v>
      </c>
      <c r="DF139" s="51">
        <f t="shared" si="432"/>
        <v>-1526.5000000000002</v>
      </c>
      <c r="DG139" s="51">
        <f t="shared" si="432"/>
        <v>-2878.3</v>
      </c>
      <c r="DH139" s="51">
        <f t="shared" si="432"/>
        <v>-123.70000000000016</v>
      </c>
      <c r="DI139" s="51">
        <f t="shared" si="432"/>
        <v>-1263.3</v>
      </c>
      <c r="DJ139" s="51">
        <f t="shared" si="432"/>
        <v>-1141.4000000000003</v>
      </c>
      <c r="DK139" s="51">
        <f t="shared" si="432"/>
        <v>412.29999999999995</v>
      </c>
      <c r="DL139" s="51">
        <f t="shared" si="432"/>
        <v>-1033.4000000000001</v>
      </c>
      <c r="DM139" s="51">
        <f t="shared" si="432"/>
        <v>572.00000000000023</v>
      </c>
      <c r="DN139" s="51">
        <f t="shared" si="432"/>
        <v>3544.6999999999994</v>
      </c>
      <c r="DO139" s="51">
        <f t="shared" si="432"/>
        <v>-311.3</v>
      </c>
      <c r="DP139" s="51">
        <f t="shared" si="432"/>
        <v>1555.5</v>
      </c>
      <c r="FF139" s="49">
        <f>SUM(DG139:DJ139)</f>
        <v>-5406.7000000000007</v>
      </c>
      <c r="FG139" s="49">
        <f>SUM(DH139:DK139)</f>
        <v>-2116.1000000000004</v>
      </c>
      <c r="FH139" s="49">
        <f t="shared" ref="FH139" si="433">SUM(DI139:DL139)</f>
        <v>-3025.8</v>
      </c>
      <c r="FI139" s="49">
        <f t="shared" ref="FI139" si="434">SUM(DJ139:DM139)</f>
        <v>-1190.5000000000002</v>
      </c>
      <c r="FJ139" s="49">
        <f t="shared" si="424"/>
        <v>3495.5999999999995</v>
      </c>
    </row>
    <row r="140" spans="2:166" x14ac:dyDescent="0.2">
      <c r="B140" s="38" t="s">
        <v>400</v>
      </c>
      <c r="CU140" s="51">
        <v>37.799999999999997</v>
      </c>
      <c r="CV140" s="51">
        <f>64.9-CU140</f>
        <v>27.100000000000009</v>
      </c>
      <c r="CW140" s="51">
        <f>-54.9-CV140-CU140</f>
        <v>-119.8</v>
      </c>
      <c r="CX140" s="51">
        <f>-89.9-CW140-CV140-CU140</f>
        <v>-35.000000000000014</v>
      </c>
      <c r="CY140" s="51">
        <v>-66.7</v>
      </c>
      <c r="CZ140" s="51">
        <f>-12.4-CY140</f>
        <v>54.300000000000004</v>
      </c>
      <c r="DA140" s="51">
        <f>3.8-CZ140-CY140</f>
        <v>16.199999999999996</v>
      </c>
      <c r="DB140" s="51">
        <f>216-DA140-CZ140-CY140</f>
        <v>212.2</v>
      </c>
      <c r="DC140" s="51">
        <v>-10.199999999999999</v>
      </c>
      <c r="DD140" s="51">
        <f>-1.6-DC140</f>
        <v>8.6</v>
      </c>
      <c r="DE140" s="51">
        <f>15-DD140-DC140</f>
        <v>16.600000000000001</v>
      </c>
      <c r="DF140" s="51">
        <f>-205.7-DE140-DD140-DC140</f>
        <v>-220.7</v>
      </c>
      <c r="DG140" s="51">
        <v>33.6</v>
      </c>
      <c r="DH140" s="51">
        <f>-35.8-DG140</f>
        <v>-69.400000000000006</v>
      </c>
      <c r="DI140" s="51">
        <f>-39.4-DH140-DG140</f>
        <v>-3.5999999999999943</v>
      </c>
      <c r="DJ140" s="51">
        <f>-167.6-DI140-DH140-DG140</f>
        <v>-128.19999999999999</v>
      </c>
      <c r="DK140" s="51">
        <v>24.8</v>
      </c>
      <c r="DL140" s="51">
        <f>34-DK140</f>
        <v>9.1999999999999993</v>
      </c>
      <c r="DM140" s="51">
        <f>39.3-DL140-DK140</f>
        <v>5.2999999999999972</v>
      </c>
      <c r="DN140" s="51">
        <f>168.6-DM140-DL140-DK140</f>
        <v>129.30000000000001</v>
      </c>
      <c r="DO140" s="51">
        <v>-35.5</v>
      </c>
      <c r="DP140" s="51">
        <f>-95.1-DO140</f>
        <v>-59.599999999999994</v>
      </c>
      <c r="FF140" s="49">
        <f t="shared" ref="FF140" si="435">SUM(CU140:CX140)</f>
        <v>-89.9</v>
      </c>
      <c r="FG140" s="49">
        <f t="shared" ref="FG140" si="436">SUM(CY140:DB140)</f>
        <v>216</v>
      </c>
      <c r="FH140" s="49">
        <f>SUM(DC140:DF140)</f>
        <v>-205.7</v>
      </c>
      <c r="FI140" s="49">
        <f>SUM(DG140:DJ140)</f>
        <v>-167.6</v>
      </c>
      <c r="FJ140" s="49">
        <f>SUM(DK140:DN140)</f>
        <v>168.60000000000002</v>
      </c>
    </row>
    <row r="141" spans="2:166" x14ac:dyDescent="0.2">
      <c r="B141" s="38" t="s">
        <v>401</v>
      </c>
      <c r="CU141" s="51">
        <f t="shared" ref="CU141" si="437">+CU140+CU139+CU133+CU127</f>
        <v>-5961.7999999999975</v>
      </c>
      <c r="CV141" s="51">
        <f t="shared" ref="CV141" si="438">+CV140+CV139+CV133+CV127</f>
        <v>253.79999999999927</v>
      </c>
      <c r="CW141" s="51">
        <f t="shared" ref="CW141" si="439">+CW140+CW139+CW133+CW127</f>
        <v>-726.40000000000055</v>
      </c>
      <c r="CX141" s="51">
        <f t="shared" ref="CX141" si="440">+CX140+CX139+CX133+CX127</f>
        <v>773.69999999999845</v>
      </c>
      <c r="CY141" s="51">
        <f t="shared" ref="CY141:DB141" si="441">+CY140+CY139+CY133+CY127</f>
        <v>-638.49999999999989</v>
      </c>
      <c r="CZ141" s="51">
        <f t="shared" si="441"/>
        <v>666.09999999999945</v>
      </c>
      <c r="DA141" s="51">
        <f t="shared" si="441"/>
        <v>1230.2000000000005</v>
      </c>
      <c r="DB141" s="51">
        <f t="shared" si="441"/>
        <v>61.799999999999727</v>
      </c>
      <c r="DC141" s="51">
        <f t="shared" ref="DC141:DJ141" si="442">+DC140+DC139+DC133+DC127</f>
        <v>-654.7000000000005</v>
      </c>
      <c r="DD141" s="51">
        <f t="shared" si="442"/>
        <v>217.59999999999991</v>
      </c>
      <c r="DE141" s="51">
        <f t="shared" si="442"/>
        <v>568.20000000000027</v>
      </c>
      <c r="DF141" s="51">
        <f t="shared" si="442"/>
        <v>30.300000000000182</v>
      </c>
      <c r="DG141" s="51">
        <f t="shared" si="442"/>
        <v>-1359.3000000000002</v>
      </c>
      <c r="DH141" s="51">
        <f t="shared" si="442"/>
        <v>163.69999999999993</v>
      </c>
      <c r="DI141" s="51">
        <f t="shared" si="442"/>
        <v>-5.1999999999993634</v>
      </c>
      <c r="DJ141" s="51">
        <f t="shared" si="442"/>
        <v>-550.70000000000005</v>
      </c>
      <c r="DK141" s="51">
        <f t="shared" ref="DK141:DP141" si="443">+DK127+DK133+DK139+DK140</f>
        <v>1478.9</v>
      </c>
      <c r="DL141" s="51">
        <f t="shared" si="443"/>
        <v>-851.40000000000009</v>
      </c>
      <c r="DM141" s="51">
        <f t="shared" si="443"/>
        <v>-313.69999999999976</v>
      </c>
      <c r="DN141" s="51">
        <f t="shared" si="443"/>
        <v>437.79999999999774</v>
      </c>
      <c r="DO141" s="51">
        <f t="shared" si="443"/>
        <v>-358.40000000000038</v>
      </c>
      <c r="DP141" s="51">
        <f t="shared" si="443"/>
        <v>763.39999999999952</v>
      </c>
      <c r="FF141" s="49">
        <f t="shared" ref="FF141:FI141" si="444">+FF139+FF140</f>
        <v>-5496.6</v>
      </c>
      <c r="FG141" s="49">
        <f t="shared" si="444"/>
        <v>-1900.1000000000004</v>
      </c>
      <c r="FH141" s="49">
        <f t="shared" si="444"/>
        <v>-3231.5</v>
      </c>
      <c r="FI141" s="49">
        <f t="shared" si="444"/>
        <v>-1358.1000000000001</v>
      </c>
      <c r="FJ141" s="49">
        <f>+FJ139+FJ140</f>
        <v>3664.1999999999994</v>
      </c>
    </row>
    <row r="142" spans="2:166" x14ac:dyDescent="0.2">
      <c r="DN142" s="51"/>
      <c r="FG142" s="49"/>
      <c r="FH142" s="49"/>
      <c r="FI142" s="49"/>
    </row>
    <row r="143" spans="2:166" x14ac:dyDescent="0.2">
      <c r="B143" t="s">
        <v>494</v>
      </c>
      <c r="DN143" s="51"/>
      <c r="EK143" s="49">
        <v>29800</v>
      </c>
      <c r="EL143" s="49">
        <v>31300</v>
      </c>
      <c r="EM143" s="49">
        <v>35700</v>
      </c>
      <c r="EN143" s="51">
        <v>41100</v>
      </c>
      <c r="EO143" s="51">
        <v>43700</v>
      </c>
      <c r="FB143" s="51">
        <v>34790</v>
      </c>
      <c r="FC143" s="51">
        <v>35910</v>
      </c>
      <c r="FD143" s="51">
        <v>34750</v>
      </c>
      <c r="FE143" s="49">
        <v>33090</v>
      </c>
      <c r="FF143" s="49">
        <v>33625</v>
      </c>
      <c r="FG143" s="49"/>
      <c r="FH143" s="49"/>
      <c r="FI143" s="49"/>
    </row>
    <row r="144" spans="2:166" x14ac:dyDescent="0.2">
      <c r="B144" s="38" t="s">
        <v>761</v>
      </c>
      <c r="DB144" s="95">
        <v>161.91</v>
      </c>
      <c r="DC144" s="95">
        <v>179.9</v>
      </c>
      <c r="DD144" s="95">
        <v>222</v>
      </c>
      <c r="DE144" s="95">
        <v>224.2</v>
      </c>
      <c r="DF144" s="95">
        <v>268.89999999999998</v>
      </c>
      <c r="DG144" s="95">
        <v>279.95</v>
      </c>
      <c r="DH144" s="95">
        <v>318.02999999999997</v>
      </c>
      <c r="DI144" s="95">
        <v>318.2</v>
      </c>
      <c r="DJ144" s="95">
        <v>361.02</v>
      </c>
      <c r="DK144" s="95">
        <v>339.99</v>
      </c>
      <c r="DL144" s="95">
        <v>465.5</v>
      </c>
      <c r="DM144" s="47">
        <v>534.29</v>
      </c>
      <c r="DN144" s="47">
        <v>580.91</v>
      </c>
      <c r="DO144" s="47">
        <v>776.64</v>
      </c>
      <c r="DP144" s="47">
        <v>905.38</v>
      </c>
      <c r="FG144" s="49"/>
      <c r="FH144" s="49"/>
      <c r="FI144" s="49"/>
    </row>
    <row r="145" spans="2:165" x14ac:dyDescent="0.2">
      <c r="B145" s="38" t="s">
        <v>173</v>
      </c>
      <c r="DB145" s="51">
        <f t="shared" ref="DB145:DP145" si="445">+DB144*DB74</f>
        <v>147757.60881000001</v>
      </c>
      <c r="DC145" s="51">
        <f t="shared" si="445"/>
        <v>164140.76</v>
      </c>
      <c r="DD145" s="51">
        <f t="shared" si="445"/>
        <v>202105.24799999999</v>
      </c>
      <c r="DE145" s="51">
        <f t="shared" si="445"/>
        <v>204190.37419999999</v>
      </c>
      <c r="DF145" s="51">
        <f t="shared" si="445"/>
        <v>244579.33949999997</v>
      </c>
      <c r="DG145" s="51">
        <f t="shared" si="445"/>
        <v>253746.68</v>
      </c>
      <c r="DH145" s="51">
        <f t="shared" si="445"/>
        <v>287162.00819999998</v>
      </c>
      <c r="DI145" s="51">
        <f t="shared" si="445"/>
        <v>287583.43239999999</v>
      </c>
      <c r="DJ145" s="51">
        <f t="shared" si="445"/>
        <v>326626.34663999995</v>
      </c>
      <c r="DK145" s="51">
        <f t="shared" si="445"/>
        <v>307107.18716999999</v>
      </c>
      <c r="DL145" s="51">
        <f t="shared" si="445"/>
        <v>420206.38449999999</v>
      </c>
      <c r="DM145" s="51">
        <f t="shared" si="445"/>
        <v>482303.04870999994</v>
      </c>
      <c r="DN145" s="51">
        <f t="shared" si="445"/>
        <v>525131.02179999999</v>
      </c>
      <c r="DO145" s="51">
        <f t="shared" si="445"/>
        <v>701928.78527999995</v>
      </c>
      <c r="DP145" s="51">
        <f t="shared" si="445"/>
        <v>818688.05424000008</v>
      </c>
      <c r="FG145" s="49"/>
      <c r="FH145" s="49"/>
      <c r="FI145" s="49"/>
    </row>
    <row r="146" spans="2:165" x14ac:dyDescent="0.2">
      <c r="B146" s="38" t="s">
        <v>796</v>
      </c>
      <c r="ED146" s="109">
        <v>1</v>
      </c>
      <c r="EE146" s="109">
        <v>1.1000000000000001</v>
      </c>
      <c r="EF146" s="109">
        <v>1.21</v>
      </c>
      <c r="EG146" s="109">
        <v>1.25</v>
      </c>
      <c r="EH146" s="109">
        <v>1.31</v>
      </c>
      <c r="EK146" s="109">
        <v>0.8</v>
      </c>
      <c r="EL146" s="109">
        <v>0.92</v>
      </c>
      <c r="EM146" s="109">
        <v>1.04</v>
      </c>
      <c r="EN146" s="95">
        <v>1.1200000000000001</v>
      </c>
      <c r="EO146" s="95">
        <v>1.24</v>
      </c>
      <c r="FH146" s="49"/>
      <c r="FI146" s="49"/>
    </row>
    <row r="147" spans="2:165" x14ac:dyDescent="0.2">
      <c r="FH147" s="49"/>
      <c r="FI147" s="49"/>
    </row>
    <row r="148" spans="2:165" x14ac:dyDescent="0.2">
      <c r="FH148" s="49"/>
      <c r="FI148" s="49"/>
    </row>
    <row r="149" spans="2:165" x14ac:dyDescent="0.2">
      <c r="FI149" s="49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42" width="5.28515625" customWidth="1"/>
    <col min="43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579</v>
      </c>
      <c r="E2" s="38" t="s">
        <v>580</v>
      </c>
      <c r="F2" s="38" t="s">
        <v>51</v>
      </c>
      <c r="G2" s="48" t="s">
        <v>643</v>
      </c>
      <c r="H2" s="48" t="s">
        <v>644</v>
      </c>
      <c r="I2" s="48" t="s">
        <v>645</v>
      </c>
      <c r="J2" s="48" t="s">
        <v>646</v>
      </c>
      <c r="K2" s="48" t="s">
        <v>648</v>
      </c>
      <c r="L2" s="48" t="s">
        <v>649</v>
      </c>
      <c r="M2" s="48"/>
      <c r="N2" s="48" t="s">
        <v>606</v>
      </c>
      <c r="O2" s="48" t="s">
        <v>607</v>
      </c>
      <c r="P2" s="48" t="s">
        <v>608</v>
      </c>
      <c r="Q2" s="48" t="s">
        <v>609</v>
      </c>
      <c r="R2" s="48" t="s">
        <v>610</v>
      </c>
      <c r="S2" s="48" t="s">
        <v>611</v>
      </c>
      <c r="T2" s="48" t="s">
        <v>612</v>
      </c>
      <c r="U2" s="48" t="s">
        <v>613</v>
      </c>
      <c r="V2" s="48" t="s">
        <v>614</v>
      </c>
      <c r="W2" s="48" t="s">
        <v>615</v>
      </c>
      <c r="X2" s="48" t="s">
        <v>616</v>
      </c>
      <c r="Y2" s="48" t="s">
        <v>617</v>
      </c>
      <c r="Z2" s="48" t="s">
        <v>618</v>
      </c>
      <c r="AA2" s="48" t="s">
        <v>619</v>
      </c>
      <c r="AB2" s="48" t="s">
        <v>620</v>
      </c>
      <c r="AC2" s="48" t="s">
        <v>621</v>
      </c>
      <c r="AD2" s="48" t="s">
        <v>622</v>
      </c>
      <c r="AE2" s="48" t="s">
        <v>623</v>
      </c>
      <c r="AF2" s="48" t="s">
        <v>624</v>
      </c>
      <c r="AG2" s="48" t="s">
        <v>625</v>
      </c>
      <c r="AH2" s="48" t="s">
        <v>626</v>
      </c>
      <c r="AI2" s="48" t="s">
        <v>627</v>
      </c>
      <c r="AJ2" s="48" t="s">
        <v>628</v>
      </c>
      <c r="AK2" s="48" t="s">
        <v>629</v>
      </c>
      <c r="AL2" s="48" t="s">
        <v>630</v>
      </c>
      <c r="AM2" s="48" t="s">
        <v>631</v>
      </c>
      <c r="AN2" s="48" t="s">
        <v>632</v>
      </c>
      <c r="AO2" s="48" t="s">
        <v>633</v>
      </c>
      <c r="AP2" s="48" t="s">
        <v>634</v>
      </c>
      <c r="AQ2" s="48" t="s">
        <v>635</v>
      </c>
      <c r="AR2" s="48" t="s">
        <v>636</v>
      </c>
      <c r="AS2" s="48" t="s">
        <v>637</v>
      </c>
      <c r="AT2" s="48" t="s">
        <v>638</v>
      </c>
      <c r="AU2" s="48" t="s">
        <v>639</v>
      </c>
      <c r="AV2" s="48" t="s">
        <v>640</v>
      </c>
      <c r="AW2" s="48" t="s">
        <v>641</v>
      </c>
      <c r="AX2" s="48" t="s">
        <v>642</v>
      </c>
      <c r="AZ2" s="48" t="s">
        <v>705</v>
      </c>
      <c r="BA2" s="48" t="s">
        <v>706</v>
      </c>
      <c r="BB2" s="48" t="s">
        <v>707</v>
      </c>
      <c r="BC2" s="48" t="s">
        <v>708</v>
      </c>
      <c r="BD2" s="48" t="s">
        <v>701</v>
      </c>
      <c r="BE2" s="48" t="s">
        <v>702</v>
      </c>
      <c r="BF2" s="48" t="s">
        <v>703</v>
      </c>
      <c r="BG2" s="48" t="s">
        <v>704</v>
      </c>
      <c r="BH2" s="48" t="s">
        <v>700</v>
      </c>
      <c r="BI2" s="48" t="s">
        <v>699</v>
      </c>
      <c r="BJ2" s="48" t="s">
        <v>698</v>
      </c>
      <c r="BK2" s="48" t="s">
        <v>697</v>
      </c>
      <c r="BL2" s="48" t="s">
        <v>696</v>
      </c>
      <c r="BM2" s="48" t="s">
        <v>695</v>
      </c>
      <c r="BN2" s="48" t="s">
        <v>694</v>
      </c>
      <c r="BO2" s="48" t="s">
        <v>693</v>
      </c>
      <c r="BP2" s="48" t="s">
        <v>517</v>
      </c>
      <c r="BQ2" s="48" t="s">
        <v>516</v>
      </c>
      <c r="BR2" s="48" t="s">
        <v>515</v>
      </c>
      <c r="BS2" s="48" t="s">
        <v>514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510</v>
      </c>
      <c r="EW2" s="48" t="s">
        <v>511</v>
      </c>
      <c r="EX2" s="48" t="s">
        <v>512</v>
      </c>
      <c r="EY2" s="48" t="s">
        <v>513</v>
      </c>
      <c r="EZ2" s="48" t="s">
        <v>651</v>
      </c>
      <c r="FA2" s="48" t="s">
        <v>652</v>
      </c>
      <c r="FB2" s="48" t="s">
        <v>653</v>
      </c>
      <c r="FC2" s="48" t="s">
        <v>654</v>
      </c>
      <c r="FD2" s="48" t="s">
        <v>655</v>
      </c>
      <c r="FE2" s="48" t="s">
        <v>656</v>
      </c>
      <c r="FF2" s="48" t="s">
        <v>657</v>
      </c>
      <c r="FG2" s="48" t="s">
        <v>658</v>
      </c>
      <c r="FH2" s="48" t="s">
        <v>659</v>
      </c>
      <c r="FI2" s="48" t="s">
        <v>660</v>
      </c>
      <c r="FJ2" s="48" t="s">
        <v>661</v>
      </c>
      <c r="FK2" s="48" t="s">
        <v>650</v>
      </c>
      <c r="FL2" s="48" t="s">
        <v>662</v>
      </c>
      <c r="FM2" s="48" t="s">
        <v>663</v>
      </c>
    </row>
    <row r="3" spans="1:169" s="55" customFormat="1" x14ac:dyDescent="0.2">
      <c r="B3" s="55" t="s">
        <v>647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583</v>
      </c>
    </row>
    <row r="6" spans="1:169" x14ac:dyDescent="0.2">
      <c r="B6" s="38" t="s">
        <v>571</v>
      </c>
      <c r="C6" s="38" t="s">
        <v>578</v>
      </c>
      <c r="D6" s="83">
        <v>40203</v>
      </c>
      <c r="E6" s="38" t="s">
        <v>585</v>
      </c>
    </row>
    <row r="7" spans="1:169" x14ac:dyDescent="0.2">
      <c r="B7" s="38" t="s">
        <v>575</v>
      </c>
      <c r="C7" s="38" t="s">
        <v>221</v>
      </c>
      <c r="D7" s="83">
        <v>40935</v>
      </c>
      <c r="E7" s="38" t="s">
        <v>583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584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572</v>
      </c>
      <c r="C9" s="38" t="s">
        <v>578</v>
      </c>
      <c r="D9" s="83">
        <v>41996</v>
      </c>
      <c r="E9" s="38" t="s">
        <v>585</v>
      </c>
    </row>
    <row r="10" spans="1:169" x14ac:dyDescent="0.2">
      <c r="B10" s="38" t="s">
        <v>574</v>
      </c>
      <c r="C10" s="38" t="s">
        <v>577</v>
      </c>
      <c r="D10" s="83">
        <v>43074</v>
      </c>
      <c r="E10" s="38" t="s">
        <v>585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573</v>
      </c>
      <c r="C11" s="38" t="s">
        <v>577</v>
      </c>
      <c r="D11" s="83">
        <v>43728</v>
      </c>
      <c r="E11" s="38" t="s">
        <v>585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576</v>
      </c>
      <c r="C12" s="38" t="s">
        <v>577</v>
      </c>
      <c r="D12" s="83">
        <v>44351</v>
      </c>
      <c r="E12" s="38" t="s">
        <v>585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507</v>
      </c>
      <c r="C13" s="38" t="s">
        <v>544</v>
      </c>
      <c r="D13" s="83">
        <v>44694</v>
      </c>
      <c r="E13" s="38" t="s">
        <v>584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527</v>
      </c>
      <c r="C14" s="38" t="s">
        <v>544</v>
      </c>
      <c r="D14" s="83">
        <v>45238</v>
      </c>
      <c r="E14" s="38" t="s">
        <v>584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581</v>
      </c>
      <c r="C16" s="38" t="s">
        <v>582</v>
      </c>
      <c r="E16" s="38" t="s">
        <v>583</v>
      </c>
    </row>
    <row r="17" spans="2:72" x14ac:dyDescent="0.2">
      <c r="B17" s="38" t="s">
        <v>586</v>
      </c>
      <c r="C17" s="38" t="s">
        <v>569</v>
      </c>
      <c r="E17" s="38" t="s">
        <v>584</v>
      </c>
    </row>
    <row r="18" spans="2:72" x14ac:dyDescent="0.2">
      <c r="C18" s="38" t="s">
        <v>587</v>
      </c>
    </row>
    <row r="19" spans="2:72" x14ac:dyDescent="0.2">
      <c r="B19" s="38" t="s">
        <v>588</v>
      </c>
      <c r="C19" s="38" t="s">
        <v>589</v>
      </c>
      <c r="E19" s="38" t="s">
        <v>584</v>
      </c>
      <c r="N19" t="s">
        <v>590</v>
      </c>
    </row>
    <row r="20" spans="2:72" x14ac:dyDescent="0.2">
      <c r="B20" s="38" t="s">
        <v>592</v>
      </c>
      <c r="C20" s="38" t="s">
        <v>591</v>
      </c>
      <c r="E20" s="38" t="s">
        <v>593</v>
      </c>
    </row>
    <row r="21" spans="2:72" x14ac:dyDescent="0.2">
      <c r="C21" s="38" t="s">
        <v>594</v>
      </c>
    </row>
    <row r="22" spans="2:72" x14ac:dyDescent="0.2">
      <c r="B22" s="38" t="s">
        <v>595</v>
      </c>
      <c r="E22" s="38" t="s">
        <v>709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596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598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597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599</v>
      </c>
    </row>
    <row r="27" spans="2:72" x14ac:dyDescent="0.2">
      <c r="B27" s="38" t="s">
        <v>600</v>
      </c>
    </row>
    <row r="28" spans="2:72" x14ac:dyDescent="0.2">
      <c r="E28" s="38" t="s">
        <v>601</v>
      </c>
    </row>
    <row r="29" spans="2:72" x14ac:dyDescent="0.2">
      <c r="E29" s="38" t="s">
        <v>602</v>
      </c>
    </row>
    <row r="30" spans="2:72" x14ac:dyDescent="0.2">
      <c r="E30" s="38" t="s">
        <v>603</v>
      </c>
    </row>
    <row r="31" spans="2:72" x14ac:dyDescent="0.2">
      <c r="B31" s="38" t="s">
        <v>604</v>
      </c>
      <c r="C31" s="38" t="s">
        <v>605</v>
      </c>
    </row>
    <row r="32" spans="2:72" x14ac:dyDescent="0.2">
      <c r="C32" s="38" t="s">
        <v>710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285156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677</v>
      </c>
      <c r="G2" s="87" t="s">
        <v>688</v>
      </c>
      <c r="H2" s="87" t="s">
        <v>687</v>
      </c>
      <c r="I2" s="87" t="s">
        <v>686</v>
      </c>
      <c r="J2" s="87" t="s">
        <v>685</v>
      </c>
    </row>
    <row r="3" spans="1:12" x14ac:dyDescent="0.2">
      <c r="B3" s="38" t="s">
        <v>664</v>
      </c>
      <c r="C3" s="71" t="s">
        <v>681</v>
      </c>
      <c r="D3" s="71" t="s">
        <v>672</v>
      </c>
      <c r="E3" s="86" t="s">
        <v>673</v>
      </c>
      <c r="F3" s="86" t="s">
        <v>678</v>
      </c>
      <c r="G3" s="91" t="s">
        <v>679</v>
      </c>
      <c r="H3" s="91" t="s">
        <v>676</v>
      </c>
      <c r="I3" s="87" t="s">
        <v>674</v>
      </c>
      <c r="J3" s="87" t="s">
        <v>675</v>
      </c>
    </row>
    <row r="4" spans="1:12" x14ac:dyDescent="0.2">
      <c r="B4" s="38" t="s">
        <v>665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666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667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668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669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670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671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680</v>
      </c>
      <c r="G12" s="71"/>
      <c r="H12" s="71"/>
      <c r="I12" s="71"/>
      <c r="J12" s="71"/>
    </row>
    <row r="13" spans="1:12" x14ac:dyDescent="0.2">
      <c r="B13" s="38" t="s">
        <v>664</v>
      </c>
      <c r="C13" s="71" t="s">
        <v>681</v>
      </c>
      <c r="D13" s="71" t="s">
        <v>672</v>
      </c>
      <c r="E13" s="86" t="s">
        <v>673</v>
      </c>
      <c r="F13" s="86" t="s">
        <v>678</v>
      </c>
      <c r="G13" s="86" t="s">
        <v>679</v>
      </c>
      <c r="H13" s="86" t="s">
        <v>676</v>
      </c>
      <c r="I13" s="71" t="s">
        <v>674</v>
      </c>
      <c r="J13" s="87" t="s">
        <v>675</v>
      </c>
    </row>
    <row r="14" spans="1:12" x14ac:dyDescent="0.2">
      <c r="B14" s="38" t="s">
        <v>665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666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667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668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669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670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671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682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683</v>
      </c>
      <c r="C25" s="54">
        <v>331000</v>
      </c>
      <c r="G25" s="71">
        <f>12.3+16.4+9.2+11.9</f>
        <v>49.8</v>
      </c>
      <c r="I25" s="71" t="s">
        <v>689</v>
      </c>
      <c r="J25" s="71"/>
    </row>
    <row r="26" spans="2:10" x14ac:dyDescent="0.2">
      <c r="B26" s="38" t="s">
        <v>684</v>
      </c>
      <c r="C26" s="54">
        <f>C25*0.75</f>
        <v>248250</v>
      </c>
      <c r="G26" s="71">
        <f>16.4+9.2+11.9</f>
        <v>37.5</v>
      </c>
      <c r="I26" s="71" t="s">
        <v>690</v>
      </c>
    </row>
    <row r="27" spans="2:10" x14ac:dyDescent="0.2">
      <c r="C27" s="54"/>
      <c r="G27" s="71">
        <f>9.2+11.9</f>
        <v>21.1</v>
      </c>
      <c r="I27" s="71" t="s">
        <v>691</v>
      </c>
    </row>
    <row r="28" spans="2:10" x14ac:dyDescent="0.2">
      <c r="G28" s="53">
        <v>11.9</v>
      </c>
      <c r="I28" s="71" t="s">
        <v>692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9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547</v>
      </c>
    </row>
    <row r="3" spans="1:3" x14ac:dyDescent="0.2">
      <c r="B3" s="38" t="s">
        <v>403</v>
      </c>
      <c r="C3" s="38" t="s">
        <v>544</v>
      </c>
    </row>
    <row r="4" spans="1:3" x14ac:dyDescent="0.2">
      <c r="B4" s="38" t="s">
        <v>1</v>
      </c>
      <c r="C4" s="38" t="s">
        <v>548</v>
      </c>
    </row>
    <row r="5" spans="1:3" x14ac:dyDescent="0.2">
      <c r="B5" s="38" t="s">
        <v>92</v>
      </c>
    </row>
    <row r="6" spans="1:3" x14ac:dyDescent="0.2">
      <c r="C6" s="20" t="s">
        <v>556</v>
      </c>
    </row>
    <row r="7" spans="1:3" x14ac:dyDescent="0.2">
      <c r="C7" s="38" t="s">
        <v>557</v>
      </c>
    </row>
    <row r="9" spans="1:3" x14ac:dyDescent="0.2">
      <c r="C9" s="20" t="s">
        <v>746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5"/>
  <sheetViews>
    <sheetView zoomScale="287" zoomScaleNormal="287" workbookViewId="0">
      <selection activeCell="B6" sqref="B6"/>
    </sheetView>
  </sheetViews>
  <sheetFormatPr defaultColWidth="11.42578125" defaultRowHeight="12.75" x14ac:dyDescent="0.2"/>
  <cols>
    <col min="1" max="1" width="4.8554687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92</v>
      </c>
    </row>
    <row r="5" spans="1:3" x14ac:dyDescent="0.2">
      <c r="C5" s="20" t="s">
        <v>747</v>
      </c>
    </row>
  </sheetData>
  <hyperlinks>
    <hyperlink ref="A1" location="Main!A1" display="Main" xr:uid="{87D2214E-6297-804B-97B9-9124280D58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285156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532</v>
      </c>
    </row>
    <row r="3" spans="1:3" x14ac:dyDescent="0.2">
      <c r="B3" s="38" t="s">
        <v>403</v>
      </c>
      <c r="C3" t="s">
        <v>534</v>
      </c>
    </row>
    <row r="4" spans="1:3" x14ac:dyDescent="0.2">
      <c r="B4" s="38" t="s">
        <v>1</v>
      </c>
      <c r="C4" s="38" t="s">
        <v>555</v>
      </c>
    </row>
    <row r="5" spans="1:3" x14ac:dyDescent="0.2">
      <c r="B5" s="38" t="s">
        <v>405</v>
      </c>
      <c r="C5" s="38" t="s">
        <v>536</v>
      </c>
    </row>
    <row r="6" spans="1:3" x14ac:dyDescent="0.2">
      <c r="B6" s="38" t="s">
        <v>541</v>
      </c>
      <c r="C6" s="38" t="s">
        <v>542</v>
      </c>
    </row>
    <row r="7" spans="1:3" x14ac:dyDescent="0.2">
      <c r="B7" s="38" t="s">
        <v>92</v>
      </c>
    </row>
    <row r="8" spans="1:3" x14ac:dyDescent="0.2">
      <c r="B8" s="38"/>
      <c r="C8" s="20" t="s">
        <v>543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537</v>
      </c>
    </row>
    <row r="13" spans="1:3" x14ac:dyDescent="0.2">
      <c r="C13" s="38" t="s">
        <v>538</v>
      </c>
    </row>
    <row r="14" spans="1:3" x14ac:dyDescent="0.2">
      <c r="C14" s="38" t="s">
        <v>539</v>
      </c>
    </row>
    <row r="15" spans="1:3" x14ac:dyDescent="0.2">
      <c r="C15" s="38" t="s">
        <v>540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donanemab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2024-10-20T14:26:10Z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