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E421B9C-80E7-4B05-AD9A-34418E76EC73}" xr6:coauthVersionLast="47" xr6:coauthVersionMax="47" xr10:uidLastSave="{00000000-0000-0000-0000-000000000000}"/>
  <bookViews>
    <workbookView xWindow="-47160" yWindow="495" windowWidth="24135" windowHeight="20715" activeTab="1" xr2:uid="{EA2824C1-1697-4288-88B1-60A32E5E15B0}"/>
  </bookViews>
  <sheets>
    <sheet name="Main" sheetId="3" r:id="rId1"/>
    <sheet name="Model" sheetId="1" r:id="rId2"/>
    <sheet name="Quarterly Earnings Previe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8" i="1" l="1"/>
  <c r="AC38" i="1" s="1"/>
  <c r="S38" i="1"/>
  <c r="S35" i="1"/>
  <c r="S34" i="1"/>
  <c r="S33" i="1"/>
  <c r="S37" i="1"/>
  <c r="S36" i="1"/>
  <c r="AC52" i="1" l="1"/>
  <c r="AD38" i="1"/>
  <c r="AE38" i="1" s="1"/>
  <c r="AF38" i="1" s="1"/>
  <c r="AG38" i="1" s="1"/>
  <c r="AH38" i="1" s="1"/>
  <c r="AG50" i="1"/>
  <c r="AH50" i="1" s="1"/>
  <c r="AH45" i="1"/>
  <c r="AG45" i="1"/>
  <c r="AG43" i="1"/>
  <c r="AG42" i="1"/>
  <c r="AH42" i="1" s="1"/>
  <c r="AG41" i="1"/>
  <c r="AH41" i="1" s="1"/>
  <c r="AF45" i="1"/>
  <c r="AE45" i="1"/>
  <c r="AD45" i="1"/>
  <c r="AC45" i="1"/>
  <c r="AF50" i="1"/>
  <c r="AE50" i="1"/>
  <c r="AD50" i="1"/>
  <c r="AC50" i="1"/>
  <c r="AB45" i="1"/>
  <c r="AF43" i="1"/>
  <c r="AE43" i="1"/>
  <c r="AD43" i="1"/>
  <c r="AC43" i="1"/>
  <c r="AC42" i="1"/>
  <c r="AD42" i="1" s="1"/>
  <c r="AE42" i="1" s="1"/>
  <c r="AF42" i="1" s="1"/>
  <c r="AE41" i="1"/>
  <c r="AF41" i="1" s="1"/>
  <c r="AD41" i="1"/>
  <c r="AC41" i="1"/>
  <c r="Q55" i="1"/>
  <c r="AA55" i="1"/>
  <c r="Z55" i="1"/>
  <c r="Y55" i="1"/>
  <c r="AB50" i="1"/>
  <c r="AB43" i="1"/>
  <c r="AB42" i="1"/>
  <c r="AB41" i="1"/>
  <c r="AB23" i="1"/>
  <c r="AB22" i="1"/>
  <c r="AB21" i="1"/>
  <c r="AB20" i="1"/>
  <c r="AB19" i="1"/>
  <c r="AB18" i="1"/>
  <c r="AB17" i="1"/>
  <c r="AB16" i="1"/>
  <c r="AB15" i="1"/>
  <c r="AB24" i="1" s="1"/>
  <c r="AB14" i="1"/>
  <c r="AB13" i="1"/>
  <c r="AB12" i="1"/>
  <c r="AB11" i="1"/>
  <c r="AB10" i="1"/>
  <c r="AB9" i="1"/>
  <c r="AB8" i="1"/>
  <c r="AB7" i="1"/>
  <c r="AB6" i="1"/>
  <c r="AB5" i="1"/>
  <c r="AB4" i="1"/>
  <c r="R33" i="1"/>
  <c r="R34" i="1"/>
  <c r="R35" i="1"/>
  <c r="R37" i="1"/>
  <c r="Q34" i="1"/>
  <c r="Q33" i="1"/>
  <c r="Q35" i="1"/>
  <c r="Q37" i="1"/>
  <c r="R28" i="1"/>
  <c r="Q28" i="1"/>
  <c r="P27" i="1"/>
  <c r="O27" i="1"/>
  <c r="N27" i="1"/>
  <c r="P38" i="1"/>
  <c r="P101" i="1" s="1"/>
  <c r="K4" i="3"/>
  <c r="K7" i="3" s="1"/>
  <c r="K3" i="3"/>
  <c r="P98" i="1"/>
  <c r="P87" i="1"/>
  <c r="P90" i="1" s="1"/>
  <c r="P84" i="1"/>
  <c r="P76" i="1"/>
  <c r="P72" i="1"/>
  <c r="P68" i="1"/>
  <c r="P65" i="1"/>
  <c r="P59" i="1"/>
  <c r="P54" i="1"/>
  <c r="P45" i="1"/>
  <c r="P40" i="1"/>
  <c r="P55" i="1" s="1"/>
  <c r="S58" i="1"/>
  <c r="R58" i="1"/>
  <c r="Q58" i="1"/>
  <c r="P58" i="1"/>
  <c r="L58" i="1"/>
  <c r="M58" i="1"/>
  <c r="N58" i="1"/>
  <c r="O58" i="1"/>
  <c r="O93" i="1"/>
  <c r="O98" i="1"/>
  <c r="O99" i="1" s="1"/>
  <c r="O96" i="1"/>
  <c r="O97" i="1"/>
  <c r="O95" i="1"/>
  <c r="O94" i="1"/>
  <c r="O92" i="1"/>
  <c r="O101" i="1"/>
  <c r="O87" i="1"/>
  <c r="O90" i="1" s="1"/>
  <c r="O89" i="1"/>
  <c r="O88" i="1"/>
  <c r="O81" i="1"/>
  <c r="O85" i="1" s="1"/>
  <c r="O84" i="1"/>
  <c r="O83" i="1"/>
  <c r="O82" i="1"/>
  <c r="O80" i="1"/>
  <c r="O79" i="1"/>
  <c r="O78" i="1"/>
  <c r="O76" i="1"/>
  <c r="O72" i="1"/>
  <c r="O68" i="1"/>
  <c r="O65" i="1"/>
  <c r="O59" i="1"/>
  <c r="AA48" i="1"/>
  <c r="AA49" i="1" s="1"/>
  <c r="AA46" i="1"/>
  <c r="AA45" i="1"/>
  <c r="AA44" i="1"/>
  <c r="AA43" i="1"/>
  <c r="AA40" i="1"/>
  <c r="Z48" i="1"/>
  <c r="Z49" i="1" s="1"/>
  <c r="Z46" i="1"/>
  <c r="Z45" i="1"/>
  <c r="Z44" i="1"/>
  <c r="Z43" i="1"/>
  <c r="Z40" i="1"/>
  <c r="Z52" i="1"/>
  <c r="Y49" i="1"/>
  <c r="Y48" i="1"/>
  <c r="Y46" i="1"/>
  <c r="Y45" i="1"/>
  <c r="Y44" i="1"/>
  <c r="Y43" i="1"/>
  <c r="Y40" i="1"/>
  <c r="Y38" i="1"/>
  <c r="O25" i="1"/>
  <c r="C24" i="4"/>
  <c r="C23" i="4"/>
  <c r="K18" i="4"/>
  <c r="K10" i="4"/>
  <c r="G12" i="4"/>
  <c r="G13" i="4" s="1"/>
  <c r="G14" i="4" s="1"/>
  <c r="G15" i="4" s="1"/>
  <c r="G16" i="4" s="1"/>
  <c r="G17" i="4" s="1"/>
  <c r="G18" i="4" s="1"/>
  <c r="G11" i="4"/>
  <c r="R50" i="1"/>
  <c r="R45" i="1"/>
  <c r="S45" i="1" s="1"/>
  <c r="M27" i="1"/>
  <c r="M24" i="1"/>
  <c r="S24" i="1"/>
  <c r="R24" i="1"/>
  <c r="R36" i="1" s="1"/>
  <c r="Q24" i="1"/>
  <c r="Q36" i="1" s="1"/>
  <c r="P24" i="1"/>
  <c r="O24" i="1"/>
  <c r="N24" i="1"/>
  <c r="AH43" i="1" l="1"/>
  <c r="R38" i="1"/>
  <c r="S54" i="1"/>
  <c r="R54" i="1"/>
  <c r="P52" i="1"/>
  <c r="P53" i="1"/>
  <c r="P56" i="1"/>
  <c r="Q54" i="1"/>
  <c r="P43" i="1"/>
  <c r="P44" i="1" s="1"/>
  <c r="P46" i="1" s="1"/>
  <c r="P48" i="1" s="1"/>
  <c r="R42" i="1"/>
  <c r="S42" i="1" s="1"/>
  <c r="S50" i="1"/>
  <c r="R41" i="1"/>
  <c r="R2" i="1"/>
  <c r="P2" i="1"/>
  <c r="G52" i="1"/>
  <c r="H52" i="1"/>
  <c r="I52" i="1"/>
  <c r="K52" i="1"/>
  <c r="D53" i="1"/>
  <c r="E53" i="1"/>
  <c r="F53" i="1"/>
  <c r="G53" i="1"/>
  <c r="H53" i="1"/>
  <c r="I53" i="1"/>
  <c r="M54" i="1"/>
  <c r="S2" i="1"/>
  <c r="AB2" i="1" s="1"/>
  <c r="E54" i="1"/>
  <c r="F54" i="1"/>
  <c r="G54" i="1"/>
  <c r="H54" i="1"/>
  <c r="I54" i="1"/>
  <c r="J54" i="1"/>
  <c r="K54" i="1"/>
  <c r="L54" i="1"/>
  <c r="N54" i="1"/>
  <c r="O33" i="1"/>
  <c r="N38" i="1"/>
  <c r="J38" i="1"/>
  <c r="N52" i="1" s="1"/>
  <c r="N72" i="1"/>
  <c r="N76" i="1" s="1"/>
  <c r="N65" i="1"/>
  <c r="N59" i="1"/>
  <c r="J43" i="1"/>
  <c r="N45" i="1"/>
  <c r="N43" i="1"/>
  <c r="M94" i="1"/>
  <c r="N94" i="1" s="1"/>
  <c r="M95" i="1"/>
  <c r="N95" i="1" s="1"/>
  <c r="M96" i="1"/>
  <c r="N96" i="1" s="1"/>
  <c r="M97" i="1"/>
  <c r="N97" i="1" s="1"/>
  <c r="M93" i="1"/>
  <c r="N93" i="1" s="1"/>
  <c r="M88" i="1"/>
  <c r="N88" i="1" s="1"/>
  <c r="M89" i="1"/>
  <c r="N89" i="1" s="1"/>
  <c r="M83" i="1"/>
  <c r="N83" i="1" s="1"/>
  <c r="M82" i="1"/>
  <c r="N82" i="1" s="1"/>
  <c r="M81" i="1"/>
  <c r="N81" i="1" s="1"/>
  <c r="M80" i="1"/>
  <c r="N80" i="1" s="1"/>
  <c r="M79" i="1"/>
  <c r="N79" i="1" s="1"/>
  <c r="L38" i="1"/>
  <c r="L92" i="1"/>
  <c r="L98" i="1" s="1"/>
  <c r="L87" i="1"/>
  <c r="L90" i="1" s="1"/>
  <c r="L84" i="1"/>
  <c r="M84" i="1" s="1"/>
  <c r="N84" i="1" s="1"/>
  <c r="L73" i="1"/>
  <c r="L72" i="1"/>
  <c r="L76" i="1" s="1"/>
  <c r="L65" i="1"/>
  <c r="L59" i="1"/>
  <c r="M38" i="1"/>
  <c r="M72" i="1"/>
  <c r="M76" i="1" s="1"/>
  <c r="M65" i="1"/>
  <c r="M59" i="1"/>
  <c r="M45" i="1"/>
  <c r="M43" i="1"/>
  <c r="E43" i="1"/>
  <c r="E40" i="1"/>
  <c r="E55" i="1" s="1"/>
  <c r="I43" i="1"/>
  <c r="I40" i="1"/>
  <c r="I55" i="1" s="1"/>
  <c r="D43" i="1"/>
  <c r="D40" i="1"/>
  <c r="D55" i="1" s="1"/>
  <c r="H56" i="1"/>
  <c r="G56" i="1"/>
  <c r="F56" i="1"/>
  <c r="E56" i="1"/>
  <c r="D56" i="1"/>
  <c r="C56" i="1"/>
  <c r="C43" i="1"/>
  <c r="C40" i="1"/>
  <c r="C55" i="1" s="1"/>
  <c r="G43" i="1"/>
  <c r="G40" i="1"/>
  <c r="G55" i="1" s="1"/>
  <c r="I2" i="1"/>
  <c r="M2" i="1" s="1"/>
  <c r="Q2" i="1" s="1"/>
  <c r="E2" i="1"/>
  <c r="K56" i="1"/>
  <c r="I56" i="1"/>
  <c r="H45" i="1"/>
  <c r="L45" i="1"/>
  <c r="L43" i="1"/>
  <c r="H43" i="1"/>
  <c r="H40" i="1"/>
  <c r="H55" i="1" s="1"/>
  <c r="R40" i="1" l="1"/>
  <c r="R53" i="1"/>
  <c r="R56" i="1"/>
  <c r="Q53" i="1"/>
  <c r="Q40" i="1"/>
  <c r="Q56" i="1"/>
  <c r="P49" i="1"/>
  <c r="P78" i="1"/>
  <c r="P85" i="1" s="1"/>
  <c r="P99" i="1" s="1"/>
  <c r="N101" i="1"/>
  <c r="R52" i="1"/>
  <c r="L40" i="1"/>
  <c r="M101" i="1"/>
  <c r="Q52" i="1"/>
  <c r="J56" i="1"/>
  <c r="Z38" i="1"/>
  <c r="Q43" i="1"/>
  <c r="Q44" i="1" s="1"/>
  <c r="Q46" i="1" s="1"/>
  <c r="S41" i="1"/>
  <c r="S43" i="1" s="1"/>
  <c r="R43" i="1"/>
  <c r="R44" i="1" s="1"/>
  <c r="R46" i="1" s="1"/>
  <c r="L68" i="1"/>
  <c r="O43" i="1"/>
  <c r="L52" i="1"/>
  <c r="M92" i="1"/>
  <c r="N92" i="1" s="1"/>
  <c r="N98" i="1" s="1"/>
  <c r="K53" i="1"/>
  <c r="M52" i="1"/>
  <c r="N53" i="1"/>
  <c r="M53" i="1"/>
  <c r="L53" i="1"/>
  <c r="J52" i="1"/>
  <c r="J53" i="1"/>
  <c r="M68" i="1"/>
  <c r="N68" i="1"/>
  <c r="M56" i="1"/>
  <c r="N56" i="1"/>
  <c r="L101" i="1"/>
  <c r="N40" i="1"/>
  <c r="N44" i="1" s="1"/>
  <c r="N46" i="1" s="1"/>
  <c r="M87" i="1"/>
  <c r="L56" i="1"/>
  <c r="J40" i="1"/>
  <c r="L44" i="1"/>
  <c r="L46" i="1" s="1"/>
  <c r="L48" i="1" s="1"/>
  <c r="L55" i="1"/>
  <c r="M40" i="1"/>
  <c r="M44" i="1" s="1"/>
  <c r="M46" i="1" s="1"/>
  <c r="M48" i="1" s="1"/>
  <c r="E44" i="1"/>
  <c r="E46" i="1" s="1"/>
  <c r="E48" i="1" s="1"/>
  <c r="E49" i="1" s="1"/>
  <c r="C44" i="1"/>
  <c r="C46" i="1" s="1"/>
  <c r="C48" i="1" s="1"/>
  <c r="C49" i="1" s="1"/>
  <c r="I44" i="1"/>
  <c r="I46" i="1" s="1"/>
  <c r="I48" i="1" s="1"/>
  <c r="I49" i="1" s="1"/>
  <c r="D44" i="1"/>
  <c r="D46" i="1" s="1"/>
  <c r="D48" i="1" s="1"/>
  <c r="D49" i="1" s="1"/>
  <c r="G44" i="1"/>
  <c r="G46" i="1" s="1"/>
  <c r="G48" i="1" s="1"/>
  <c r="G49" i="1" s="1"/>
  <c r="H44" i="1"/>
  <c r="H46" i="1" s="1"/>
  <c r="H48" i="1" s="1"/>
  <c r="H49" i="1" s="1"/>
  <c r="AB52" i="1" l="1"/>
  <c r="S56" i="1"/>
  <c r="S53" i="1"/>
  <c r="S40" i="1"/>
  <c r="S55" i="1" s="1"/>
  <c r="R39" i="1"/>
  <c r="R55" i="1"/>
  <c r="R47" i="1"/>
  <c r="R48" i="1"/>
  <c r="R49" i="1" s="1"/>
  <c r="M98" i="1"/>
  <c r="Q48" i="1"/>
  <c r="Q49" i="1" s="1"/>
  <c r="N55" i="1"/>
  <c r="M55" i="1"/>
  <c r="J44" i="1"/>
  <c r="J46" i="1" s="1"/>
  <c r="J48" i="1" s="1"/>
  <c r="J49" i="1" s="1"/>
  <c r="J55" i="1"/>
  <c r="M90" i="1"/>
  <c r="N87" i="1"/>
  <c r="N90" i="1" s="1"/>
  <c r="N48" i="1"/>
  <c r="M49" i="1"/>
  <c r="M78" i="1"/>
  <c r="M85" i="1" s="1"/>
  <c r="L49" i="1"/>
  <c r="L78" i="1"/>
  <c r="L85" i="1" s="1"/>
  <c r="L99" i="1" s="1"/>
  <c r="S39" i="1" l="1"/>
  <c r="AB40" i="1"/>
  <c r="AC40" i="1"/>
  <c r="AD52" i="1"/>
  <c r="AC39" i="1"/>
  <c r="S44" i="1"/>
  <c r="S46" i="1" s="1"/>
  <c r="S47" i="1" s="1"/>
  <c r="S48" i="1" s="1"/>
  <c r="S49" i="1" s="1"/>
  <c r="M99" i="1"/>
  <c r="N49" i="1"/>
  <c r="N78" i="1"/>
  <c r="N85" i="1" s="1"/>
  <c r="N99" i="1" s="1"/>
  <c r="AC55" i="1" l="1"/>
  <c r="AC44" i="1"/>
  <c r="AC46" i="1" s="1"/>
  <c r="AE52" i="1"/>
  <c r="AD40" i="1"/>
  <c r="AD39" i="1" s="1"/>
  <c r="AB55" i="1"/>
  <c r="AB44" i="1"/>
  <c r="AB46" i="1" s="1"/>
  <c r="AB39" i="1"/>
  <c r="O38" i="1"/>
  <c r="O54" i="1"/>
  <c r="AB47" i="1" l="1"/>
  <c r="AB48" i="1" s="1"/>
  <c r="AB49" i="1" s="1"/>
  <c r="AD55" i="1"/>
  <c r="AD44" i="1"/>
  <c r="AD46" i="1" s="1"/>
  <c r="AD47" i="1" s="1"/>
  <c r="AD48" i="1" s="1"/>
  <c r="AD49" i="1" s="1"/>
  <c r="AF52" i="1"/>
  <c r="AE40" i="1"/>
  <c r="AE39" i="1" s="1"/>
  <c r="AC47" i="1"/>
  <c r="AC48" i="1" s="1"/>
  <c r="O52" i="1"/>
  <c r="S52" i="1"/>
  <c r="O40" i="1"/>
  <c r="AA38" i="1"/>
  <c r="O53" i="1"/>
  <c r="O56" i="1"/>
  <c r="AC49" i="1" l="1"/>
  <c r="AE55" i="1"/>
  <c r="AE44" i="1"/>
  <c r="AE46" i="1" s="1"/>
  <c r="AG52" i="1"/>
  <c r="AF40" i="1"/>
  <c r="AA52" i="1"/>
  <c r="O44" i="1"/>
  <c r="O46" i="1" s="1"/>
  <c r="O48" i="1" s="1"/>
  <c r="O49" i="1" s="1"/>
  <c r="O55" i="1"/>
  <c r="AF55" i="1" l="1"/>
  <c r="AF44" i="1"/>
  <c r="AF46" i="1" s="1"/>
  <c r="AF47" i="1" s="1"/>
  <c r="AF48" i="1" s="1"/>
  <c r="AF49" i="1" s="1"/>
  <c r="AF39" i="1"/>
  <c r="AG40" i="1"/>
  <c r="AG44" i="1" s="1"/>
  <c r="AG46" i="1" s="1"/>
  <c r="AH52" i="1"/>
  <c r="AE47" i="1"/>
  <c r="AE48" i="1"/>
  <c r="AG39" i="1" l="1"/>
  <c r="AE49" i="1"/>
  <c r="AH40" i="1"/>
  <c r="AH44" i="1" s="1"/>
  <c r="AH46" i="1" s="1"/>
  <c r="AH47" i="1" s="1"/>
  <c r="AH48" i="1" s="1"/>
  <c r="AG47" i="1"/>
  <c r="AG48" i="1" s="1"/>
  <c r="AG49" i="1" l="1"/>
  <c r="AH49" i="1"/>
  <c r="AI48" i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CL48" i="1" s="1"/>
  <c r="CM48" i="1" s="1"/>
  <c r="CN48" i="1" s="1"/>
  <c r="CO48" i="1" s="1"/>
  <c r="CP48" i="1" s="1"/>
  <c r="CQ48" i="1" s="1"/>
  <c r="CR48" i="1" s="1"/>
  <c r="CS48" i="1" s="1"/>
  <c r="CT48" i="1" s="1"/>
  <c r="CU48" i="1" s="1"/>
  <c r="CV48" i="1" s="1"/>
  <c r="CW48" i="1" s="1"/>
  <c r="CX48" i="1" s="1"/>
  <c r="CY48" i="1" s="1"/>
  <c r="CZ48" i="1" s="1"/>
  <c r="DA48" i="1" s="1"/>
  <c r="DB48" i="1" s="1"/>
  <c r="DC48" i="1" s="1"/>
  <c r="DD48" i="1" s="1"/>
  <c r="DE48" i="1" s="1"/>
  <c r="DF48" i="1" s="1"/>
  <c r="DG48" i="1" s="1"/>
  <c r="DH48" i="1" s="1"/>
  <c r="DI48" i="1" s="1"/>
  <c r="DJ48" i="1" s="1"/>
  <c r="DK48" i="1" s="1"/>
  <c r="DL48" i="1" s="1"/>
  <c r="DM48" i="1" s="1"/>
  <c r="DN48" i="1" s="1"/>
  <c r="DO48" i="1" s="1"/>
  <c r="DP48" i="1" s="1"/>
  <c r="DQ48" i="1" s="1"/>
  <c r="DR48" i="1" s="1"/>
  <c r="DS48" i="1" s="1"/>
  <c r="DT48" i="1" s="1"/>
  <c r="DU48" i="1" s="1"/>
  <c r="DV48" i="1" s="1"/>
  <c r="DW48" i="1" s="1"/>
  <c r="DX48" i="1" s="1"/>
  <c r="DY48" i="1" s="1"/>
  <c r="DZ48" i="1" s="1"/>
  <c r="AH39" i="1"/>
  <c r="AI56" i="1" l="1"/>
  <c r="AI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tc={E320785E-9BCE-AC4E-B37C-7EB104B6CF82}</author>
    <author>tc={AC62E1DD-5F48-4CE0-8635-05BA74B5AC99}</author>
    <author>tc={3CFE94FA-5EAC-7E47-B7D3-031052D60B7C}</author>
    <author>tc={23E40331-82EE-794B-BF71-362AABD49EB0}</author>
    <author>tc={7661685F-D234-EE4D-9EE3-823EB4FBA0E2}</author>
    <author>tc={195B7556-9D37-2C4A-AE00-5F1730A1F989}</author>
    <author>tc={ABEADC1D-5EB0-4C3F-94A3-CDCB9F5F27A0}</author>
    <author>tc={4E6E582A-C13D-49BC-B7B1-29F955B3A8F8}</author>
  </authors>
  <commentList>
    <comment ref="L36" authorId="0" shapeId="0" xr:uid="{E320785E-9BCE-AC4E-B37C-7EB104B6CF82}">
      <text>
        <t>[Threaded comment]
Your version of Excel allows you to read this threaded comment; however, any edits to it will get removed if the file is opened in a newer version of Excel. Learn more: https://go.microsoft.com/fwlink/?linkid=870924
Comment:
    H100 started shipping</t>
      </text>
    </comment>
    <comment ref="S36" authorId="1" shapeId="0" xr:uid="{AC62E1DD-5F48-4CE0-8635-05BA74B5AC9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will sell several billion
Blackwall product ramp starts</t>
      </text>
    </comment>
    <comment ref="L38" authorId="2" shapeId="0" xr:uid="{3CFE94FA-5EAC-7E47-B7D3-031052D60B7C}">
      <text>
        <t>[Threaded comment]
Your version of Excel allows you to read this threaded comment; however, any edits to it will get removed if the file is opened in a newer version of Excel. Learn more: https://go.microsoft.com/fwlink/?linkid=870924
Comment:
    6.5B guidance</t>
      </text>
    </comment>
    <comment ref="M38" authorId="3" shapeId="0" xr:uid="{23E40331-82EE-794B-BF71-362AABD4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11B</t>
      </text>
    </comment>
    <comment ref="N38" authorId="4" shapeId="0" xr:uid="{7661685F-D234-EE4D-9EE3-823EB4FBA0E2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16B</t>
      </text>
    </comment>
    <comment ref="P38" authorId="5" shapeId="0" xr:uid="{195B7556-9D37-2C4A-AE00-5F1730A1F98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20.570B
2/21/24 guided to 23.52-24.48B</t>
      </text>
    </comment>
    <comment ref="Q38" authorId="6" shapeId="0" xr:uid="{ABEADC1D-5EB0-4C3F-94A3-CDCB9F5F27A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28000</t>
      </text>
    </comment>
    <comment ref="R38" authorId="7" shapeId="0" xr:uid="{4E6E582A-C13D-49BC-B7B1-29F955B3A8F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31.7</t>
      </text>
    </comment>
  </commentList>
</comments>
</file>

<file path=xl/sharedStrings.xml><?xml version="1.0" encoding="utf-8"?>
<sst xmlns="http://schemas.openxmlformats.org/spreadsheetml/2006/main" count="188" uniqueCount="171">
  <si>
    <t>Main</t>
  </si>
  <si>
    <t>Revenue</t>
  </si>
  <si>
    <t>Operating Income</t>
  </si>
  <si>
    <t>Operating Expenses</t>
  </si>
  <si>
    <t>COGS</t>
  </si>
  <si>
    <t>Gross Margin</t>
  </si>
  <si>
    <t>R&amp;D</t>
  </si>
  <si>
    <t>SG&amp;A</t>
  </si>
  <si>
    <t>Net Income</t>
  </si>
  <si>
    <t>Taxes</t>
  </si>
  <si>
    <t>Pretax Income</t>
  </si>
  <si>
    <t>Interest</t>
  </si>
  <si>
    <t>EPS</t>
  </si>
  <si>
    <t>Shares</t>
  </si>
  <si>
    <t>Q123</t>
  </si>
  <si>
    <t>Q223</t>
  </si>
  <si>
    <t>Q323</t>
  </si>
  <si>
    <t>Q423</t>
  </si>
  <si>
    <t>Q124</t>
  </si>
  <si>
    <t>Gaming</t>
  </si>
  <si>
    <t>Visualization</t>
  </si>
  <si>
    <t>Automotive</t>
  </si>
  <si>
    <t>Data Center</t>
  </si>
  <si>
    <t>Q422</t>
  </si>
  <si>
    <t>Data Center %</t>
  </si>
  <si>
    <t>Q224</t>
  </si>
  <si>
    <t>Q122</t>
  </si>
  <si>
    <t>Q222</t>
  </si>
  <si>
    <t>Q322</t>
  </si>
  <si>
    <t>Q421</t>
  </si>
  <si>
    <t>L+SE</t>
  </si>
  <si>
    <t>SE</t>
  </si>
  <si>
    <t>OLTL</t>
  </si>
  <si>
    <t>Leases</t>
  </si>
  <si>
    <t>Debt</t>
  </si>
  <si>
    <t>AL</t>
  </si>
  <si>
    <t>AP</t>
  </si>
  <si>
    <t>Assets</t>
  </si>
  <si>
    <t>Cash</t>
  </si>
  <si>
    <t>AR</t>
  </si>
  <si>
    <t>Inventories</t>
  </si>
  <si>
    <t>Prepaids</t>
  </si>
  <si>
    <t>PP&amp;E</t>
  </si>
  <si>
    <t>Lease</t>
  </si>
  <si>
    <t>Goodwill</t>
  </si>
  <si>
    <t>OA</t>
  </si>
  <si>
    <t>Other</t>
  </si>
  <si>
    <t>Q324</t>
  </si>
  <si>
    <t>Q424</t>
  </si>
  <si>
    <t>Q125</t>
  </si>
  <si>
    <t>Q225</t>
  </si>
  <si>
    <t>Q325</t>
  </si>
  <si>
    <t>Q425</t>
  </si>
  <si>
    <t>SBC</t>
  </si>
  <si>
    <t>CFFO</t>
  </si>
  <si>
    <t>D&amp;A</t>
  </si>
  <si>
    <t>Investments</t>
  </si>
  <si>
    <t>DT</t>
  </si>
  <si>
    <t>WC</t>
  </si>
  <si>
    <t>Securities</t>
  </si>
  <si>
    <t>CapEx</t>
  </si>
  <si>
    <t>Acquisitions</t>
  </si>
  <si>
    <t>CFFI</t>
  </si>
  <si>
    <t>CIC</t>
  </si>
  <si>
    <t>CFFF</t>
  </si>
  <si>
    <t>ESOP</t>
  </si>
  <si>
    <t>RSUs</t>
  </si>
  <si>
    <t>Dividends</t>
  </si>
  <si>
    <t>PP&amp;E payments</t>
  </si>
  <si>
    <t>Buyback</t>
  </si>
  <si>
    <t>DSO</t>
  </si>
  <si>
    <t>Revenue y/y</t>
  </si>
  <si>
    <t>Revenue q/q</t>
  </si>
  <si>
    <t>Data Center q/q</t>
  </si>
  <si>
    <t>H100 volume</t>
  </si>
  <si>
    <t>H100 ASP</t>
  </si>
  <si>
    <t>Meta</t>
  </si>
  <si>
    <t>Google</t>
  </si>
  <si>
    <t>OpenAI</t>
  </si>
  <si>
    <t>Microsoft</t>
  </si>
  <si>
    <t>Character.ai</t>
  </si>
  <si>
    <t>AWS</t>
  </si>
  <si>
    <t>Lambda</t>
  </si>
  <si>
    <t>Coreweave</t>
  </si>
  <si>
    <t>Baidu</t>
  </si>
  <si>
    <t>Academics</t>
  </si>
  <si>
    <t>Government</t>
  </si>
  <si>
    <t>GCP</t>
  </si>
  <si>
    <t>Azure</t>
  </si>
  <si>
    <t>Amazon AI</t>
  </si>
  <si>
    <t>Tencent</t>
  </si>
  <si>
    <t>Anthropic</t>
  </si>
  <si>
    <t>Bytedance</t>
  </si>
  <si>
    <t>Oracle</t>
  </si>
  <si>
    <t>IBM</t>
  </si>
  <si>
    <t>Total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</si>
  <si>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</si>
  <si>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</si>
  <si>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</si>
  <si>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</si>
  <si>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</si>
  <si>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</si>
  <si>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</si>
  <si>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</si>
  <si>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</si>
  <si>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</si>
  <si>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</si>
  <si>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</si>
  <si>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</si>
  <si>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</si>
  <si>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</si>
  <si>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</si>
  <si>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Price</t>
  </si>
  <si>
    <t>MC</t>
  </si>
  <si>
    <t>EV</t>
  </si>
  <si>
    <t>1999: invention of the GPU</t>
  </si>
  <si>
    <t>2012: AlexNet</t>
  </si>
  <si>
    <t>2006: CUDA</t>
  </si>
  <si>
    <t>2017: first Tensor Core GPU</t>
  </si>
  <si>
    <t>2020: Mellanox acquisition</t>
  </si>
  <si>
    <t>H100</t>
  </si>
  <si>
    <t>A100</t>
  </si>
  <si>
    <t>V100</t>
  </si>
  <si>
    <t>4090</t>
  </si>
  <si>
    <t>Clara</t>
  </si>
  <si>
    <t>Healthcare</t>
  </si>
  <si>
    <t>Omniverse</t>
  </si>
  <si>
    <t>DRIVE</t>
  </si>
  <si>
    <t>Autonomous Driving</t>
  </si>
  <si>
    <t>Industrial</t>
  </si>
  <si>
    <t>Consumer</t>
  </si>
  <si>
    <t>Server</t>
  </si>
  <si>
    <t>Name</t>
  </si>
  <si>
    <t>1998: Reincorporated in Delaware.</t>
  </si>
  <si>
    <t>1993: Founded in Santa Clara, California.</t>
  </si>
  <si>
    <t>Quantum</t>
  </si>
  <si>
    <t>InfiniBand</t>
  </si>
  <si>
    <t>Spectrum</t>
  </si>
  <si>
    <t>Ethernet</t>
  </si>
  <si>
    <t>Jetson</t>
  </si>
  <si>
    <t>DGX</t>
  </si>
  <si>
    <t>GeForce NOW</t>
  </si>
  <si>
    <t>Wafers</t>
  </si>
  <si>
    <t>TSMC, Samsung</t>
  </si>
  <si>
    <t>Memory</t>
  </si>
  <si>
    <t>Micron, SK Hynix, Samsung</t>
  </si>
  <si>
    <t>Assembly</t>
  </si>
  <si>
    <t>Hon Hai, Wistron, Fabrinet</t>
  </si>
  <si>
    <t>Consensus 5/21/24 - EPS</t>
  </si>
  <si>
    <t>Consensus 5/21/24 - Revenue</t>
  </si>
  <si>
    <t>Q1 Revenue</t>
  </si>
  <si>
    <t>Consensus</t>
  </si>
  <si>
    <t>Low End Guidance</t>
  </si>
  <si>
    <t>High End Guidance</t>
  </si>
  <si>
    <t>Reactions</t>
  </si>
  <si>
    <t>Q2 Guidance</t>
  </si>
  <si>
    <t>Current Price</t>
  </si>
  <si>
    <t>955 CALL</t>
  </si>
  <si>
    <t>955 PUT</t>
  </si>
  <si>
    <t>STRADDLE</t>
  </si>
  <si>
    <t>40% of Data Center revenue was for Inference</t>
  </si>
  <si>
    <t>"Large Cloud"</t>
  </si>
  <si>
    <t>Compute &amp; Networking</t>
  </si>
  <si>
    <t>Graphics</t>
  </si>
  <si>
    <t>Net Cash</t>
  </si>
  <si>
    <t>Tesla/X</t>
  </si>
  <si>
    <t>Discount</t>
  </si>
  <si>
    <t>NPV</t>
  </si>
  <si>
    <t>Terminal</t>
  </si>
  <si>
    <t>Spectrum-X outperforms Ethernet as networking fabric, will be multi-billion product</t>
  </si>
  <si>
    <t>"Sov AI revenue will reach low double digit billions in FY25"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</si>
</sst>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;@"/>
    <numFmt numFmtId="165" formatCode="0.0"/>
    <numFmt numFmtId="166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1" fillId="0" borderId="0" xfId="0" applyFont="1"/>
    <xf numFmtId="14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0" fontId="3" fillId="0" borderId="0" xfId="1"/>
    <xf numFmtId="0" fontId="0" fillId="0" borderId="1" xfId="0" applyBorder="1"/>
    <xf numFmtId="0" fontId="0" fillId="0" borderId="2" xfId="0" applyBorder="1"/>
    <xf numFmtId="0" fontId="0" fillId="0" borderId="1" xfId="0" quotePrefix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A81095-DEB6-49D7-A035-8F5F751E84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74462</xdr:colOff>
      <xdr:row>0</xdr:row>
      <xdr:rowOff>0</xdr:rowOff>
    </xdr:from>
    <xdr:to>
      <xdr:col>16</xdr:col>
      <xdr:colOff>74462</xdr:colOff>
      <xdr:row>107</xdr:row>
      <xdr:rowOff>99785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1C8C3E-ED35-A5C1-B3B1-F8E102039664}"/>
            </a:ext>
          </a:extLst>
        </xdr:cNvPr>
        <xdr:cNvCxnSpPr/>
      </xdr:nvCxnSpPr>
      <xdr:spPr>
        <a:xfrm>
          <a:off x="11014605" y="0"/>
          <a:ext cx="0" cy="175713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26836</xdr:colOff>
      <xdr:row>0</xdr:row>
      <xdr:rowOff>0</xdr:rowOff>
    </xdr:from>
    <xdr:to>
      <xdr:col>27</xdr:col>
      <xdr:colOff>26836</xdr:colOff>
      <xdr:row>107</xdr:row>
      <xdr:rowOff>99785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44409-B70A-4BF9-95A7-B93212F1F85B}"/>
            </a:ext>
          </a:extLst>
        </xdr:cNvPr>
        <xdr:cNvCxnSpPr/>
      </xdr:nvCxnSpPr>
      <xdr:spPr>
        <a:xfrm>
          <a:off x="17790961" y="0"/>
          <a:ext cx="0" cy="175713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526F2C0-66C0-534F-AADF-50BFCB37FCD4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36" dT="2024-02-21T20:05:44.73" personId="{C526F2C0-66C0-534F-AADF-50BFCB37FCD4}" id="{E320785E-9BCE-AC4E-B37C-7EB104B6CF82}">
    <text>H100 started shipping</text>
  </threadedComment>
  <threadedComment ref="S36" dT="2024-08-28T21:08:16.17" personId="{C526F2C0-66C0-534F-AADF-50BFCB37FCD4}" id="{AC62E1DD-5F48-4CE0-8635-05BA74B5AC99}">
    <text>Blackwell will sell several billion
Blackwall product ramp starts</text>
  </threadedComment>
  <threadedComment ref="L38" dT="2024-02-21T20:05:14.08" personId="{C526F2C0-66C0-534F-AADF-50BFCB37FCD4}" id="{3CFE94FA-5EAC-7E47-B7D3-031052D60B7C}">
    <text>6.5B guidance</text>
  </threadedComment>
  <threadedComment ref="M38" dT="2024-02-21T19:58:52.64" personId="{C526F2C0-66C0-534F-AADF-50BFCB37FCD4}" id="{23E40331-82EE-794B-BF71-362AABD49EB0}">
    <text>Guidance was 11B</text>
  </threadedComment>
  <threadedComment ref="N38" dT="2024-02-21T19:55:06.51" personId="{C526F2C0-66C0-534F-AADF-50BFCB37FCD4}" id="{7661685F-D234-EE4D-9EE3-823EB4FBA0E2}">
    <text>Guidance was 16B</text>
  </threadedComment>
  <threadedComment ref="P38" dT="2024-02-21T20:21:53.11" personId="{C526F2C0-66C0-534F-AADF-50BFCB37FCD4}" id="{195B7556-9D37-2C4A-AE00-5F1730A1F989}">
    <text>Consensus 20.570B
2/21/24 guided to 23.52-24.48B</text>
  </threadedComment>
  <threadedComment ref="Q38" dT="2024-08-28T19:54:29.44" personId="{C526F2C0-66C0-534F-AADF-50BFCB37FCD4}" id="{ABEADC1D-5EB0-4C3F-94A3-CDCB9F5F27A0}">
    <text>Guidance: 28000</text>
  </threadedComment>
  <threadedComment ref="R38" dT="2024-08-28T20:02:46.45" personId="{C526F2C0-66C0-534F-AADF-50BFCB37FCD4}" id="{4E6E582A-C13D-49BC-B7B1-29F955B3A8F8}">
    <text>Consensus 31.7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6168-49C8-45E2-8975-8028D960ECA2}">
  <dimension ref="B2:L22"/>
  <sheetViews>
    <sheetView zoomScale="190" zoomScaleNormal="190" workbookViewId="0">
      <selection activeCell="G14" sqref="G14"/>
    </sheetView>
  </sheetViews>
  <sheetFormatPr defaultRowHeight="12.75" x14ac:dyDescent="0.2"/>
  <cols>
    <col min="11" max="11" width="10.140625" customWidth="1"/>
  </cols>
  <sheetData>
    <row r="2" spans="2:12" x14ac:dyDescent="0.2">
      <c r="B2" s="25" t="s">
        <v>132</v>
      </c>
      <c r="C2" s="26"/>
      <c r="D2" s="26"/>
      <c r="E2" s="26"/>
      <c r="F2" s="26"/>
      <c r="G2" s="26"/>
      <c r="H2" s="27"/>
      <c r="J2" t="s">
        <v>112</v>
      </c>
      <c r="K2" s="15">
        <v>102.49</v>
      </c>
    </row>
    <row r="3" spans="2:12" x14ac:dyDescent="0.2">
      <c r="B3" s="19" t="s">
        <v>120</v>
      </c>
      <c r="C3" t="s">
        <v>131</v>
      </c>
      <c r="H3" s="20"/>
      <c r="J3" t="s">
        <v>13</v>
      </c>
      <c r="K3" s="2">
        <f>2460*10</f>
        <v>24600</v>
      </c>
      <c r="L3" s="3" t="s">
        <v>18</v>
      </c>
    </row>
    <row r="4" spans="2:12" x14ac:dyDescent="0.2">
      <c r="B4" s="19" t="s">
        <v>121</v>
      </c>
      <c r="C4" t="s">
        <v>131</v>
      </c>
      <c r="H4" s="20"/>
      <c r="J4" t="s">
        <v>113</v>
      </c>
      <c r="K4" s="2">
        <f>+K2*K3</f>
        <v>2521254</v>
      </c>
    </row>
    <row r="5" spans="2:12" x14ac:dyDescent="0.2">
      <c r="B5" s="19" t="s">
        <v>122</v>
      </c>
      <c r="C5" t="s">
        <v>131</v>
      </c>
      <c r="H5" s="20"/>
      <c r="J5" t="s">
        <v>38</v>
      </c>
      <c r="K5" s="2">
        <v>31438</v>
      </c>
      <c r="L5" s="3" t="s">
        <v>18</v>
      </c>
    </row>
    <row r="6" spans="2:12" x14ac:dyDescent="0.2">
      <c r="B6" s="21" t="s">
        <v>123</v>
      </c>
      <c r="C6" t="s">
        <v>130</v>
      </c>
      <c r="H6" s="20"/>
      <c r="J6" t="s">
        <v>34</v>
      </c>
      <c r="K6" s="2">
        <v>9710</v>
      </c>
      <c r="L6" s="3" t="s">
        <v>18</v>
      </c>
    </row>
    <row r="7" spans="2:12" x14ac:dyDescent="0.2">
      <c r="B7" s="19" t="s">
        <v>124</v>
      </c>
      <c r="C7" t="s">
        <v>125</v>
      </c>
      <c r="H7" s="20"/>
      <c r="J7" t="s">
        <v>114</v>
      </c>
      <c r="K7" s="2">
        <f>+K4-K5+K6</f>
        <v>2499526</v>
      </c>
    </row>
    <row r="8" spans="2:12" x14ac:dyDescent="0.2">
      <c r="B8" s="19" t="s">
        <v>126</v>
      </c>
      <c r="C8" t="s">
        <v>129</v>
      </c>
      <c r="H8" s="20"/>
      <c r="K8" s="2"/>
    </row>
    <row r="9" spans="2:12" x14ac:dyDescent="0.2">
      <c r="B9" s="19" t="s">
        <v>127</v>
      </c>
      <c r="C9" t="s">
        <v>128</v>
      </c>
      <c r="H9" s="20"/>
      <c r="K9" s="2"/>
    </row>
    <row r="10" spans="2:12" x14ac:dyDescent="0.2">
      <c r="B10" s="19" t="s">
        <v>135</v>
      </c>
      <c r="C10" t="s">
        <v>136</v>
      </c>
      <c r="H10" s="20"/>
    </row>
    <row r="11" spans="2:12" x14ac:dyDescent="0.2">
      <c r="B11" s="19" t="s">
        <v>137</v>
      </c>
      <c r="C11" t="s">
        <v>138</v>
      </c>
      <c r="D11" t="s">
        <v>169</v>
      </c>
      <c r="H11" s="20"/>
    </row>
    <row r="12" spans="2:12" x14ac:dyDescent="0.2">
      <c r="B12" s="19" t="s">
        <v>139</v>
      </c>
      <c r="H12" s="20"/>
    </row>
    <row r="13" spans="2:12" x14ac:dyDescent="0.2">
      <c r="B13" s="19" t="s">
        <v>140</v>
      </c>
      <c r="H13" s="20"/>
    </row>
    <row r="14" spans="2:12" x14ac:dyDescent="0.2">
      <c r="B14" s="22" t="s">
        <v>141</v>
      </c>
      <c r="C14" s="23"/>
      <c r="D14" s="23"/>
      <c r="E14" s="23"/>
      <c r="F14" s="23"/>
      <c r="G14" s="23"/>
      <c r="H14" s="24"/>
    </row>
    <row r="16" spans="2:12" x14ac:dyDescent="0.2">
      <c r="B16" t="s">
        <v>142</v>
      </c>
      <c r="C16" t="s">
        <v>143</v>
      </c>
      <c r="K16" t="s">
        <v>119</v>
      </c>
    </row>
    <row r="17" spans="2:11" x14ac:dyDescent="0.2">
      <c r="B17" t="s">
        <v>144</v>
      </c>
      <c r="C17" t="s">
        <v>145</v>
      </c>
      <c r="K17" t="s">
        <v>118</v>
      </c>
    </row>
    <row r="18" spans="2:11" x14ac:dyDescent="0.2">
      <c r="B18" t="s">
        <v>146</v>
      </c>
      <c r="C18" t="s">
        <v>147</v>
      </c>
      <c r="K18" t="s">
        <v>116</v>
      </c>
    </row>
    <row r="19" spans="2:11" x14ac:dyDescent="0.2">
      <c r="K19" t="s">
        <v>117</v>
      </c>
    </row>
    <row r="20" spans="2:11" x14ac:dyDescent="0.2">
      <c r="K20" t="s">
        <v>115</v>
      </c>
    </row>
    <row r="21" spans="2:11" x14ac:dyDescent="0.2">
      <c r="B21" t="s">
        <v>160</v>
      </c>
      <c r="K21" t="s">
        <v>133</v>
      </c>
    </row>
    <row r="22" spans="2:11" x14ac:dyDescent="0.2">
      <c r="B22" t="s">
        <v>170</v>
      </c>
      <c r="K22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193D-ACA0-4C17-9392-2417D68CD430}">
  <dimension ref="A1:DZ104"/>
  <sheetViews>
    <sheetView tabSelected="1" zoomScale="180" zoomScaleNormal="180" workbookViewId="0">
      <pane xSplit="2" ySplit="3" topLeftCell="V25" activePane="bottomRight" state="frozen"/>
      <selection pane="topRight" activeCell="C1" sqref="C1"/>
      <selection pane="bottomLeft" activeCell="A4" sqref="A4"/>
      <selection pane="bottomRight" activeCell="AC38" sqref="AC38"/>
    </sheetView>
  </sheetViews>
  <sheetFormatPr defaultColWidth="8.85546875" defaultRowHeight="12.75" x14ac:dyDescent="0.2"/>
  <cols>
    <col min="1" max="1" width="5" bestFit="1" customWidth="1"/>
    <col min="2" max="2" width="22.5703125" customWidth="1"/>
    <col min="3" max="12" width="9.7109375" style="3" customWidth="1"/>
    <col min="13" max="14" width="9.7109375" customWidth="1"/>
    <col min="15" max="19" width="10.140625" customWidth="1"/>
    <col min="23" max="33" width="10" customWidth="1"/>
    <col min="34" max="36" width="10.28515625" customWidth="1"/>
  </cols>
  <sheetData>
    <row r="1" spans="1:37" x14ac:dyDescent="0.2">
      <c r="A1" s="18" t="s">
        <v>0</v>
      </c>
    </row>
    <row r="2" spans="1:37" x14ac:dyDescent="0.2">
      <c r="C2" s="13">
        <v>44227</v>
      </c>
      <c r="D2" s="13">
        <v>44318</v>
      </c>
      <c r="E2" s="13">
        <f>+F2-92</f>
        <v>44408</v>
      </c>
      <c r="F2" s="13">
        <v>44500</v>
      </c>
      <c r="G2" s="13">
        <v>44591</v>
      </c>
      <c r="H2" s="13">
        <v>44682</v>
      </c>
      <c r="I2" s="13">
        <f>+J2-91</f>
        <v>44773</v>
      </c>
      <c r="J2" s="13">
        <v>44864</v>
      </c>
      <c r="K2" s="13">
        <v>44955</v>
      </c>
      <c r="L2" s="13">
        <v>45046</v>
      </c>
      <c r="M2" s="13">
        <f>+I2+365</f>
        <v>45138</v>
      </c>
      <c r="N2" s="13">
        <v>45228</v>
      </c>
      <c r="O2" s="13">
        <v>45319</v>
      </c>
      <c r="P2" s="13">
        <f>+L2+366</f>
        <v>45412</v>
      </c>
      <c r="Q2" s="13">
        <f>+M2+366</f>
        <v>45504</v>
      </c>
      <c r="R2" s="13">
        <f>+N2+366</f>
        <v>45594</v>
      </c>
      <c r="S2" s="13">
        <f>+O2+366</f>
        <v>45685</v>
      </c>
      <c r="AA2" s="1">
        <v>45320</v>
      </c>
      <c r="AB2" s="1">
        <f>S2</f>
        <v>45685</v>
      </c>
    </row>
    <row r="3" spans="1:37" x14ac:dyDescent="0.2">
      <c r="C3" s="4" t="s">
        <v>29</v>
      </c>
      <c r="D3" s="4" t="s">
        <v>26</v>
      </c>
      <c r="E3" s="4" t="s">
        <v>27</v>
      </c>
      <c r="F3" s="4" t="s">
        <v>28</v>
      </c>
      <c r="G3" s="4" t="s">
        <v>23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25</v>
      </c>
      <c r="N3" s="4" t="s">
        <v>47</v>
      </c>
      <c r="O3" s="4" t="s">
        <v>48</v>
      </c>
      <c r="P3" s="4" t="s">
        <v>49</v>
      </c>
      <c r="Q3" s="4" t="s">
        <v>50</v>
      </c>
      <c r="R3" s="4" t="s">
        <v>51</v>
      </c>
      <c r="S3" s="4" t="s">
        <v>52</v>
      </c>
      <c r="V3" s="4" t="s">
        <v>96</v>
      </c>
      <c r="W3" s="4" t="s">
        <v>97</v>
      </c>
      <c r="X3" s="4" t="s">
        <v>98</v>
      </c>
      <c r="Y3" s="4" t="s">
        <v>99</v>
      </c>
      <c r="Z3" s="4" t="s">
        <v>100</v>
      </c>
      <c r="AA3" s="4" t="s">
        <v>101</v>
      </c>
      <c r="AB3" s="4" t="s">
        <v>102</v>
      </c>
      <c r="AC3" s="4" t="s">
        <v>103</v>
      </c>
      <c r="AD3" s="4" t="s">
        <v>104</v>
      </c>
      <c r="AE3" s="4" t="s">
        <v>105</v>
      </c>
      <c r="AF3" s="4" t="s">
        <v>106</v>
      </c>
      <c r="AG3" s="4" t="s">
        <v>107</v>
      </c>
      <c r="AH3" s="4" t="s">
        <v>108</v>
      </c>
      <c r="AI3" s="4" t="s">
        <v>109</v>
      </c>
      <c r="AJ3" s="4" t="s">
        <v>110</v>
      </c>
      <c r="AK3" s="4" t="s">
        <v>111</v>
      </c>
    </row>
    <row r="4" spans="1:37" x14ac:dyDescent="0.2">
      <c r="B4" t="s">
        <v>76</v>
      </c>
      <c r="C4" s="4"/>
      <c r="D4" s="4"/>
      <c r="E4" s="4"/>
      <c r="F4" s="4"/>
      <c r="G4" s="4"/>
      <c r="H4" s="4"/>
      <c r="I4" s="4"/>
      <c r="J4" s="4"/>
      <c r="K4" s="4"/>
      <c r="L4" s="4"/>
      <c r="M4" s="5">
        <v>16</v>
      </c>
      <c r="N4" s="5">
        <v>25</v>
      </c>
      <c r="O4" s="5">
        <v>50</v>
      </c>
      <c r="P4" s="5">
        <v>50</v>
      </c>
      <c r="Q4" s="5">
        <v>60</v>
      </c>
      <c r="R4" s="5">
        <v>70</v>
      </c>
      <c r="S4" s="5">
        <v>50</v>
      </c>
      <c r="AB4" s="2">
        <f>SUM(P4:S4)</f>
        <v>230</v>
      </c>
    </row>
    <row r="5" spans="1:37" x14ac:dyDescent="0.2">
      <c r="B5" t="s">
        <v>77</v>
      </c>
      <c r="C5" s="4"/>
      <c r="D5" s="4"/>
      <c r="E5" s="4"/>
      <c r="F5" s="4"/>
      <c r="G5" s="4"/>
      <c r="H5" s="4"/>
      <c r="I5" s="4"/>
      <c r="J5" s="4"/>
      <c r="K5" s="4"/>
      <c r="L5" s="4"/>
      <c r="M5" s="5">
        <v>15</v>
      </c>
      <c r="N5" s="5">
        <v>25</v>
      </c>
      <c r="O5" s="5">
        <v>25</v>
      </c>
      <c r="P5" s="5">
        <v>25</v>
      </c>
      <c r="Q5" s="5">
        <v>25</v>
      </c>
      <c r="R5" s="5">
        <v>25</v>
      </c>
      <c r="S5" s="5">
        <v>25</v>
      </c>
      <c r="AB5" s="2">
        <f t="shared" ref="AB5:AB23" si="0">SUM(P5:S5)</f>
        <v>100</v>
      </c>
    </row>
    <row r="6" spans="1:37" x14ac:dyDescent="0.2">
      <c r="B6" t="s">
        <v>87</v>
      </c>
      <c r="C6" s="4"/>
      <c r="D6" s="4"/>
      <c r="E6" s="4"/>
      <c r="F6" s="4"/>
      <c r="G6" s="4"/>
      <c r="H6" s="4"/>
      <c r="I6" s="4"/>
      <c r="J6" s="4"/>
      <c r="K6" s="4"/>
      <c r="L6" s="4"/>
      <c r="M6" s="5">
        <v>15</v>
      </c>
      <c r="N6" s="5">
        <v>25</v>
      </c>
      <c r="O6" s="5">
        <v>50</v>
      </c>
      <c r="P6" s="5">
        <v>50</v>
      </c>
      <c r="Q6" s="5">
        <v>50</v>
      </c>
      <c r="R6" s="5">
        <v>50</v>
      </c>
      <c r="S6" s="5">
        <v>50</v>
      </c>
      <c r="AB6" s="2">
        <f t="shared" si="0"/>
        <v>200</v>
      </c>
    </row>
    <row r="7" spans="1:37" x14ac:dyDescent="0.2">
      <c r="B7" t="s">
        <v>78</v>
      </c>
      <c r="C7" s="4"/>
      <c r="D7" s="4"/>
      <c r="E7" s="4"/>
      <c r="F7" s="4"/>
      <c r="G7" s="4"/>
      <c r="H7" s="4"/>
      <c r="I7" s="4"/>
      <c r="J7" s="4"/>
      <c r="K7" s="4"/>
      <c r="L7" s="4"/>
      <c r="M7" s="5">
        <v>25</v>
      </c>
      <c r="N7" s="5">
        <v>25</v>
      </c>
      <c r="O7" s="5">
        <v>50</v>
      </c>
      <c r="P7" s="5">
        <v>50</v>
      </c>
      <c r="Q7" s="5">
        <v>50</v>
      </c>
      <c r="R7" s="5">
        <v>50</v>
      </c>
      <c r="S7" s="5">
        <v>50</v>
      </c>
      <c r="AB7" s="2">
        <f t="shared" si="0"/>
        <v>200</v>
      </c>
    </row>
    <row r="8" spans="1:37" x14ac:dyDescent="0.2">
      <c r="B8" t="s">
        <v>79</v>
      </c>
      <c r="C8" s="4"/>
      <c r="D8" s="4"/>
      <c r="E8" s="4"/>
      <c r="F8" s="4"/>
      <c r="G8" s="4"/>
      <c r="H8" s="4"/>
      <c r="I8" s="4"/>
      <c r="J8" s="4"/>
      <c r="K8" s="4"/>
      <c r="L8" s="4"/>
      <c r="M8" s="5">
        <v>16</v>
      </c>
      <c r="N8" s="5">
        <v>20</v>
      </c>
      <c r="O8" s="5">
        <v>25</v>
      </c>
      <c r="P8" s="5">
        <v>25</v>
      </c>
      <c r="Q8" s="5">
        <v>25</v>
      </c>
      <c r="R8" s="5">
        <v>25</v>
      </c>
      <c r="S8" s="5">
        <v>25</v>
      </c>
      <c r="AB8" s="2">
        <f t="shared" si="0"/>
        <v>100</v>
      </c>
    </row>
    <row r="9" spans="1:37" x14ac:dyDescent="0.2">
      <c r="B9" t="s">
        <v>88</v>
      </c>
      <c r="C9" s="4"/>
      <c r="D9" s="4"/>
      <c r="E9" s="4"/>
      <c r="F9" s="4"/>
      <c r="G9" s="4"/>
      <c r="H9" s="4"/>
      <c r="I9" s="4"/>
      <c r="J9" s="4"/>
      <c r="K9" s="4"/>
      <c r="L9" s="4"/>
      <c r="M9" s="5">
        <v>25</v>
      </c>
      <c r="N9" s="5">
        <v>30</v>
      </c>
      <c r="O9" s="5">
        <v>75</v>
      </c>
      <c r="P9" s="5">
        <v>100</v>
      </c>
      <c r="Q9" s="5">
        <v>100</v>
      </c>
      <c r="R9" s="5">
        <v>100</v>
      </c>
      <c r="S9" s="5">
        <v>100</v>
      </c>
      <c r="AB9" s="2">
        <f t="shared" si="0"/>
        <v>400</v>
      </c>
    </row>
    <row r="10" spans="1:37" x14ac:dyDescent="0.2">
      <c r="B10" t="s">
        <v>80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5">
        <v>6</v>
      </c>
      <c r="N10" s="5">
        <v>5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/>
      <c r="AB10" s="2">
        <f t="shared" si="0"/>
        <v>0</v>
      </c>
    </row>
    <row r="11" spans="1:37" x14ac:dyDescent="0.2">
      <c r="B11" t="s">
        <v>81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5">
        <v>15</v>
      </c>
      <c r="N11" s="5">
        <v>30</v>
      </c>
      <c r="O11" s="5">
        <v>40</v>
      </c>
      <c r="P11" s="5">
        <v>100</v>
      </c>
      <c r="Q11" s="5">
        <v>100</v>
      </c>
      <c r="R11" s="5">
        <v>100</v>
      </c>
      <c r="S11" s="5">
        <v>100</v>
      </c>
      <c r="AB11" s="2">
        <f t="shared" si="0"/>
        <v>400</v>
      </c>
    </row>
    <row r="12" spans="1:37" x14ac:dyDescent="0.2">
      <c r="B12" t="s">
        <v>89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5">
        <v>7</v>
      </c>
      <c r="N12" s="5">
        <v>25</v>
      </c>
      <c r="O12" s="5">
        <v>25</v>
      </c>
      <c r="P12" s="5">
        <v>25</v>
      </c>
      <c r="Q12" s="5">
        <v>25</v>
      </c>
      <c r="R12" s="5">
        <v>25</v>
      </c>
      <c r="S12" s="5">
        <v>25</v>
      </c>
      <c r="AB12" s="2">
        <f t="shared" si="0"/>
        <v>100</v>
      </c>
    </row>
    <row r="13" spans="1:37" x14ac:dyDescent="0.2">
      <c r="B13" s="11" t="s">
        <v>82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5">
        <v>10</v>
      </c>
      <c r="N13" s="5">
        <v>20</v>
      </c>
      <c r="O13" s="5">
        <v>20</v>
      </c>
      <c r="P13" s="5">
        <v>25</v>
      </c>
      <c r="Q13" s="5">
        <v>25</v>
      </c>
      <c r="R13" s="5">
        <v>25</v>
      </c>
      <c r="S13" s="5">
        <v>25</v>
      </c>
      <c r="AB13" s="2">
        <f t="shared" si="0"/>
        <v>100</v>
      </c>
    </row>
    <row r="14" spans="1:37" x14ac:dyDescent="0.2">
      <c r="B14" t="s">
        <v>83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5">
        <v>10</v>
      </c>
      <c r="N14" s="5">
        <v>20</v>
      </c>
      <c r="O14" s="5">
        <v>20</v>
      </c>
      <c r="P14" s="5">
        <v>30</v>
      </c>
      <c r="Q14" s="5">
        <v>50</v>
      </c>
      <c r="R14" s="5">
        <v>60</v>
      </c>
      <c r="S14" s="5">
        <v>70</v>
      </c>
      <c r="AB14" s="2">
        <f t="shared" si="0"/>
        <v>210</v>
      </c>
    </row>
    <row r="15" spans="1:37" x14ac:dyDescent="0.2">
      <c r="B15" t="s">
        <v>165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5">
        <v>6</v>
      </c>
      <c r="N15" s="5">
        <v>5</v>
      </c>
      <c r="O15" s="5">
        <v>0</v>
      </c>
      <c r="P15" s="5">
        <v>0</v>
      </c>
      <c r="Q15" s="5">
        <v>20</v>
      </c>
      <c r="R15" s="5">
        <v>30</v>
      </c>
      <c r="S15" s="5">
        <v>40</v>
      </c>
      <c r="AB15" s="2">
        <f t="shared" si="0"/>
        <v>90</v>
      </c>
    </row>
    <row r="16" spans="1:37" x14ac:dyDescent="0.2">
      <c r="B16" t="s">
        <v>84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5">
        <v>5</v>
      </c>
      <c r="N16" s="5">
        <v>5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AB16" s="2">
        <f t="shared" si="0"/>
        <v>0</v>
      </c>
    </row>
    <row r="17" spans="2:28" x14ac:dyDescent="0.2">
      <c r="B17" t="s">
        <v>85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5">
        <v>25</v>
      </c>
      <c r="N17" s="5">
        <v>30</v>
      </c>
      <c r="O17" s="5">
        <v>35</v>
      </c>
      <c r="P17" s="5">
        <v>15</v>
      </c>
      <c r="Q17" s="5">
        <v>20</v>
      </c>
      <c r="R17" s="5">
        <v>30</v>
      </c>
      <c r="S17" s="5">
        <v>30</v>
      </c>
      <c r="AB17" s="2">
        <f t="shared" si="0"/>
        <v>95</v>
      </c>
    </row>
    <row r="18" spans="2:28" x14ac:dyDescent="0.2">
      <c r="B18" t="s">
        <v>86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5">
        <v>25</v>
      </c>
      <c r="N18" s="5">
        <v>30</v>
      </c>
      <c r="O18" s="5">
        <v>20</v>
      </c>
      <c r="P18" s="5">
        <v>15</v>
      </c>
      <c r="Q18" s="5">
        <v>20</v>
      </c>
      <c r="R18" s="5">
        <v>25</v>
      </c>
      <c r="S18" s="5">
        <v>25</v>
      </c>
      <c r="AB18" s="2">
        <f t="shared" si="0"/>
        <v>85</v>
      </c>
    </row>
    <row r="19" spans="2:28" x14ac:dyDescent="0.2">
      <c r="B19" t="s">
        <v>90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5">
        <v>5</v>
      </c>
      <c r="N19" s="5">
        <v>5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AB19" s="2">
        <f t="shared" si="0"/>
        <v>0</v>
      </c>
    </row>
    <row r="20" spans="2:28" x14ac:dyDescent="0.2">
      <c r="B20" t="s">
        <v>93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5">
        <v>15</v>
      </c>
      <c r="N20" s="5">
        <v>20</v>
      </c>
      <c r="O20" s="5">
        <v>20</v>
      </c>
      <c r="P20" s="5">
        <v>40</v>
      </c>
      <c r="Q20" s="5">
        <v>50</v>
      </c>
      <c r="R20" s="5">
        <v>50</v>
      </c>
      <c r="S20" s="5">
        <v>50</v>
      </c>
      <c r="AB20" s="2">
        <f t="shared" si="0"/>
        <v>190</v>
      </c>
    </row>
    <row r="21" spans="2:28" x14ac:dyDescent="0.2">
      <c r="B21" t="s">
        <v>94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5">
        <v>5</v>
      </c>
      <c r="N21" s="5">
        <v>5</v>
      </c>
      <c r="O21" s="5">
        <v>5</v>
      </c>
      <c r="P21" s="5">
        <v>10</v>
      </c>
      <c r="Q21" s="5">
        <v>50</v>
      </c>
      <c r="R21" s="5">
        <v>50</v>
      </c>
      <c r="S21" s="5">
        <v>50</v>
      </c>
      <c r="AB21" s="2">
        <f t="shared" si="0"/>
        <v>160</v>
      </c>
    </row>
    <row r="22" spans="2:28" x14ac:dyDescent="0.2">
      <c r="B22" t="s">
        <v>91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5">
        <v>6</v>
      </c>
      <c r="N22" s="5">
        <v>5</v>
      </c>
      <c r="O22" s="5">
        <v>0</v>
      </c>
      <c r="P22" s="5">
        <v>5</v>
      </c>
      <c r="Q22" s="5">
        <v>10</v>
      </c>
      <c r="R22" s="5">
        <v>10</v>
      </c>
      <c r="S22" s="5">
        <v>10</v>
      </c>
      <c r="AB22" s="2">
        <f t="shared" si="0"/>
        <v>35</v>
      </c>
    </row>
    <row r="23" spans="2:28" x14ac:dyDescent="0.2">
      <c r="B23" t="s">
        <v>92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5">
        <v>6</v>
      </c>
      <c r="N23" s="5">
        <v>5</v>
      </c>
      <c r="O23" s="5">
        <v>0</v>
      </c>
      <c r="P23" s="5">
        <v>5</v>
      </c>
      <c r="Q23" s="5">
        <v>10</v>
      </c>
      <c r="R23" s="5">
        <v>10</v>
      </c>
      <c r="S23" s="5">
        <v>10</v>
      </c>
      <c r="AB23" s="2">
        <f t="shared" si="0"/>
        <v>35</v>
      </c>
    </row>
    <row r="24" spans="2:28" s="11" customFormat="1" x14ac:dyDescent="0.2">
      <c r="B24" s="11" t="s">
        <v>95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9">
        <f>SUM(M4:M23)</f>
        <v>258</v>
      </c>
      <c r="N24" s="9">
        <f>SUM(N4:N23)</f>
        <v>360</v>
      </c>
      <c r="O24" s="9">
        <f t="shared" ref="O24:S24" si="1">SUM(O4:O23)</f>
        <v>460</v>
      </c>
      <c r="P24" s="9">
        <f t="shared" si="1"/>
        <v>570</v>
      </c>
      <c r="Q24" s="9">
        <f t="shared" si="1"/>
        <v>690</v>
      </c>
      <c r="R24" s="9">
        <f t="shared" si="1"/>
        <v>735</v>
      </c>
      <c r="S24" s="9">
        <f t="shared" si="1"/>
        <v>735</v>
      </c>
      <c r="AB24" s="8">
        <f>SUM(AB4:AB23)</f>
        <v>2730</v>
      </c>
    </row>
    <row r="25" spans="2:28" s="11" customFormat="1" x14ac:dyDescent="0.2">
      <c r="B25" s="11" t="s">
        <v>161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9"/>
      <c r="N25" s="9"/>
      <c r="O25" s="9">
        <f>+O5+O6+O8+O9+O11+O12+O13+O14</f>
        <v>280</v>
      </c>
      <c r="P25" s="9"/>
      <c r="Q25" s="9"/>
      <c r="R25" s="9"/>
      <c r="S25" s="9"/>
    </row>
    <row r="26" spans="2:28" x14ac:dyDescent="0.2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2:28" s="11" customFormat="1" x14ac:dyDescent="0.2">
      <c r="B27" s="11" t="s">
        <v>74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9">
        <f>+M36/M28</f>
        <v>258.07499999999999</v>
      </c>
      <c r="N27" s="9">
        <f>+N36/N28</f>
        <v>362.85</v>
      </c>
      <c r="O27" s="9">
        <f>+O36/O28</f>
        <v>459.65</v>
      </c>
      <c r="P27" s="9">
        <f>+P36/P28</f>
        <v>564.07500000000005</v>
      </c>
      <c r="Q27" s="9"/>
      <c r="R27" s="9"/>
      <c r="S27" s="9"/>
    </row>
    <row r="28" spans="2:28" x14ac:dyDescent="0.2">
      <c r="B28" t="s">
        <v>75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5">
        <v>40</v>
      </c>
      <c r="N28" s="5">
        <v>40</v>
      </c>
      <c r="O28" s="5">
        <v>40</v>
      </c>
      <c r="P28" s="5">
        <v>40</v>
      </c>
      <c r="Q28" s="5">
        <f>+P28</f>
        <v>40</v>
      </c>
      <c r="R28" s="5">
        <f>+Q28</f>
        <v>40</v>
      </c>
      <c r="S28" s="5">
        <v>50</v>
      </c>
    </row>
    <row r="29" spans="2:28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AB29" s="2"/>
    </row>
    <row r="30" spans="2:28" x14ac:dyDescent="0.2">
      <c r="B30" t="s">
        <v>162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Z30" s="2">
        <v>15068</v>
      </c>
      <c r="AA30" s="2">
        <v>47405</v>
      </c>
      <c r="AB30" s="2"/>
    </row>
    <row r="31" spans="2:28" x14ac:dyDescent="0.2">
      <c r="B31" t="s">
        <v>163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Z31" s="2">
        <v>11906</v>
      </c>
      <c r="AA31" s="2">
        <v>13517</v>
      </c>
    </row>
    <row r="32" spans="2:28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2:130" x14ac:dyDescent="0.2">
      <c r="B33" t="s">
        <v>46</v>
      </c>
      <c r="C33" s="4"/>
      <c r="D33" s="4"/>
      <c r="E33" s="4"/>
      <c r="F33" s="4"/>
      <c r="G33" s="4"/>
      <c r="H33" s="4"/>
      <c r="I33" s="4"/>
      <c r="J33" s="5">
        <v>73</v>
      </c>
      <c r="K33" s="4"/>
      <c r="L33" s="5">
        <v>77</v>
      </c>
      <c r="M33" s="5">
        <v>66</v>
      </c>
      <c r="N33">
        <v>73</v>
      </c>
      <c r="O33">
        <f>+N33</f>
        <v>73</v>
      </c>
      <c r="P33">
        <v>78</v>
      </c>
      <c r="Q33" s="2">
        <f t="shared" ref="Q33:R34" si="2">+M33*1.1</f>
        <v>72.600000000000009</v>
      </c>
      <c r="R33" s="2">
        <f t="shared" si="2"/>
        <v>80.300000000000011</v>
      </c>
      <c r="S33" s="2">
        <f t="shared" ref="S33:S35" si="3">+O33*1.1</f>
        <v>80.300000000000011</v>
      </c>
    </row>
    <row r="34" spans="2:130" x14ac:dyDescent="0.2">
      <c r="B34" t="s">
        <v>20</v>
      </c>
      <c r="C34" s="5"/>
      <c r="D34" s="5">
        <v>372</v>
      </c>
      <c r="E34" s="5"/>
      <c r="F34" s="5"/>
      <c r="G34" s="5">
        <v>643</v>
      </c>
      <c r="H34" s="5">
        <v>622</v>
      </c>
      <c r="I34" s="5">
        <v>496</v>
      </c>
      <c r="J34" s="5">
        <v>200</v>
      </c>
      <c r="K34" s="5">
        <v>226</v>
      </c>
      <c r="L34" s="5">
        <v>295</v>
      </c>
      <c r="M34" s="5">
        <v>379</v>
      </c>
      <c r="N34" s="2">
        <v>416</v>
      </c>
      <c r="O34">
        <v>463</v>
      </c>
      <c r="P34" s="5">
        <v>427</v>
      </c>
      <c r="Q34" s="2">
        <f t="shared" si="2"/>
        <v>416.90000000000003</v>
      </c>
      <c r="R34" s="2">
        <f t="shared" si="2"/>
        <v>457.6</v>
      </c>
      <c r="S34" s="2">
        <f t="shared" si="3"/>
        <v>509.30000000000007</v>
      </c>
    </row>
    <row r="35" spans="2:130" x14ac:dyDescent="0.2">
      <c r="B35" t="s">
        <v>21</v>
      </c>
      <c r="C35" s="5"/>
      <c r="D35" s="5">
        <v>154</v>
      </c>
      <c r="E35" s="5"/>
      <c r="F35" s="5"/>
      <c r="G35" s="5">
        <v>125</v>
      </c>
      <c r="H35" s="5">
        <v>138</v>
      </c>
      <c r="I35" s="5">
        <v>220</v>
      </c>
      <c r="J35" s="5">
        <v>251</v>
      </c>
      <c r="K35" s="5">
        <v>294</v>
      </c>
      <c r="L35" s="5">
        <v>296</v>
      </c>
      <c r="M35" s="5">
        <v>253</v>
      </c>
      <c r="N35" s="2">
        <v>261</v>
      </c>
      <c r="O35" s="2">
        <v>281</v>
      </c>
      <c r="P35" s="5">
        <v>329</v>
      </c>
      <c r="Q35" s="2">
        <f>+M35*1.1</f>
        <v>278.3</v>
      </c>
      <c r="R35" s="2">
        <f>+N35*1.1</f>
        <v>287.10000000000002</v>
      </c>
      <c r="S35" s="2">
        <f t="shared" si="3"/>
        <v>309.10000000000002</v>
      </c>
    </row>
    <row r="36" spans="2:130" x14ac:dyDescent="0.2">
      <c r="B36" t="s">
        <v>22</v>
      </c>
      <c r="C36" s="5"/>
      <c r="D36" s="5">
        <v>2050</v>
      </c>
      <c r="E36" s="5">
        <v>2370</v>
      </c>
      <c r="F36" s="5">
        <v>2940</v>
      </c>
      <c r="G36" s="5">
        <v>3260</v>
      </c>
      <c r="H36" s="5">
        <v>3750</v>
      </c>
      <c r="I36" s="5">
        <v>3810</v>
      </c>
      <c r="J36" s="5">
        <v>3833</v>
      </c>
      <c r="K36" s="5">
        <v>3620</v>
      </c>
      <c r="L36" s="5">
        <v>4284</v>
      </c>
      <c r="M36" s="2">
        <v>10323</v>
      </c>
      <c r="N36" s="2">
        <v>14514</v>
      </c>
      <c r="O36" s="5">
        <v>18386</v>
      </c>
      <c r="P36" s="2">
        <v>22563</v>
      </c>
      <c r="Q36" s="2">
        <f>+Q28*Q24</f>
        <v>27600</v>
      </c>
      <c r="R36" s="2">
        <f>+R28*R24</f>
        <v>29400</v>
      </c>
      <c r="S36" s="2">
        <f>+S28*S24</f>
        <v>36750</v>
      </c>
    </row>
    <row r="37" spans="2:130" x14ac:dyDescent="0.2">
      <c r="B37" t="s">
        <v>19</v>
      </c>
      <c r="C37" s="5"/>
      <c r="D37" s="5">
        <v>2760</v>
      </c>
      <c r="E37" s="5"/>
      <c r="F37" s="5"/>
      <c r="G37" s="5">
        <v>3420</v>
      </c>
      <c r="H37" s="5">
        <v>3620</v>
      </c>
      <c r="I37" s="5">
        <v>2040</v>
      </c>
      <c r="J37" s="5">
        <v>1574</v>
      </c>
      <c r="K37" s="5">
        <v>1830</v>
      </c>
      <c r="L37" s="5">
        <v>2240</v>
      </c>
      <c r="M37" s="5">
        <v>2486</v>
      </c>
      <c r="N37" s="2">
        <v>2856</v>
      </c>
      <c r="O37" s="2">
        <v>2900</v>
      </c>
      <c r="P37" s="5">
        <v>2647</v>
      </c>
      <c r="Q37" s="2">
        <f>+M37*1.1</f>
        <v>2734.6000000000004</v>
      </c>
      <c r="R37" s="2">
        <f>+N37*1.1</f>
        <v>3141.6000000000004</v>
      </c>
      <c r="S37" s="2">
        <f>+O37*1.1</f>
        <v>3190.0000000000005</v>
      </c>
    </row>
    <row r="38" spans="2:130" s="8" customFormat="1" x14ac:dyDescent="0.2">
      <c r="B38" s="8" t="s">
        <v>1</v>
      </c>
      <c r="C38" s="9">
        <v>5003</v>
      </c>
      <c r="D38" s="9">
        <v>5661</v>
      </c>
      <c r="E38" s="9">
        <v>6507</v>
      </c>
      <c r="F38" s="9">
        <v>7103</v>
      </c>
      <c r="G38" s="9">
        <v>7643</v>
      </c>
      <c r="H38" s="9">
        <v>8288</v>
      </c>
      <c r="I38" s="9">
        <v>6704</v>
      </c>
      <c r="J38" s="9">
        <f>SUM(J33:J37)</f>
        <v>5931</v>
      </c>
      <c r="K38" s="9">
        <v>6051</v>
      </c>
      <c r="L38" s="8">
        <f>SUM(L33:L37)</f>
        <v>7192</v>
      </c>
      <c r="M38" s="8">
        <f>SUM(M33:M37)</f>
        <v>13507</v>
      </c>
      <c r="N38" s="9">
        <f>SUM(N33:N37)</f>
        <v>18120</v>
      </c>
      <c r="O38" s="9">
        <f>SUM(O33:O37)</f>
        <v>22103</v>
      </c>
      <c r="P38" s="9">
        <f>SUM(P33:P37)</f>
        <v>26044</v>
      </c>
      <c r="Q38" s="9">
        <v>30040</v>
      </c>
      <c r="R38" s="9">
        <f>SUM(R33:R37)</f>
        <v>33366.6</v>
      </c>
      <c r="S38" s="9">
        <f>SUM(S33:S37)</f>
        <v>40838.699999999997</v>
      </c>
      <c r="Y38" s="8">
        <f>SUM(D38:G38)</f>
        <v>26914</v>
      </c>
      <c r="Z38" s="8">
        <f>SUM(H38:K38)</f>
        <v>26974</v>
      </c>
      <c r="AA38" s="8">
        <f>SUM(L38:O38)</f>
        <v>60922</v>
      </c>
      <c r="AB38" s="8">
        <f>SUM(P38:S38)</f>
        <v>130289.3</v>
      </c>
      <c r="AC38" s="8">
        <f>+AB38*1.5</f>
        <v>195433.95</v>
      </c>
      <c r="AD38" s="8">
        <f>+AC38*1.5</f>
        <v>293150.92500000005</v>
      </c>
      <c r="AE38" s="8">
        <f>+AD38*1.4</f>
        <v>410411.29500000004</v>
      </c>
      <c r="AF38" s="8">
        <f>+AE38*1.4</f>
        <v>574575.81299999997</v>
      </c>
      <c r="AG38" s="8">
        <f>+AF38*1.3</f>
        <v>746948.55689999997</v>
      </c>
      <c r="AH38" s="8">
        <f>+AG38*1.3</f>
        <v>971033.12396999996</v>
      </c>
    </row>
    <row r="39" spans="2:130" s="2" customFormat="1" x14ac:dyDescent="0.2">
      <c r="B39" s="2" t="s">
        <v>4</v>
      </c>
      <c r="C39" s="5">
        <v>1846</v>
      </c>
      <c r="D39" s="5">
        <v>2032</v>
      </c>
      <c r="E39" s="5">
        <v>2292</v>
      </c>
      <c r="F39" s="5"/>
      <c r="G39" s="5">
        <v>2644</v>
      </c>
      <c r="H39" s="5">
        <v>2857</v>
      </c>
      <c r="I39" s="5">
        <v>3789</v>
      </c>
      <c r="J39" s="5">
        <v>2754</v>
      </c>
      <c r="K39" s="5"/>
      <c r="L39" s="5">
        <v>2544</v>
      </c>
      <c r="M39" s="2">
        <v>4045</v>
      </c>
      <c r="N39" s="2">
        <v>4720</v>
      </c>
      <c r="O39" s="2">
        <v>5312</v>
      </c>
      <c r="P39" s="2">
        <v>5638</v>
      </c>
      <c r="Q39" s="2">
        <v>7466</v>
      </c>
      <c r="R39" s="2">
        <f t="shared" ref="R39:S39" si="4">+R38-R40</f>
        <v>7674.3179999999993</v>
      </c>
      <c r="S39" s="2">
        <f t="shared" si="4"/>
        <v>8984.5139999999992</v>
      </c>
      <c r="Y39" s="2">
        <v>9439</v>
      </c>
      <c r="Z39" s="2">
        <v>11618</v>
      </c>
      <c r="AA39" s="2">
        <v>16621</v>
      </c>
      <c r="AB39" s="2">
        <f>+AB38-AB40</f>
        <v>29206.032000000007</v>
      </c>
      <c r="AC39" s="2">
        <f>+AC38-AC40</f>
        <v>42995.469000000012</v>
      </c>
      <c r="AD39" s="2">
        <f t="shared" ref="AD39:AF39" si="5">+AD38-AD40</f>
        <v>64493.203500000003</v>
      </c>
      <c r="AE39" s="2">
        <f t="shared" si="5"/>
        <v>90290.484899999981</v>
      </c>
      <c r="AF39" s="2">
        <f t="shared" si="5"/>
        <v>126406.67885999999</v>
      </c>
      <c r="AG39" s="2">
        <f t="shared" ref="AG39" si="6">+AG38-AG40</f>
        <v>164328.68251800002</v>
      </c>
      <c r="AH39" s="2">
        <f t="shared" ref="AH39" si="7">+AH38-AH40</f>
        <v>213627.2872734</v>
      </c>
    </row>
    <row r="40" spans="2:130" s="2" customFormat="1" x14ac:dyDescent="0.2">
      <c r="B40" s="2" t="s">
        <v>5</v>
      </c>
      <c r="C40" s="5">
        <f>+C38-C39</f>
        <v>3157</v>
      </c>
      <c r="D40" s="5">
        <f>+D38-D39</f>
        <v>3629</v>
      </c>
      <c r="E40" s="5">
        <f>+E38-E39</f>
        <v>4215</v>
      </c>
      <c r="F40" s="5"/>
      <c r="G40" s="5">
        <f>+G38-G39</f>
        <v>4999</v>
      </c>
      <c r="H40" s="5">
        <f>+H38-H39</f>
        <v>5431</v>
      </c>
      <c r="I40" s="5">
        <f>+I38-I39</f>
        <v>2915</v>
      </c>
      <c r="J40" s="5">
        <f>+J38-J39</f>
        <v>3177</v>
      </c>
      <c r="K40" s="5"/>
      <c r="L40" s="5">
        <f>+L38-L39</f>
        <v>4648</v>
      </c>
      <c r="M40" s="2">
        <f>M38-M39</f>
        <v>9462</v>
      </c>
      <c r="N40" s="2">
        <f>+N38-N39</f>
        <v>13400</v>
      </c>
      <c r="O40" s="2">
        <f>+O38-O39</f>
        <v>16791</v>
      </c>
      <c r="P40" s="2">
        <f>+P38-P39</f>
        <v>20406</v>
      </c>
      <c r="Q40" s="2">
        <f>+Q38*0.77</f>
        <v>23130.799999999999</v>
      </c>
      <c r="R40" s="2">
        <f>+R38*0.77</f>
        <v>25692.281999999999</v>
      </c>
      <c r="S40" s="2">
        <f>+S38*0.78</f>
        <v>31854.185999999998</v>
      </c>
      <c r="Y40" s="2">
        <f>+Y38-Y39</f>
        <v>17475</v>
      </c>
      <c r="Z40" s="2">
        <f>+Z38-Z39</f>
        <v>15356</v>
      </c>
      <c r="AA40" s="2">
        <f>+AA38-AA39</f>
        <v>44301</v>
      </c>
      <c r="AB40" s="2">
        <f>SUM(P40:S40)</f>
        <v>101083.268</v>
      </c>
      <c r="AC40" s="2">
        <f>+AC38*0.78</f>
        <v>152438.481</v>
      </c>
      <c r="AD40" s="2">
        <f>+AD38*0.78</f>
        <v>228657.72150000004</v>
      </c>
      <c r="AE40" s="2">
        <f>+AE38*0.78</f>
        <v>320120.81010000006</v>
      </c>
      <c r="AF40" s="2">
        <f>+AF38*0.78</f>
        <v>448169.13413999998</v>
      </c>
      <c r="AG40" s="2">
        <f t="shared" ref="AG40:AH40" si="8">+AG38*0.78</f>
        <v>582619.87438199995</v>
      </c>
      <c r="AH40" s="2">
        <f t="shared" si="8"/>
        <v>757405.83669659996</v>
      </c>
    </row>
    <row r="41" spans="2:130" s="2" customFormat="1" x14ac:dyDescent="0.2">
      <c r="B41" s="2" t="s">
        <v>6</v>
      </c>
      <c r="C41" s="5">
        <v>1147</v>
      </c>
      <c r="D41" s="5">
        <v>1153</v>
      </c>
      <c r="E41" s="5">
        <v>1245</v>
      </c>
      <c r="F41" s="5"/>
      <c r="G41" s="5">
        <v>1466</v>
      </c>
      <c r="H41" s="5">
        <v>1618</v>
      </c>
      <c r="I41" s="5">
        <v>1824</v>
      </c>
      <c r="J41" s="5">
        <v>1945</v>
      </c>
      <c r="K41" s="5"/>
      <c r="L41" s="5">
        <v>1875</v>
      </c>
      <c r="M41" s="2">
        <v>2040</v>
      </c>
      <c r="N41" s="2">
        <v>2294</v>
      </c>
      <c r="O41" s="2">
        <v>2465</v>
      </c>
      <c r="P41" s="2">
        <v>2720</v>
      </c>
      <c r="Q41" s="2">
        <v>3090</v>
      </c>
      <c r="R41" s="2">
        <f t="shared" ref="R41:S41" si="9">+Q41+100</f>
        <v>3190</v>
      </c>
      <c r="S41" s="2">
        <f t="shared" si="9"/>
        <v>3290</v>
      </c>
      <c r="Y41" s="2">
        <v>5268</v>
      </c>
      <c r="Z41" s="2">
        <v>7339</v>
      </c>
      <c r="AA41" s="2">
        <v>8675</v>
      </c>
      <c r="AB41" s="2">
        <f>SUM(P41:S41)</f>
        <v>12290</v>
      </c>
      <c r="AC41" s="2">
        <f>+AB41*1.2</f>
        <v>14748</v>
      </c>
      <c r="AD41" s="2">
        <f t="shared" ref="AD41:AF41" si="10">+AC41*1.2</f>
        <v>17697.599999999999</v>
      </c>
      <c r="AE41" s="2">
        <f t="shared" si="10"/>
        <v>21237.119999999999</v>
      </c>
      <c r="AF41" s="2">
        <f t="shared" si="10"/>
        <v>25484.543999999998</v>
      </c>
      <c r="AG41" s="2">
        <f t="shared" ref="AG41:AH41" si="11">+AF41*1.2</f>
        <v>30581.452799999995</v>
      </c>
      <c r="AH41" s="2">
        <f t="shared" si="11"/>
        <v>36697.743359999993</v>
      </c>
    </row>
    <row r="42" spans="2:130" s="2" customFormat="1" x14ac:dyDescent="0.2">
      <c r="B42" s="2" t="s">
        <v>7</v>
      </c>
      <c r="C42" s="5">
        <v>503</v>
      </c>
      <c r="D42" s="5">
        <v>520</v>
      </c>
      <c r="E42" s="5">
        <v>526</v>
      </c>
      <c r="F42" s="5"/>
      <c r="G42" s="5">
        <v>563</v>
      </c>
      <c r="H42" s="5">
        <v>592</v>
      </c>
      <c r="I42" s="5">
        <v>592</v>
      </c>
      <c r="J42" s="5">
        <v>631</v>
      </c>
      <c r="K42" s="5"/>
      <c r="L42" s="5">
        <v>633</v>
      </c>
      <c r="M42" s="2">
        <v>622</v>
      </c>
      <c r="N42" s="2">
        <v>689</v>
      </c>
      <c r="O42" s="2">
        <v>711</v>
      </c>
      <c r="P42" s="2">
        <v>777</v>
      </c>
      <c r="Q42" s="2">
        <v>842</v>
      </c>
      <c r="R42" s="2">
        <f>+Q42+25</f>
        <v>867</v>
      </c>
      <c r="S42" s="2">
        <f>+R42+25</f>
        <v>892</v>
      </c>
      <c r="Y42" s="2">
        <v>2166</v>
      </c>
      <c r="Z42" s="2">
        <v>2440</v>
      </c>
      <c r="AA42" s="2">
        <v>2654</v>
      </c>
      <c r="AB42" s="2">
        <f>SUM(P42:S42)</f>
        <v>3378</v>
      </c>
      <c r="AC42" s="2">
        <f t="shared" ref="AC42:AF42" si="12">+AB42*1.2</f>
        <v>4053.6</v>
      </c>
      <c r="AD42" s="2">
        <f t="shared" si="12"/>
        <v>4864.32</v>
      </c>
      <c r="AE42" s="2">
        <f t="shared" si="12"/>
        <v>5837.1839999999993</v>
      </c>
      <c r="AF42" s="2">
        <f t="shared" si="12"/>
        <v>7004.6207999999988</v>
      </c>
      <c r="AG42" s="2">
        <f t="shared" ref="AG42:AH42" si="13">+AF42*1.2</f>
        <v>8405.5449599999974</v>
      </c>
      <c r="AH42" s="2">
        <f t="shared" si="13"/>
        <v>10086.653951999997</v>
      </c>
    </row>
    <row r="43" spans="2:130" s="2" customFormat="1" x14ac:dyDescent="0.2">
      <c r="B43" s="2" t="s">
        <v>3</v>
      </c>
      <c r="C43" s="5">
        <f t="shared" ref="C43" si="14">+C41+C42</f>
        <v>1650</v>
      </c>
      <c r="D43" s="5">
        <f t="shared" ref="D43:E43" si="15">+D41+D42</f>
        <v>1673</v>
      </c>
      <c r="E43" s="5">
        <f t="shared" si="15"/>
        <v>1771</v>
      </c>
      <c r="F43" s="5"/>
      <c r="G43" s="5">
        <f t="shared" ref="G43" si="16">+G41+G42</f>
        <v>2029</v>
      </c>
      <c r="H43" s="5">
        <f>+H41+H42</f>
        <v>2210</v>
      </c>
      <c r="I43" s="5">
        <f t="shared" ref="I43" si="17">+I41+I42</f>
        <v>2416</v>
      </c>
      <c r="J43" s="5">
        <f>+J41+J42</f>
        <v>2576</v>
      </c>
      <c r="K43" s="5"/>
      <c r="L43" s="5">
        <f>+L41+L42</f>
        <v>2508</v>
      </c>
      <c r="M43" s="5">
        <f>+M41+M42</f>
        <v>2662</v>
      </c>
      <c r="N43" s="5">
        <f t="shared" ref="N43:P43" si="18">+N41+N42</f>
        <v>2983</v>
      </c>
      <c r="O43" s="5">
        <f t="shared" si="18"/>
        <v>3176</v>
      </c>
      <c r="P43" s="5">
        <f t="shared" si="18"/>
        <v>3497</v>
      </c>
      <c r="Q43" s="5">
        <f t="shared" ref="Q43:S43" si="19">+Q41+Q42</f>
        <v>3932</v>
      </c>
      <c r="R43" s="5">
        <f t="shared" si="19"/>
        <v>4057</v>
      </c>
      <c r="S43" s="5">
        <f t="shared" si="19"/>
        <v>4182</v>
      </c>
      <c r="Y43" s="2">
        <f>+Y41+Y42</f>
        <v>7434</v>
      </c>
      <c r="Z43" s="2">
        <f>+Z41+Z42</f>
        <v>9779</v>
      </c>
      <c r="AA43" s="2">
        <f>+AA41+AA42</f>
        <v>11329</v>
      </c>
      <c r="AB43" s="2">
        <f>+AB41+AB42</f>
        <v>15668</v>
      </c>
      <c r="AC43" s="2">
        <f t="shared" ref="AC43:AF43" si="20">+AC41+AC42</f>
        <v>18801.599999999999</v>
      </c>
      <c r="AD43" s="2">
        <f t="shared" si="20"/>
        <v>22561.919999999998</v>
      </c>
      <c r="AE43" s="2">
        <f t="shared" si="20"/>
        <v>27074.303999999996</v>
      </c>
      <c r="AF43" s="2">
        <f t="shared" si="20"/>
        <v>32489.164799999999</v>
      </c>
      <c r="AG43" s="2">
        <f t="shared" ref="AG43" si="21">+AG41+AG42</f>
        <v>38986.997759999991</v>
      </c>
      <c r="AH43" s="2">
        <f t="shared" ref="AH43" si="22">+AH41+AH42</f>
        <v>46784.397311999986</v>
      </c>
    </row>
    <row r="44" spans="2:130" s="2" customFormat="1" x14ac:dyDescent="0.2">
      <c r="B44" s="2" t="s">
        <v>2</v>
      </c>
      <c r="C44" s="5">
        <f t="shared" ref="C44" si="23">+C40-C43</f>
        <v>1507</v>
      </c>
      <c r="D44" s="5">
        <f t="shared" ref="D44:E44" si="24">+D40-D43</f>
        <v>1956</v>
      </c>
      <c r="E44" s="5">
        <f t="shared" si="24"/>
        <v>2444</v>
      </c>
      <c r="F44" s="5"/>
      <c r="G44" s="5">
        <f t="shared" ref="G44" si="25">+G40-G43</f>
        <v>2970</v>
      </c>
      <c r="H44" s="5">
        <f>+H40-H43</f>
        <v>3221</v>
      </c>
      <c r="I44" s="5">
        <f t="shared" ref="I44" si="26">+I40-I43</f>
        <v>499</v>
      </c>
      <c r="J44" s="5">
        <f>+J40-J43</f>
        <v>601</v>
      </c>
      <c r="K44" s="5"/>
      <c r="L44" s="5">
        <f>+L40-L43</f>
        <v>2140</v>
      </c>
      <c r="M44" s="5">
        <f>+M40-M43</f>
        <v>6800</v>
      </c>
      <c r="N44" s="5">
        <f t="shared" ref="N44:P44" si="27">+N40-N43</f>
        <v>10417</v>
      </c>
      <c r="O44" s="5">
        <f t="shared" si="27"/>
        <v>13615</v>
      </c>
      <c r="P44" s="5">
        <f t="shared" si="27"/>
        <v>16909</v>
      </c>
      <c r="Q44" s="5">
        <f t="shared" ref="Q44:S44" si="28">+Q40-Q43</f>
        <v>19198.8</v>
      </c>
      <c r="R44" s="5">
        <f t="shared" si="28"/>
        <v>21635.281999999999</v>
      </c>
      <c r="S44" s="5">
        <f t="shared" si="28"/>
        <v>27672.185999999998</v>
      </c>
      <c r="Y44" s="2">
        <f>+Y40-Y43</f>
        <v>10041</v>
      </c>
      <c r="Z44" s="2">
        <f>+Z40-Z43</f>
        <v>5577</v>
      </c>
      <c r="AA44" s="2">
        <f>+AA40-AA43</f>
        <v>32972</v>
      </c>
      <c r="AB44" s="2">
        <f>+AB40-AB43</f>
        <v>85415.267999999996</v>
      </c>
      <c r="AC44" s="2">
        <f t="shared" ref="AC44:AF44" si="29">+AC40-AC43</f>
        <v>133636.88099999999</v>
      </c>
      <c r="AD44" s="2">
        <f t="shared" si="29"/>
        <v>206095.80150000006</v>
      </c>
      <c r="AE44" s="2">
        <f t="shared" si="29"/>
        <v>293046.50610000006</v>
      </c>
      <c r="AF44" s="2">
        <f t="shared" si="29"/>
        <v>415679.96933999995</v>
      </c>
      <c r="AG44" s="2">
        <f t="shared" ref="AG44" si="30">+AG40-AG43</f>
        <v>543632.87662200001</v>
      </c>
      <c r="AH44" s="2">
        <f t="shared" ref="AH44" si="31">+AH40-AH43</f>
        <v>710621.43938459991</v>
      </c>
    </row>
    <row r="45" spans="2:130" s="2" customFormat="1" x14ac:dyDescent="0.2">
      <c r="B45" s="2" t="s">
        <v>11</v>
      </c>
      <c r="C45" s="5">
        <v>-37</v>
      </c>
      <c r="D45" s="5">
        <v>88</v>
      </c>
      <c r="E45" s="5">
        <v>-50</v>
      </c>
      <c r="F45" s="5"/>
      <c r="G45" s="5">
        <v>-105</v>
      </c>
      <c r="H45" s="5">
        <f>18-68-13</f>
        <v>-63</v>
      </c>
      <c r="I45" s="5">
        <v>-24</v>
      </c>
      <c r="J45" s="5">
        <v>12</v>
      </c>
      <c r="K45" s="5"/>
      <c r="L45" s="5">
        <f>150-66-15</f>
        <v>69</v>
      </c>
      <c r="M45" s="2">
        <f>187-65+59</f>
        <v>181</v>
      </c>
      <c r="N45" s="2">
        <f>234-63-66</f>
        <v>105</v>
      </c>
      <c r="O45" s="2">
        <v>491</v>
      </c>
      <c r="P45" s="2">
        <f>359-64+75</f>
        <v>370</v>
      </c>
      <c r="Q45" s="2">
        <v>572</v>
      </c>
      <c r="R45" s="2">
        <f>+Q45</f>
        <v>572</v>
      </c>
      <c r="S45" s="2">
        <f>+R45</f>
        <v>572</v>
      </c>
      <c r="Y45" s="2">
        <f>29-236+107</f>
        <v>-100</v>
      </c>
      <c r="Z45" s="2">
        <f>267-262-48</f>
        <v>-43</v>
      </c>
      <c r="AA45" s="2">
        <f>866-257+237</f>
        <v>846</v>
      </c>
      <c r="AB45" s="2">
        <f>SUM(P45:S45)</f>
        <v>2086</v>
      </c>
      <c r="AC45" s="2">
        <f>+AB45*1.1</f>
        <v>2294.6000000000004</v>
      </c>
      <c r="AD45" s="2">
        <f>+AC45*1.1</f>
        <v>2524.0600000000004</v>
      </c>
      <c r="AE45" s="2">
        <f>+AD45*1.1</f>
        <v>2776.4660000000008</v>
      </c>
      <c r="AF45" s="2">
        <f>+AE45*1.1</f>
        <v>3054.1126000000013</v>
      </c>
      <c r="AG45" s="2">
        <f t="shared" ref="AG45:AH45" si="32">+AF45*1.1</f>
        <v>3359.5238600000016</v>
      </c>
      <c r="AH45" s="2">
        <f t="shared" si="32"/>
        <v>3695.476246000002</v>
      </c>
    </row>
    <row r="46" spans="2:130" s="2" customFormat="1" x14ac:dyDescent="0.2">
      <c r="B46" s="2" t="s">
        <v>10</v>
      </c>
      <c r="C46" s="5">
        <f>+C44+C45</f>
        <v>1470</v>
      </c>
      <c r="D46" s="5">
        <f>+D44+D45</f>
        <v>2044</v>
      </c>
      <c r="E46" s="5">
        <f>+E44+E45</f>
        <v>2394</v>
      </c>
      <c r="F46" s="5"/>
      <c r="G46" s="5">
        <f>+G44+G45</f>
        <v>2865</v>
      </c>
      <c r="H46" s="5">
        <f>+H44+H45</f>
        <v>3158</v>
      </c>
      <c r="I46" s="5">
        <f>+I44+I45</f>
        <v>475</v>
      </c>
      <c r="J46" s="5">
        <f>+J44+J45</f>
        <v>613</v>
      </c>
      <c r="K46" s="5"/>
      <c r="L46" s="5">
        <f>+L44+L45</f>
        <v>2209</v>
      </c>
      <c r="M46" s="5">
        <f>+M44+M45</f>
        <v>6981</v>
      </c>
      <c r="N46" s="5">
        <f t="shared" ref="N46:S46" si="33">+N44+N45</f>
        <v>10522</v>
      </c>
      <c r="O46" s="5">
        <f t="shared" si="33"/>
        <v>14106</v>
      </c>
      <c r="P46" s="5">
        <f t="shared" si="33"/>
        <v>17279</v>
      </c>
      <c r="Q46" s="5">
        <f t="shared" si="33"/>
        <v>19770.8</v>
      </c>
      <c r="R46" s="5">
        <f t="shared" si="33"/>
        <v>22207.281999999999</v>
      </c>
      <c r="S46" s="5">
        <f t="shared" si="33"/>
        <v>28244.185999999998</v>
      </c>
      <c r="Y46" s="2">
        <f>+Y44+Y45</f>
        <v>9941</v>
      </c>
      <c r="Z46" s="2">
        <f>+Z44+Z45</f>
        <v>5534</v>
      </c>
      <c r="AA46" s="2">
        <f>+AA44+AA45</f>
        <v>33818</v>
      </c>
      <c r="AB46" s="2">
        <f>+AB44+AB45</f>
        <v>87501.267999999996</v>
      </c>
      <c r="AC46" s="2">
        <f t="shared" ref="AC46:AF46" si="34">+AC44+AC45</f>
        <v>135931.481</v>
      </c>
      <c r="AD46" s="2">
        <f t="shared" si="34"/>
        <v>208619.86150000006</v>
      </c>
      <c r="AE46" s="2">
        <f t="shared" si="34"/>
        <v>295822.97210000007</v>
      </c>
      <c r="AF46" s="2">
        <f t="shared" si="34"/>
        <v>418734.08193999995</v>
      </c>
      <c r="AG46" s="2">
        <f t="shared" ref="AG46" si="35">+AG44+AG45</f>
        <v>546992.40048199997</v>
      </c>
      <c r="AH46" s="2">
        <f t="shared" ref="AH46" si="36">+AH44+AH45</f>
        <v>714316.91563059995</v>
      </c>
    </row>
    <row r="47" spans="2:130" s="2" customFormat="1" x14ac:dyDescent="0.2">
      <c r="B47" s="2" t="s">
        <v>9</v>
      </c>
      <c r="C47" s="5">
        <v>13</v>
      </c>
      <c r="D47" s="5">
        <v>132</v>
      </c>
      <c r="E47" s="5">
        <v>20</v>
      </c>
      <c r="F47" s="5"/>
      <c r="G47" s="5">
        <v>-138</v>
      </c>
      <c r="H47" s="5">
        <v>187</v>
      </c>
      <c r="I47" s="5">
        <v>-181</v>
      </c>
      <c r="J47" s="5">
        <v>-67</v>
      </c>
      <c r="K47" s="5"/>
      <c r="L47" s="5">
        <v>166</v>
      </c>
      <c r="M47" s="2">
        <v>793</v>
      </c>
      <c r="N47" s="2">
        <v>1279</v>
      </c>
      <c r="O47" s="2">
        <v>1821</v>
      </c>
      <c r="P47" s="2">
        <v>2398</v>
      </c>
      <c r="Q47" s="2">
        <v>2615</v>
      </c>
      <c r="R47" s="2">
        <f>+R46*0.15</f>
        <v>3331.0922999999998</v>
      </c>
      <c r="S47" s="2">
        <f>+S46*0.15</f>
        <v>4236.6278999999995</v>
      </c>
      <c r="Y47" s="2">
        <v>189</v>
      </c>
      <c r="Z47" s="2">
        <v>0</v>
      </c>
      <c r="AA47" s="2">
        <v>4058</v>
      </c>
      <c r="AB47" s="2">
        <f>+AB46*0.2</f>
        <v>17500.2536</v>
      </c>
      <c r="AC47" s="2">
        <f t="shared" ref="AC47:AF47" si="37">+AC46*0.2</f>
        <v>27186.296200000001</v>
      </c>
      <c r="AD47" s="2">
        <f t="shared" si="37"/>
        <v>41723.972300000016</v>
      </c>
      <c r="AE47" s="2">
        <f t="shared" si="37"/>
        <v>59164.594420000016</v>
      </c>
      <c r="AF47" s="2">
        <f t="shared" si="37"/>
        <v>83746.816387999992</v>
      </c>
      <c r="AG47" s="2">
        <f t="shared" ref="AG47" si="38">+AG46*0.2</f>
        <v>109398.4800964</v>
      </c>
      <c r="AH47" s="2">
        <f t="shared" ref="AH47" si="39">+AH46*0.2</f>
        <v>142863.38312612</v>
      </c>
    </row>
    <row r="48" spans="2:130" s="2" customFormat="1" x14ac:dyDescent="0.2">
      <c r="B48" s="2" t="s">
        <v>8</v>
      </c>
      <c r="C48" s="5">
        <f>+C46-C47</f>
        <v>1457</v>
      </c>
      <c r="D48" s="5">
        <f>+D46-D47</f>
        <v>1912</v>
      </c>
      <c r="E48" s="5">
        <f>+E46-E47</f>
        <v>2374</v>
      </c>
      <c r="F48" s="5"/>
      <c r="G48" s="5">
        <f>+G46-G47</f>
        <v>3003</v>
      </c>
      <c r="H48" s="5">
        <f>+H46-H47</f>
        <v>2971</v>
      </c>
      <c r="I48" s="5">
        <f>+I46-I47</f>
        <v>656</v>
      </c>
      <c r="J48" s="5">
        <f>+J46-J47</f>
        <v>680</v>
      </c>
      <c r="K48" s="5"/>
      <c r="L48" s="5">
        <f>+L46-L47</f>
        <v>2043</v>
      </c>
      <c r="M48" s="2">
        <f>M46-M47</f>
        <v>6188</v>
      </c>
      <c r="N48" s="2">
        <f t="shared" ref="N48" si="40">N46-N47</f>
        <v>9243</v>
      </c>
      <c r="O48" s="2">
        <f>+O46-O47</f>
        <v>12285</v>
      </c>
      <c r="P48" s="2">
        <f>+P46-P47</f>
        <v>14881</v>
      </c>
      <c r="Q48" s="2">
        <f t="shared" ref="Q48:S48" si="41">+Q46-Q47</f>
        <v>17155.8</v>
      </c>
      <c r="R48" s="2">
        <f t="shared" si="41"/>
        <v>18876.189699999999</v>
      </c>
      <c r="S48" s="2">
        <f t="shared" si="41"/>
        <v>24007.558099999998</v>
      </c>
      <c r="Y48" s="2">
        <f>+Y46-Y47</f>
        <v>9752</v>
      </c>
      <c r="Z48" s="2">
        <f>+Z46-Z47</f>
        <v>5534</v>
      </c>
      <c r="AA48" s="2">
        <f>+AA46-AA47</f>
        <v>29760</v>
      </c>
      <c r="AB48" s="2">
        <f>+AB46-AB47</f>
        <v>70001.0144</v>
      </c>
      <c r="AC48" s="2">
        <f t="shared" ref="AC48:AF48" si="42">+AC46-AC47</f>
        <v>108745.1848</v>
      </c>
      <c r="AD48" s="2">
        <f t="shared" si="42"/>
        <v>166895.88920000003</v>
      </c>
      <c r="AE48" s="2">
        <f t="shared" si="42"/>
        <v>236658.37768000006</v>
      </c>
      <c r="AF48" s="2">
        <f t="shared" si="42"/>
        <v>334987.26555199997</v>
      </c>
      <c r="AG48" s="2">
        <f t="shared" ref="AG48" si="43">+AG46-AG47</f>
        <v>437593.92038559995</v>
      </c>
      <c r="AH48" s="2">
        <f t="shared" ref="AH48" si="44">+AH46-AH47</f>
        <v>571453.53250447998</v>
      </c>
      <c r="AI48" s="2">
        <f>AH48*(1+$AI$54)</f>
        <v>588597.1384796144</v>
      </c>
      <c r="AJ48" s="2">
        <f t="shared" ref="AJ48:CU48" si="45">AI48*(1+$AI$54)</f>
        <v>606255.05263400287</v>
      </c>
      <c r="AK48" s="2">
        <f t="shared" si="45"/>
        <v>624442.70421302295</v>
      </c>
      <c r="AL48" s="2">
        <f t="shared" si="45"/>
        <v>643175.98533941363</v>
      </c>
      <c r="AM48" s="2">
        <f t="shared" si="45"/>
        <v>662471.26489959611</v>
      </c>
      <c r="AN48" s="2">
        <f t="shared" si="45"/>
        <v>682345.40284658398</v>
      </c>
      <c r="AO48" s="2">
        <f t="shared" si="45"/>
        <v>702815.76493198157</v>
      </c>
      <c r="AP48" s="2">
        <f t="shared" si="45"/>
        <v>723900.23787994101</v>
      </c>
      <c r="AQ48" s="2">
        <f t="shared" si="45"/>
        <v>745617.24501633924</v>
      </c>
      <c r="AR48" s="2">
        <f t="shared" si="45"/>
        <v>767985.76236682944</v>
      </c>
      <c r="AS48" s="2">
        <f t="shared" si="45"/>
        <v>791025.33523783437</v>
      </c>
      <c r="AT48" s="2">
        <f t="shared" si="45"/>
        <v>814756.09529496939</v>
      </c>
      <c r="AU48" s="2">
        <f t="shared" si="45"/>
        <v>839198.77815381845</v>
      </c>
      <c r="AV48" s="2">
        <f t="shared" si="45"/>
        <v>864374.74149843305</v>
      </c>
      <c r="AW48" s="2">
        <f t="shared" si="45"/>
        <v>890305.98374338611</v>
      </c>
      <c r="AX48" s="2">
        <f t="shared" si="45"/>
        <v>917015.16325568769</v>
      </c>
      <c r="AY48" s="2">
        <f t="shared" si="45"/>
        <v>944525.61815335834</v>
      </c>
      <c r="AZ48" s="2">
        <f t="shared" si="45"/>
        <v>972861.38669795915</v>
      </c>
      <c r="BA48" s="2">
        <f t="shared" si="45"/>
        <v>1002047.228298898</v>
      </c>
      <c r="BB48" s="2">
        <f t="shared" si="45"/>
        <v>1032108.6451478649</v>
      </c>
      <c r="BC48" s="2">
        <f t="shared" si="45"/>
        <v>1063071.904502301</v>
      </c>
      <c r="BD48" s="2">
        <f t="shared" si="45"/>
        <v>1094964.0616373701</v>
      </c>
      <c r="BE48" s="2">
        <f t="shared" si="45"/>
        <v>1127812.9834864913</v>
      </c>
      <c r="BF48" s="2">
        <f t="shared" si="45"/>
        <v>1161647.372991086</v>
      </c>
      <c r="BG48" s="2">
        <f t="shared" si="45"/>
        <v>1196496.7941808186</v>
      </c>
      <c r="BH48" s="2">
        <f t="shared" si="45"/>
        <v>1232391.6980062432</v>
      </c>
      <c r="BI48" s="2">
        <f t="shared" si="45"/>
        <v>1269363.4489464306</v>
      </c>
      <c r="BJ48" s="2">
        <f t="shared" si="45"/>
        <v>1307444.3524148236</v>
      </c>
      <c r="BK48" s="2">
        <f t="shared" si="45"/>
        <v>1346667.6829872683</v>
      </c>
      <c r="BL48" s="2">
        <f t="shared" si="45"/>
        <v>1387067.7134768865</v>
      </c>
      <c r="BM48" s="2">
        <f t="shared" si="45"/>
        <v>1428679.7448811932</v>
      </c>
      <c r="BN48" s="2">
        <f t="shared" si="45"/>
        <v>1471540.1372276291</v>
      </c>
      <c r="BO48" s="2">
        <f t="shared" si="45"/>
        <v>1515686.3413444581</v>
      </c>
      <c r="BP48" s="2">
        <f t="shared" si="45"/>
        <v>1561156.9315847917</v>
      </c>
      <c r="BQ48" s="2">
        <f t="shared" si="45"/>
        <v>1607991.6395323356</v>
      </c>
      <c r="BR48" s="2">
        <f t="shared" si="45"/>
        <v>1656231.3887183056</v>
      </c>
      <c r="BS48" s="2">
        <f t="shared" si="45"/>
        <v>1705918.3303798549</v>
      </c>
      <c r="BT48" s="2">
        <f t="shared" si="45"/>
        <v>1757095.8802912505</v>
      </c>
      <c r="BU48" s="2">
        <f t="shared" si="45"/>
        <v>1809808.7566999882</v>
      </c>
      <c r="BV48" s="2">
        <f t="shared" si="45"/>
        <v>1864103.0194009878</v>
      </c>
      <c r="BW48" s="2">
        <f t="shared" si="45"/>
        <v>1920026.1099830174</v>
      </c>
      <c r="BX48" s="2">
        <f t="shared" si="45"/>
        <v>1977626.893282508</v>
      </c>
      <c r="BY48" s="2">
        <f t="shared" si="45"/>
        <v>2036955.7000809833</v>
      </c>
      <c r="BZ48" s="2">
        <f t="shared" si="45"/>
        <v>2098064.3710834128</v>
      </c>
      <c r="CA48" s="2">
        <f t="shared" si="45"/>
        <v>2161006.3022159152</v>
      </c>
      <c r="CB48" s="2">
        <f t="shared" si="45"/>
        <v>2225836.4912823928</v>
      </c>
      <c r="CC48" s="2">
        <f t="shared" si="45"/>
        <v>2292611.5860208645</v>
      </c>
      <c r="CD48" s="2">
        <f t="shared" si="45"/>
        <v>2361389.9336014907</v>
      </c>
      <c r="CE48" s="2">
        <f t="shared" si="45"/>
        <v>2432231.6316095353</v>
      </c>
      <c r="CF48" s="2">
        <f t="shared" si="45"/>
        <v>2505198.5805578213</v>
      </c>
      <c r="CG48" s="2">
        <f t="shared" si="45"/>
        <v>2580354.537974556</v>
      </c>
      <c r="CH48" s="2">
        <f t="shared" si="45"/>
        <v>2657765.1741137928</v>
      </c>
      <c r="CI48" s="2">
        <f t="shared" si="45"/>
        <v>2737498.1293372065</v>
      </c>
      <c r="CJ48" s="2">
        <f t="shared" si="45"/>
        <v>2819623.0732173226</v>
      </c>
      <c r="CK48" s="2">
        <f t="shared" si="45"/>
        <v>2904211.7654138422</v>
      </c>
      <c r="CL48" s="2">
        <f t="shared" si="45"/>
        <v>2991338.1183762574</v>
      </c>
      <c r="CM48" s="2">
        <f t="shared" si="45"/>
        <v>3081078.2619275451</v>
      </c>
      <c r="CN48" s="2">
        <f t="shared" si="45"/>
        <v>3173510.6097853715</v>
      </c>
      <c r="CO48" s="2">
        <f t="shared" si="45"/>
        <v>3268715.9280789327</v>
      </c>
      <c r="CP48" s="2">
        <f t="shared" si="45"/>
        <v>3366777.4059213009</v>
      </c>
      <c r="CQ48" s="2">
        <f t="shared" si="45"/>
        <v>3467780.7280989401</v>
      </c>
      <c r="CR48" s="2">
        <f t="shared" si="45"/>
        <v>3571814.1499419082</v>
      </c>
      <c r="CS48" s="2">
        <f t="shared" si="45"/>
        <v>3678968.5744401654</v>
      </c>
      <c r="CT48" s="2">
        <f t="shared" si="45"/>
        <v>3789337.6316733705</v>
      </c>
      <c r="CU48" s="2">
        <f t="shared" si="45"/>
        <v>3903017.7606235719</v>
      </c>
      <c r="CV48" s="2">
        <f t="shared" ref="CV48:DZ48" si="46">CU48*(1+$AI$54)</f>
        <v>4020108.2934422791</v>
      </c>
      <c r="CW48" s="2">
        <f t="shared" si="46"/>
        <v>4140711.5422455478</v>
      </c>
      <c r="CX48" s="2">
        <f t="shared" si="46"/>
        <v>4264932.8885129141</v>
      </c>
      <c r="CY48" s="2">
        <f t="shared" si="46"/>
        <v>4392880.8751683012</v>
      </c>
      <c r="CZ48" s="2">
        <f t="shared" si="46"/>
        <v>4524667.3014233503</v>
      </c>
      <c r="DA48" s="2">
        <f t="shared" si="46"/>
        <v>4660407.3204660509</v>
      </c>
      <c r="DB48" s="2">
        <f t="shared" si="46"/>
        <v>4800219.5400800323</v>
      </c>
      <c r="DC48" s="2">
        <f t="shared" si="46"/>
        <v>4944226.126282433</v>
      </c>
      <c r="DD48" s="2">
        <f t="shared" si="46"/>
        <v>5092552.9100709064</v>
      </c>
      <c r="DE48" s="2">
        <f t="shared" si="46"/>
        <v>5245329.4973730333</v>
      </c>
      <c r="DF48" s="2">
        <f t="shared" si="46"/>
        <v>5402689.3822942246</v>
      </c>
      <c r="DG48" s="2">
        <f t="shared" si="46"/>
        <v>5564770.0637630513</v>
      </c>
      <c r="DH48" s="2">
        <f t="shared" si="46"/>
        <v>5731713.1656759428</v>
      </c>
      <c r="DI48" s="2">
        <f t="shared" si="46"/>
        <v>5903664.560646221</v>
      </c>
      <c r="DJ48" s="2">
        <f t="shared" si="46"/>
        <v>6080774.4974656077</v>
      </c>
      <c r="DK48" s="2">
        <f t="shared" si="46"/>
        <v>6263197.7323895758</v>
      </c>
      <c r="DL48" s="2">
        <f t="shared" si="46"/>
        <v>6451093.6643612636</v>
      </c>
      <c r="DM48" s="2">
        <f t="shared" si="46"/>
        <v>6644626.4742921013</v>
      </c>
      <c r="DN48" s="2">
        <f t="shared" si="46"/>
        <v>6843965.2685208647</v>
      </c>
      <c r="DO48" s="2">
        <f t="shared" si="46"/>
        <v>7049284.2265764903</v>
      </c>
      <c r="DP48" s="2">
        <f t="shared" si="46"/>
        <v>7260762.7533737849</v>
      </c>
      <c r="DQ48" s="2">
        <f t="shared" si="46"/>
        <v>7478585.6359749986</v>
      </c>
      <c r="DR48" s="2">
        <f t="shared" si="46"/>
        <v>7702943.2050542487</v>
      </c>
      <c r="DS48" s="2">
        <f t="shared" si="46"/>
        <v>7934031.5012058765</v>
      </c>
      <c r="DT48" s="2">
        <f t="shared" si="46"/>
        <v>8172052.4462420531</v>
      </c>
      <c r="DU48" s="2">
        <f t="shared" si="46"/>
        <v>8417214.0196293145</v>
      </c>
      <c r="DV48" s="2">
        <f t="shared" si="46"/>
        <v>8669730.4402181935</v>
      </c>
      <c r="DW48" s="2">
        <f t="shared" si="46"/>
        <v>8929822.3534247391</v>
      </c>
      <c r="DX48" s="2">
        <f t="shared" si="46"/>
        <v>9197717.0240274817</v>
      </c>
      <c r="DY48" s="2">
        <f t="shared" si="46"/>
        <v>9473648.5347483065</v>
      </c>
      <c r="DZ48" s="2">
        <f t="shared" si="46"/>
        <v>9757857.9907907564</v>
      </c>
    </row>
    <row r="49" spans="2:36" x14ac:dyDescent="0.2">
      <c r="B49" t="s">
        <v>12</v>
      </c>
      <c r="C49" s="6">
        <f>+C48/C50</f>
        <v>0.57725832012678291</v>
      </c>
      <c r="D49" s="6">
        <f>+D48/D50</f>
        <v>0.75632911392405067</v>
      </c>
      <c r="E49" s="6">
        <f>+E48/E50</f>
        <v>0.93759873617693523</v>
      </c>
      <c r="F49" s="6"/>
      <c r="G49" s="6">
        <f>+G48/G50</f>
        <v>1.1799607072691551</v>
      </c>
      <c r="H49" s="6">
        <f>+H48/H50</f>
        <v>1.1710681907765077</v>
      </c>
      <c r="I49" s="6">
        <f>+I48/I50</f>
        <v>0.26073131955484896</v>
      </c>
      <c r="J49" s="6">
        <f>+J48/J50</f>
        <v>0.27210884353741499</v>
      </c>
      <c r="K49" s="6"/>
      <c r="L49" s="6">
        <f>+L48/L50</f>
        <v>0.82048192771084338</v>
      </c>
      <c r="M49" s="6">
        <f>+M48/M50</f>
        <v>2.4761904761904763</v>
      </c>
      <c r="N49" s="6">
        <f t="shared" ref="N49:P49" si="47">+N48/N50</f>
        <v>3.7060946271050521</v>
      </c>
      <c r="O49" s="6">
        <f t="shared" si="47"/>
        <v>4.9337349397590362</v>
      </c>
      <c r="P49" s="6">
        <f t="shared" si="47"/>
        <v>5.978706307754118</v>
      </c>
      <c r="Q49" s="6">
        <f t="shared" ref="Q49:S49" si="48">+Q48/Q50</f>
        <v>0.69042981326464903</v>
      </c>
      <c r="R49" s="6">
        <f t="shared" si="48"/>
        <v>0.7596663594655505</v>
      </c>
      <c r="S49" s="6">
        <f t="shared" si="48"/>
        <v>0.96617667820347708</v>
      </c>
      <c r="Y49" s="15">
        <f t="shared" ref="Y49:AF49" si="49">+Y48/Y50</f>
        <v>3.8469428007889546</v>
      </c>
      <c r="Z49" s="15">
        <f t="shared" si="49"/>
        <v>2.2074192261667331</v>
      </c>
      <c r="AA49" s="15">
        <f t="shared" si="49"/>
        <v>11.932638331996792</v>
      </c>
      <c r="AB49" s="15">
        <f t="shared" si="49"/>
        <v>2.8171689632968446</v>
      </c>
      <c r="AC49" s="15">
        <f t="shared" si="49"/>
        <v>4.3764160012878301</v>
      </c>
      <c r="AD49" s="15">
        <f t="shared" si="49"/>
        <v>6.7166729394719908</v>
      </c>
      <c r="AE49" s="15">
        <f t="shared" si="49"/>
        <v>9.5242425016097894</v>
      </c>
      <c r="AF49" s="15">
        <f t="shared" si="49"/>
        <v>13.481457886027043</v>
      </c>
      <c r="AG49" s="15">
        <f t="shared" ref="AG49:AH49" si="50">+AG48/AG50</f>
        <v>17.610830665872502</v>
      </c>
      <c r="AH49" s="15">
        <f t="shared" si="50"/>
        <v>22.997968951403735</v>
      </c>
      <c r="AI49" s="15"/>
    </row>
    <row r="50" spans="2:36" x14ac:dyDescent="0.2">
      <c r="B50" t="s">
        <v>13</v>
      </c>
      <c r="C50" s="5">
        <v>2524</v>
      </c>
      <c r="D50" s="5">
        <v>2528</v>
      </c>
      <c r="E50" s="5">
        <v>2532</v>
      </c>
      <c r="G50" s="5">
        <v>2545</v>
      </c>
      <c r="H50" s="5">
        <v>2537</v>
      </c>
      <c r="I50" s="5">
        <v>2516</v>
      </c>
      <c r="J50" s="5">
        <v>2499</v>
      </c>
      <c r="K50" s="5"/>
      <c r="L50" s="5">
        <v>2490</v>
      </c>
      <c r="M50" s="5">
        <v>2499</v>
      </c>
      <c r="N50" s="5">
        <v>2494</v>
      </c>
      <c r="O50" s="2">
        <v>2490</v>
      </c>
      <c r="P50" s="2">
        <v>2489</v>
      </c>
      <c r="Q50" s="2">
        <v>24848</v>
      </c>
      <c r="R50" s="2">
        <f t="shared" ref="R50:S50" si="51">+Q50</f>
        <v>24848</v>
      </c>
      <c r="S50" s="2">
        <f t="shared" si="51"/>
        <v>24848</v>
      </c>
      <c r="Y50" s="2">
        <v>2535</v>
      </c>
      <c r="Z50" s="2">
        <v>2507</v>
      </c>
      <c r="AA50" s="2">
        <v>2494</v>
      </c>
      <c r="AB50" s="2">
        <f>S50</f>
        <v>24848</v>
      </c>
      <c r="AC50" s="2">
        <f>+AB50</f>
        <v>24848</v>
      </c>
      <c r="AD50" s="2">
        <f>+AC50</f>
        <v>24848</v>
      </c>
      <c r="AE50" s="2">
        <f>+AD50</f>
        <v>24848</v>
      </c>
      <c r="AF50" s="2">
        <f>+AE50</f>
        <v>24848</v>
      </c>
      <c r="AG50" s="2">
        <f t="shared" ref="AG50:AH50" si="52">+AF50</f>
        <v>24848</v>
      </c>
      <c r="AH50" s="2">
        <f t="shared" si="52"/>
        <v>24848</v>
      </c>
      <c r="AI50" s="2"/>
    </row>
    <row r="52" spans="2:36" x14ac:dyDescent="0.2">
      <c r="B52" t="s">
        <v>71</v>
      </c>
      <c r="F52" s="10"/>
      <c r="G52" s="10">
        <f t="shared" ref="G52:O52" si="53">+G38/C38-1</f>
        <v>0.52768338996602049</v>
      </c>
      <c r="H52" s="10">
        <f t="shared" si="53"/>
        <v>0.46405228758169925</v>
      </c>
      <c r="I52" s="10">
        <f t="shared" si="53"/>
        <v>3.0275088366374714E-2</v>
      </c>
      <c r="J52" s="10">
        <f t="shared" si="53"/>
        <v>-0.16500070392791777</v>
      </c>
      <c r="K52" s="10">
        <f t="shared" si="53"/>
        <v>-0.20829517205285886</v>
      </c>
      <c r="L52" s="10">
        <f t="shared" si="53"/>
        <v>-0.13223938223938225</v>
      </c>
      <c r="M52" s="10">
        <f t="shared" si="53"/>
        <v>1.0147673031026252</v>
      </c>
      <c r="N52" s="10">
        <f t="shared" si="53"/>
        <v>2.0551340414769852</v>
      </c>
      <c r="O52" s="10">
        <f t="shared" si="53"/>
        <v>2.6527846636919516</v>
      </c>
      <c r="P52" s="10">
        <f>+P38/L38-1</f>
        <v>2.6212458286985538</v>
      </c>
      <c r="Q52" s="10">
        <f t="shared" ref="Q52" si="54">+Q38/M38-1</f>
        <v>1.2240319834160065</v>
      </c>
      <c r="R52" s="10">
        <f t="shared" ref="R52" si="55">+R38/N38-1</f>
        <v>0.84142384105960266</v>
      </c>
      <c r="S52" s="10">
        <f t="shared" ref="S52" si="56">+S38/O38-1</f>
        <v>0.84765416459304155</v>
      </c>
      <c r="Z52" s="10">
        <f t="shared" ref="Z52:AH52" si="57">+Z38/Y38-1</f>
        <v>2.2293230289069932E-3</v>
      </c>
      <c r="AA52" s="10">
        <f t="shared" si="57"/>
        <v>1.2585452658115224</v>
      </c>
      <c r="AB52" s="10">
        <f t="shared" si="57"/>
        <v>1.1386247989232134</v>
      </c>
      <c r="AC52" s="10">
        <f t="shared" si="57"/>
        <v>0.5</v>
      </c>
      <c r="AD52" s="10">
        <f t="shared" si="57"/>
        <v>0.50000000000000022</v>
      </c>
      <c r="AE52" s="10">
        <f t="shared" si="57"/>
        <v>0.39999999999999991</v>
      </c>
      <c r="AF52" s="10">
        <f t="shared" si="57"/>
        <v>0.39999999999999969</v>
      </c>
      <c r="AG52" s="10">
        <f t="shared" si="57"/>
        <v>0.30000000000000004</v>
      </c>
      <c r="AH52" s="10">
        <f t="shared" si="57"/>
        <v>0.30000000000000004</v>
      </c>
      <c r="AI52" s="10"/>
      <c r="AJ52" s="10"/>
    </row>
    <row r="53" spans="2:36" x14ac:dyDescent="0.2">
      <c r="B53" t="s">
        <v>72</v>
      </c>
      <c r="D53" s="10">
        <f t="shared" ref="D53:O53" si="58">+D38/C38-1</f>
        <v>0.13152108734759138</v>
      </c>
      <c r="E53" s="10">
        <f t="shared" si="58"/>
        <v>0.14944356120826718</v>
      </c>
      <c r="F53" s="10">
        <f t="shared" si="58"/>
        <v>9.1593668357153879E-2</v>
      </c>
      <c r="G53" s="10">
        <f t="shared" si="58"/>
        <v>7.6024215120371608E-2</v>
      </c>
      <c r="H53" s="10">
        <f t="shared" si="58"/>
        <v>8.4390945963626951E-2</v>
      </c>
      <c r="I53" s="10">
        <f t="shared" si="58"/>
        <v>-0.19111969111969107</v>
      </c>
      <c r="J53" s="10">
        <f t="shared" si="58"/>
        <v>-0.11530429594272074</v>
      </c>
      <c r="K53" s="10">
        <f t="shared" si="58"/>
        <v>2.0232675771370667E-2</v>
      </c>
      <c r="L53" s="10">
        <f t="shared" si="58"/>
        <v>0.1885638737398776</v>
      </c>
      <c r="M53" s="10">
        <f t="shared" si="58"/>
        <v>0.87805895439377091</v>
      </c>
      <c r="N53" s="10">
        <f t="shared" si="58"/>
        <v>0.34152661582882948</v>
      </c>
      <c r="O53" s="10">
        <f t="shared" si="58"/>
        <v>0.21981236203090515</v>
      </c>
      <c r="P53" s="10">
        <f>+P38/O38-1</f>
        <v>0.17830158801972584</v>
      </c>
      <c r="Q53" s="10">
        <f t="shared" ref="Q53" si="59">+Q38/P38-1</f>
        <v>0.1534326524343419</v>
      </c>
      <c r="R53" s="10">
        <f t="shared" ref="R53" si="60">+R38/Q38-1</f>
        <v>0.1107390146471372</v>
      </c>
      <c r="S53" s="10">
        <f t="shared" ref="S53" si="61">+S38/R38-1</f>
        <v>0.22393950837064613</v>
      </c>
    </row>
    <row r="54" spans="2:36" x14ac:dyDescent="0.2">
      <c r="B54" t="s">
        <v>73</v>
      </c>
      <c r="E54" s="10">
        <f t="shared" ref="E54:O54" si="62">+E36/D36-1</f>
        <v>0.15609756097560967</v>
      </c>
      <c r="F54" s="10">
        <f t="shared" si="62"/>
        <v>0.240506329113924</v>
      </c>
      <c r="G54" s="10">
        <f t="shared" si="62"/>
        <v>0.10884353741496589</v>
      </c>
      <c r="H54" s="10">
        <f t="shared" si="62"/>
        <v>0.15030674846625769</v>
      </c>
      <c r="I54" s="10">
        <f t="shared" si="62"/>
        <v>1.6000000000000014E-2</v>
      </c>
      <c r="J54" s="10">
        <f t="shared" si="62"/>
        <v>6.0367454068241955E-3</v>
      </c>
      <c r="K54" s="10">
        <f t="shared" si="62"/>
        <v>-5.5570049569527824E-2</v>
      </c>
      <c r="L54" s="10">
        <f t="shared" si="62"/>
        <v>0.18342541436464099</v>
      </c>
      <c r="M54" s="10">
        <f t="shared" si="62"/>
        <v>1.4096638655462184</v>
      </c>
      <c r="N54" s="10">
        <f t="shared" si="62"/>
        <v>0.40598663179308336</v>
      </c>
      <c r="O54" s="10">
        <f t="shared" si="62"/>
        <v>0.26677690505718621</v>
      </c>
      <c r="P54" s="10">
        <f>+P36/O36-1</f>
        <v>0.22718372674861298</v>
      </c>
      <c r="Q54" s="10">
        <f t="shared" ref="Q54" si="63">+Q36/P36-1</f>
        <v>0.2232415902140672</v>
      </c>
      <c r="R54" s="10">
        <f t="shared" ref="R54" si="64">+R36/Q36-1</f>
        <v>6.5217391304347894E-2</v>
      </c>
      <c r="S54" s="10">
        <f t="shared" ref="S54" si="65">+S36/R36-1</f>
        <v>0.25</v>
      </c>
      <c r="AH54" t="s">
        <v>168</v>
      </c>
      <c r="AI54" s="10">
        <v>0.03</v>
      </c>
    </row>
    <row r="55" spans="2:36" x14ac:dyDescent="0.2">
      <c r="B55" t="s">
        <v>5</v>
      </c>
      <c r="C55" s="7">
        <f>C40/C38</f>
        <v>0.6310213871676994</v>
      </c>
      <c r="D55" s="7">
        <f>D40/D38</f>
        <v>0.6410528175234057</v>
      </c>
      <c r="E55" s="7">
        <f>E40/E38</f>
        <v>0.64776394651913327</v>
      </c>
      <c r="F55" s="7"/>
      <c r="G55" s="7">
        <f>G40/G38</f>
        <v>0.65406254088708626</v>
      </c>
      <c r="H55" s="7">
        <f>H40/H38</f>
        <v>0.65528474903474898</v>
      </c>
      <c r="I55" s="7">
        <f>I40/I38</f>
        <v>0.43481503579952269</v>
      </c>
      <c r="J55" s="7">
        <f>J40/J38</f>
        <v>0.53566009104704093</v>
      </c>
      <c r="K55" s="7"/>
      <c r="L55" s="7">
        <f t="shared" ref="L55:Q55" si="66">L40/L38</f>
        <v>0.64627363737486099</v>
      </c>
      <c r="M55" s="7">
        <f t="shared" si="66"/>
        <v>0.7005256533649219</v>
      </c>
      <c r="N55" s="7">
        <f t="shared" si="66"/>
        <v>0.73951434878587197</v>
      </c>
      <c r="O55" s="7">
        <f t="shared" si="66"/>
        <v>0.75967063294575399</v>
      </c>
      <c r="P55" s="7">
        <f t="shared" si="66"/>
        <v>0.78352019659038552</v>
      </c>
      <c r="Q55" s="7">
        <f t="shared" si="66"/>
        <v>0.77</v>
      </c>
      <c r="R55" s="7">
        <f t="shared" ref="R55:S55" si="67">R40/R38</f>
        <v>0.77</v>
      </c>
      <c r="S55" s="7">
        <f t="shared" si="67"/>
        <v>0.78</v>
      </c>
      <c r="Y55" s="7">
        <f t="shared" ref="Y55:AF55" si="68">Y40/Y38</f>
        <v>0.64929033216913135</v>
      </c>
      <c r="Z55" s="7">
        <f t="shared" si="68"/>
        <v>0.56928894490991322</v>
      </c>
      <c r="AA55" s="7">
        <f t="shared" si="68"/>
        <v>0.72717573290436954</v>
      </c>
      <c r="AB55" s="7">
        <f t="shared" si="68"/>
        <v>0.77583706413343223</v>
      </c>
      <c r="AC55" s="7">
        <f t="shared" si="68"/>
        <v>0.77999999999999992</v>
      </c>
      <c r="AD55" s="7">
        <f t="shared" si="68"/>
        <v>0.78</v>
      </c>
      <c r="AE55" s="7">
        <f t="shared" si="68"/>
        <v>0.78</v>
      </c>
      <c r="AF55" s="7">
        <f t="shared" si="68"/>
        <v>0.78</v>
      </c>
      <c r="AH55" t="s">
        <v>166</v>
      </c>
      <c r="AI55" s="10">
        <v>0.09</v>
      </c>
    </row>
    <row r="56" spans="2:36" x14ac:dyDescent="0.2">
      <c r="B56" t="s">
        <v>24</v>
      </c>
      <c r="C56" s="7">
        <f t="shared" ref="C56:H56" si="69">C36/C38</f>
        <v>0</v>
      </c>
      <c r="D56" s="7">
        <f t="shared" si="69"/>
        <v>0.36212683271506801</v>
      </c>
      <c r="E56" s="7">
        <f t="shared" si="69"/>
        <v>0.36422314430613184</v>
      </c>
      <c r="F56" s="7">
        <f t="shared" si="69"/>
        <v>0.41390961565535689</v>
      </c>
      <c r="G56" s="7">
        <f t="shared" si="69"/>
        <v>0.42653408347507521</v>
      </c>
      <c r="H56" s="7">
        <f t="shared" si="69"/>
        <v>0.45246138996138996</v>
      </c>
      <c r="I56" s="7">
        <f t="shared" ref="I56:N56" si="70">I36/I38</f>
        <v>0.56831742243436756</v>
      </c>
      <c r="J56" s="7">
        <f t="shared" si="70"/>
        <v>0.64626538526386779</v>
      </c>
      <c r="K56" s="7">
        <f t="shared" si="70"/>
        <v>0.59824822343414308</v>
      </c>
      <c r="L56" s="7">
        <f t="shared" si="70"/>
        <v>0.59566184649610676</v>
      </c>
      <c r="M56" s="7">
        <f t="shared" si="70"/>
        <v>0.76427037832235134</v>
      </c>
      <c r="N56" s="7">
        <f t="shared" si="70"/>
        <v>0.80099337748344368</v>
      </c>
      <c r="O56" s="7">
        <f t="shared" ref="O56:S56" si="71">O36/O38</f>
        <v>0.83183278288015206</v>
      </c>
      <c r="P56" s="7">
        <f>P36/P38</f>
        <v>0.86634157579480875</v>
      </c>
      <c r="Q56" s="7">
        <f t="shared" si="71"/>
        <v>0.91877496671105197</v>
      </c>
      <c r="R56" s="7">
        <f t="shared" si="71"/>
        <v>0.88112064159968351</v>
      </c>
      <c r="S56" s="7">
        <f t="shared" si="71"/>
        <v>0.89988172982979386</v>
      </c>
      <c r="AH56" t="s">
        <v>167</v>
      </c>
      <c r="AI56" s="2">
        <f>NPV(AI55,AC48:DZ48)+Main!K5-Main!K6</f>
        <v>7131023.5494701201</v>
      </c>
    </row>
    <row r="57" spans="2:36" x14ac:dyDescent="0.2">
      <c r="AH57" t="s">
        <v>13</v>
      </c>
      <c r="AI57" s="15">
        <f>AI56/Main!K3</f>
        <v>289.87900607602114</v>
      </c>
    </row>
    <row r="58" spans="2:36" x14ac:dyDescent="0.2">
      <c r="B58" t="s">
        <v>164</v>
      </c>
      <c r="L58" s="2">
        <f>+L59-L72</f>
        <v>4366</v>
      </c>
      <c r="M58" s="2">
        <f>+M59-M72</f>
        <v>6318</v>
      </c>
      <c r="N58" s="2">
        <f>+N59-N72</f>
        <v>8575</v>
      </c>
      <c r="O58" s="2">
        <f>+O59-O72</f>
        <v>16275</v>
      </c>
      <c r="P58" s="2">
        <f t="shared" ref="P58:S58" si="72">+P59-P72</f>
        <v>21728</v>
      </c>
      <c r="Q58" s="2">
        <f t="shared" si="72"/>
        <v>0</v>
      </c>
      <c r="R58" s="2">
        <f t="shared" si="72"/>
        <v>0</v>
      </c>
      <c r="S58" s="2">
        <f t="shared" si="72"/>
        <v>0</v>
      </c>
    </row>
    <row r="59" spans="2:36" s="2" customFormat="1" x14ac:dyDescent="0.2">
      <c r="B59" s="2" t="s">
        <v>38</v>
      </c>
      <c r="C59" s="5"/>
      <c r="D59" s="5"/>
      <c r="E59" s="5"/>
      <c r="F59" s="5"/>
      <c r="G59" s="5"/>
      <c r="H59" s="5"/>
      <c r="I59" s="5"/>
      <c r="J59" s="5"/>
      <c r="K59" s="5"/>
      <c r="L59" s="2">
        <f>5079+10241</f>
        <v>15320</v>
      </c>
      <c r="M59" s="2">
        <f>5783+10240</f>
        <v>16023</v>
      </c>
      <c r="N59" s="2">
        <f>5519+12762</f>
        <v>18281</v>
      </c>
      <c r="O59" s="2">
        <f>7280+18704</f>
        <v>25984</v>
      </c>
      <c r="P59" s="2">
        <f>7587+23851</f>
        <v>31438</v>
      </c>
    </row>
    <row r="60" spans="2:36" s="2" customFormat="1" x14ac:dyDescent="0.2">
      <c r="B60" s="2" t="s">
        <v>39</v>
      </c>
      <c r="C60" s="5"/>
      <c r="D60" s="5"/>
      <c r="E60" s="5"/>
      <c r="F60" s="5"/>
      <c r="G60" s="5"/>
      <c r="H60" s="5"/>
      <c r="I60" s="5"/>
      <c r="J60" s="5"/>
      <c r="K60" s="5"/>
      <c r="L60" s="2">
        <v>4080</v>
      </c>
      <c r="M60" s="2">
        <v>7066</v>
      </c>
      <c r="N60" s="2">
        <v>8309</v>
      </c>
      <c r="O60" s="2">
        <v>9999</v>
      </c>
      <c r="P60" s="2">
        <v>12365</v>
      </c>
    </row>
    <row r="61" spans="2:36" s="2" customFormat="1" x14ac:dyDescent="0.2">
      <c r="B61" s="2" t="s">
        <v>40</v>
      </c>
      <c r="C61" s="5"/>
      <c r="D61" s="5"/>
      <c r="E61" s="5"/>
      <c r="F61" s="5"/>
      <c r="G61" s="5"/>
      <c r="H61" s="5"/>
      <c r="I61" s="5"/>
      <c r="J61" s="5"/>
      <c r="K61" s="5"/>
      <c r="L61" s="2">
        <v>4611</v>
      </c>
      <c r="M61" s="2">
        <v>4319</v>
      </c>
      <c r="N61" s="2">
        <v>4779</v>
      </c>
      <c r="O61" s="2">
        <v>5282</v>
      </c>
      <c r="P61" s="2">
        <v>5864</v>
      </c>
    </row>
    <row r="62" spans="2:36" s="2" customFormat="1" x14ac:dyDescent="0.2">
      <c r="B62" s="2" t="s">
        <v>41</v>
      </c>
      <c r="C62" s="5"/>
      <c r="D62" s="5"/>
      <c r="E62" s="5"/>
      <c r="F62" s="5"/>
      <c r="G62" s="5"/>
      <c r="H62" s="5"/>
      <c r="I62" s="5"/>
      <c r="J62" s="5"/>
      <c r="K62" s="5"/>
      <c r="L62" s="2">
        <v>872</v>
      </c>
      <c r="M62" s="2">
        <v>1389</v>
      </c>
      <c r="N62" s="2">
        <v>1289</v>
      </c>
      <c r="O62" s="2">
        <v>3080</v>
      </c>
      <c r="P62" s="2">
        <v>4062</v>
      </c>
    </row>
    <row r="63" spans="2:36" s="2" customFormat="1" x14ac:dyDescent="0.2">
      <c r="B63" s="2" t="s">
        <v>42</v>
      </c>
      <c r="C63" s="5"/>
      <c r="D63" s="5"/>
      <c r="E63" s="5"/>
      <c r="F63" s="5"/>
      <c r="G63" s="5"/>
      <c r="H63" s="5"/>
      <c r="I63" s="5"/>
      <c r="J63" s="5"/>
      <c r="K63" s="5"/>
      <c r="L63" s="2">
        <v>3740</v>
      </c>
      <c r="M63" s="2">
        <v>3799</v>
      </c>
      <c r="N63" s="2">
        <v>3844</v>
      </c>
      <c r="O63" s="2">
        <v>3914</v>
      </c>
      <c r="P63" s="2">
        <v>4006</v>
      </c>
    </row>
    <row r="64" spans="2:36" s="2" customFormat="1" x14ac:dyDescent="0.2">
      <c r="B64" s="2" t="s">
        <v>43</v>
      </c>
      <c r="C64" s="5"/>
      <c r="D64" s="5"/>
      <c r="E64" s="5"/>
      <c r="F64" s="5"/>
      <c r="G64" s="5"/>
      <c r="H64" s="5"/>
      <c r="I64" s="5"/>
      <c r="J64" s="5"/>
      <c r="K64" s="5"/>
      <c r="L64" s="2">
        <v>1094</v>
      </c>
      <c r="M64" s="2">
        <v>1235</v>
      </c>
      <c r="N64" s="2">
        <v>1316</v>
      </c>
      <c r="O64" s="2">
        <v>1346</v>
      </c>
      <c r="P64" s="2">
        <v>1532</v>
      </c>
    </row>
    <row r="65" spans="2:16" s="2" customFormat="1" x14ac:dyDescent="0.2">
      <c r="B65" s="2" t="s">
        <v>44</v>
      </c>
      <c r="C65" s="5"/>
      <c r="D65" s="5"/>
      <c r="E65" s="5"/>
      <c r="F65" s="5"/>
      <c r="G65" s="5"/>
      <c r="H65" s="5"/>
      <c r="I65" s="5"/>
      <c r="J65" s="5"/>
      <c r="K65" s="5"/>
      <c r="L65" s="2">
        <f>4430+1541</f>
        <v>5971</v>
      </c>
      <c r="M65" s="2">
        <f>4430+1395</f>
        <v>5825</v>
      </c>
      <c r="N65" s="2">
        <f>4430+1251</f>
        <v>5681</v>
      </c>
      <c r="O65" s="2">
        <f>4430+1112</f>
        <v>5542</v>
      </c>
      <c r="P65" s="2">
        <f>4453+986</f>
        <v>5439</v>
      </c>
    </row>
    <row r="66" spans="2:16" s="2" customFormat="1" x14ac:dyDescent="0.2">
      <c r="B66" s="2" t="s">
        <v>9</v>
      </c>
      <c r="C66" s="5"/>
      <c r="D66" s="5"/>
      <c r="E66" s="5"/>
      <c r="F66" s="5"/>
      <c r="G66" s="5"/>
      <c r="H66" s="5"/>
      <c r="I66" s="5"/>
      <c r="J66" s="5"/>
      <c r="K66" s="5"/>
      <c r="L66" s="2">
        <v>4568</v>
      </c>
      <c r="M66" s="2">
        <v>5398</v>
      </c>
      <c r="N66" s="2">
        <v>5982</v>
      </c>
      <c r="O66" s="2">
        <v>6081</v>
      </c>
      <c r="P66" s="2">
        <v>7798</v>
      </c>
    </row>
    <row r="67" spans="2:16" s="2" customFormat="1" x14ac:dyDescent="0.2">
      <c r="B67" s="2" t="s">
        <v>45</v>
      </c>
      <c r="C67" s="5"/>
      <c r="D67" s="5"/>
      <c r="E67" s="5"/>
      <c r="F67" s="5"/>
      <c r="G67" s="5"/>
      <c r="H67" s="5"/>
      <c r="I67" s="5"/>
      <c r="J67" s="5"/>
      <c r="K67" s="5"/>
      <c r="L67" s="2">
        <v>4204</v>
      </c>
      <c r="M67" s="2">
        <v>4501</v>
      </c>
      <c r="N67" s="2">
        <v>4667</v>
      </c>
      <c r="O67" s="2">
        <v>4500</v>
      </c>
      <c r="P67" s="2">
        <v>4568</v>
      </c>
    </row>
    <row r="68" spans="2:16" s="2" customFormat="1" x14ac:dyDescent="0.2">
      <c r="B68" s="2" t="s">
        <v>37</v>
      </c>
      <c r="C68" s="5"/>
      <c r="D68" s="5"/>
      <c r="E68" s="5"/>
      <c r="F68" s="5"/>
      <c r="G68" s="5"/>
      <c r="H68" s="5"/>
      <c r="I68" s="5"/>
      <c r="J68" s="5"/>
      <c r="K68" s="5"/>
      <c r="L68" s="2">
        <f t="shared" ref="L68" si="73">SUM(L59:L67)</f>
        <v>44460</v>
      </c>
      <c r="M68" s="2">
        <f>SUM(M59:M67)</f>
        <v>49555</v>
      </c>
      <c r="N68" s="2">
        <f>SUM(N59:N67)</f>
        <v>54148</v>
      </c>
      <c r="O68" s="2">
        <f>SUM(O59:O67)</f>
        <v>65728</v>
      </c>
      <c r="P68" s="2">
        <f>SUM(P59:P67)</f>
        <v>77072</v>
      </c>
    </row>
    <row r="69" spans="2:16" s="2" customFormat="1" x14ac:dyDescent="0.2">
      <c r="C69" s="5"/>
      <c r="D69" s="5"/>
      <c r="E69" s="5"/>
      <c r="F69" s="5"/>
      <c r="G69" s="5"/>
      <c r="H69" s="5"/>
      <c r="I69" s="5"/>
      <c r="J69" s="5"/>
      <c r="K69" s="5"/>
    </row>
    <row r="70" spans="2:16" s="2" customFormat="1" x14ac:dyDescent="0.2">
      <c r="B70" s="2" t="s">
        <v>36</v>
      </c>
      <c r="C70" s="5"/>
      <c r="D70" s="5"/>
      <c r="E70" s="5"/>
      <c r="F70" s="5"/>
      <c r="G70" s="5"/>
      <c r="H70" s="5"/>
      <c r="I70" s="5"/>
      <c r="J70" s="5"/>
      <c r="K70" s="5"/>
      <c r="L70" s="2">
        <v>1141</v>
      </c>
      <c r="M70" s="2">
        <v>1929</v>
      </c>
      <c r="N70" s="2">
        <v>2380</v>
      </c>
      <c r="O70" s="2">
        <v>2699</v>
      </c>
      <c r="P70" s="2">
        <v>2715</v>
      </c>
    </row>
    <row r="71" spans="2:16" s="2" customFormat="1" x14ac:dyDescent="0.2">
      <c r="B71" s="2" t="s">
        <v>35</v>
      </c>
      <c r="C71" s="5"/>
      <c r="D71" s="5"/>
      <c r="E71" s="5"/>
      <c r="F71" s="5"/>
      <c r="G71" s="5"/>
      <c r="H71" s="5"/>
      <c r="I71" s="5"/>
      <c r="J71" s="5"/>
      <c r="K71" s="5"/>
      <c r="L71" s="2">
        <v>4869</v>
      </c>
      <c r="M71" s="2">
        <v>7156</v>
      </c>
      <c r="N71" s="2">
        <v>5472</v>
      </c>
      <c r="O71" s="2">
        <v>6682</v>
      </c>
      <c r="P71" s="2">
        <v>11258</v>
      </c>
    </row>
    <row r="72" spans="2:16" s="2" customFormat="1" x14ac:dyDescent="0.2">
      <c r="B72" s="2" t="s">
        <v>34</v>
      </c>
      <c r="C72" s="5"/>
      <c r="D72" s="5"/>
      <c r="E72" s="5"/>
      <c r="F72" s="5"/>
      <c r="G72" s="5"/>
      <c r="H72" s="5"/>
      <c r="I72" s="5"/>
      <c r="J72" s="5"/>
      <c r="K72" s="5"/>
      <c r="L72" s="2">
        <f>1250+9704</f>
        <v>10954</v>
      </c>
      <c r="M72" s="2">
        <f>1249+8456</f>
        <v>9705</v>
      </c>
      <c r="N72" s="2">
        <f>1249+8457</f>
        <v>9706</v>
      </c>
      <c r="O72" s="2">
        <f>1250+8459</f>
        <v>9709</v>
      </c>
      <c r="P72" s="2">
        <f>1250+8460</f>
        <v>9710</v>
      </c>
    </row>
    <row r="73" spans="2:16" s="2" customFormat="1" x14ac:dyDescent="0.2">
      <c r="B73" s="2" t="s">
        <v>33</v>
      </c>
      <c r="C73" s="5"/>
      <c r="D73" s="5"/>
      <c r="E73" s="5"/>
      <c r="F73" s="5"/>
      <c r="G73" s="5"/>
      <c r="H73" s="5"/>
      <c r="I73" s="5"/>
      <c r="J73" s="5"/>
      <c r="K73" s="5"/>
      <c r="L73" s="2">
        <f>939</f>
        <v>939</v>
      </c>
      <c r="M73" s="2">
        <v>1041</v>
      </c>
      <c r="N73" s="2">
        <v>1091</v>
      </c>
      <c r="O73" s="2">
        <v>1119</v>
      </c>
      <c r="P73" s="2">
        <v>1281</v>
      </c>
    </row>
    <row r="74" spans="2:16" s="2" customFormat="1" x14ac:dyDescent="0.2">
      <c r="B74" s="2" t="s">
        <v>32</v>
      </c>
      <c r="C74" s="5"/>
      <c r="D74" s="5"/>
      <c r="E74" s="5"/>
      <c r="F74" s="5"/>
      <c r="G74" s="5"/>
      <c r="H74" s="5"/>
      <c r="I74" s="5"/>
      <c r="J74" s="5"/>
      <c r="K74" s="5"/>
      <c r="L74" s="2">
        <v>2037</v>
      </c>
      <c r="M74" s="2">
        <v>2223</v>
      </c>
      <c r="N74" s="2">
        <v>2234</v>
      </c>
      <c r="O74" s="2">
        <v>2541</v>
      </c>
      <c r="P74" s="2">
        <v>2966</v>
      </c>
    </row>
    <row r="75" spans="2:16" s="2" customFormat="1" x14ac:dyDescent="0.2">
      <c r="B75" s="2" t="s">
        <v>31</v>
      </c>
      <c r="C75" s="5"/>
      <c r="D75" s="5"/>
      <c r="E75" s="5"/>
      <c r="F75" s="5"/>
      <c r="G75" s="5"/>
      <c r="H75" s="5"/>
      <c r="I75" s="5"/>
      <c r="J75" s="5"/>
      <c r="K75" s="5"/>
      <c r="L75" s="2">
        <v>24520</v>
      </c>
      <c r="M75" s="2">
        <v>27501</v>
      </c>
      <c r="N75" s="2">
        <v>33265</v>
      </c>
      <c r="O75" s="2">
        <v>42978</v>
      </c>
      <c r="P75" s="2">
        <v>49142</v>
      </c>
    </row>
    <row r="76" spans="2:16" s="2" customFormat="1" x14ac:dyDescent="0.2">
      <c r="B76" s="2" t="s">
        <v>30</v>
      </c>
      <c r="C76" s="5"/>
      <c r="D76" s="5"/>
      <c r="E76" s="5"/>
      <c r="F76" s="5"/>
      <c r="G76" s="5"/>
      <c r="H76" s="5"/>
      <c r="I76" s="5"/>
      <c r="J76" s="5"/>
      <c r="K76" s="5"/>
      <c r="L76" s="2">
        <f t="shared" ref="L76" si="74">SUM(L70:L75)</f>
        <v>44460</v>
      </c>
      <c r="M76" s="2">
        <f>SUM(M70:M75)</f>
        <v>49555</v>
      </c>
      <c r="N76" s="2">
        <f>SUM(N70:N75)</f>
        <v>54148</v>
      </c>
      <c r="O76" s="2">
        <f>SUM(O70:O75)</f>
        <v>65728</v>
      </c>
      <c r="P76" s="2">
        <f>SUM(P70:P75)</f>
        <v>77072</v>
      </c>
    </row>
    <row r="77" spans="2:16" x14ac:dyDescent="0.2">
      <c r="L77" s="5"/>
      <c r="M77" s="2"/>
      <c r="N77" s="2"/>
    </row>
    <row r="78" spans="2:16" x14ac:dyDescent="0.2">
      <c r="B78" s="2" t="s">
        <v>8</v>
      </c>
      <c r="L78" s="5">
        <f>L48</f>
        <v>2043</v>
      </c>
      <c r="M78" s="5">
        <f>M48</f>
        <v>6188</v>
      </c>
      <c r="N78" s="5">
        <f>N48</f>
        <v>9243</v>
      </c>
      <c r="O78" s="5">
        <f>O48</f>
        <v>12285</v>
      </c>
      <c r="P78" s="5">
        <f>P48</f>
        <v>14881</v>
      </c>
    </row>
    <row r="79" spans="2:16" x14ac:dyDescent="0.2">
      <c r="B79" s="2" t="s">
        <v>53</v>
      </c>
      <c r="L79" s="5">
        <v>735</v>
      </c>
      <c r="M79" s="2">
        <f>1576-L79</f>
        <v>841</v>
      </c>
      <c r="N79" s="2">
        <f>2555-M79-L79</f>
        <v>979</v>
      </c>
      <c r="O79" s="2">
        <f>3549-N79-M79-L79</f>
        <v>994</v>
      </c>
      <c r="P79">
        <v>1011</v>
      </c>
    </row>
    <row r="80" spans="2:16" x14ac:dyDescent="0.2">
      <c r="B80" s="2" t="s">
        <v>55</v>
      </c>
      <c r="L80" s="5">
        <v>384</v>
      </c>
      <c r="M80" s="2">
        <f>749-L80</f>
        <v>365</v>
      </c>
      <c r="N80" s="2">
        <f>1121-M80-L80</f>
        <v>372</v>
      </c>
      <c r="O80" s="2">
        <f>1508-N80-M80-L80</f>
        <v>387</v>
      </c>
      <c r="P80">
        <v>410</v>
      </c>
    </row>
    <row r="81" spans="2:16" x14ac:dyDescent="0.2">
      <c r="B81" s="2" t="s">
        <v>56</v>
      </c>
      <c r="L81" s="5">
        <v>14</v>
      </c>
      <c r="M81" s="2">
        <f>-45-L81</f>
        <v>-59</v>
      </c>
      <c r="N81" s="2">
        <f>24-M81-L81</f>
        <v>69</v>
      </c>
      <c r="O81" s="2">
        <f>-238-N81-M81-L81</f>
        <v>-262</v>
      </c>
      <c r="P81">
        <v>-69</v>
      </c>
    </row>
    <row r="82" spans="2:16" x14ac:dyDescent="0.2">
      <c r="B82" s="2" t="s">
        <v>57</v>
      </c>
      <c r="L82" s="5">
        <v>-1135</v>
      </c>
      <c r="M82" s="2">
        <f>-1881-L82</f>
        <v>-746</v>
      </c>
      <c r="N82" s="2">
        <f>-2411-M82-L82</f>
        <v>-530</v>
      </c>
      <c r="O82" s="2">
        <f>-2489-N82-M82-L82</f>
        <v>-78</v>
      </c>
      <c r="P82">
        <v>-1577</v>
      </c>
    </row>
    <row r="83" spans="2:16" x14ac:dyDescent="0.2">
      <c r="B83" s="2" t="s">
        <v>46</v>
      </c>
      <c r="L83" s="5">
        <v>-34</v>
      </c>
      <c r="M83" s="2">
        <f>-102-L83</f>
        <v>-68</v>
      </c>
      <c r="N83" s="2">
        <f>-170-M83-L83</f>
        <v>-68</v>
      </c>
      <c r="O83" s="2">
        <f>-278-N83-M83-L83</f>
        <v>-108</v>
      </c>
      <c r="P83">
        <v>-145</v>
      </c>
    </row>
    <row r="84" spans="2:16" x14ac:dyDescent="0.2">
      <c r="B84" s="2" t="s">
        <v>58</v>
      </c>
      <c r="L84" s="5">
        <f>-252+566-215+11+689+105</f>
        <v>904</v>
      </c>
      <c r="M84" s="2">
        <f>-3239+861-592+789+2675+236-L84</f>
        <v>-174</v>
      </c>
      <c r="N84" s="2">
        <f>-4482+405-337+1250+953+208-M84-L84</f>
        <v>-2733</v>
      </c>
      <c r="O84" s="2">
        <f>-6172-98-1522+1531+2025+514-N84-M84-L84</f>
        <v>-1719</v>
      </c>
      <c r="P84">
        <f>-2366-577-726-22+4202+323</f>
        <v>834</v>
      </c>
    </row>
    <row r="85" spans="2:16" x14ac:dyDescent="0.2">
      <c r="B85" t="s">
        <v>54</v>
      </c>
      <c r="L85" s="5">
        <f>SUM(L78:L84)</f>
        <v>2911</v>
      </c>
      <c r="M85" s="5">
        <f>SUM(M78:M84)</f>
        <v>6347</v>
      </c>
      <c r="N85" s="5">
        <f>SUM(N78:N84)</f>
        <v>7332</v>
      </c>
      <c r="O85" s="5">
        <f>SUM(O78:O84)</f>
        <v>11499</v>
      </c>
      <c r="P85" s="5">
        <f>SUM(P78:P84)</f>
        <v>15345</v>
      </c>
    </row>
    <row r="86" spans="2:16" x14ac:dyDescent="0.2">
      <c r="L86" s="5"/>
      <c r="M86" s="2"/>
      <c r="N86" s="2"/>
    </row>
    <row r="87" spans="2:16" x14ac:dyDescent="0.2">
      <c r="B87" s="2" t="s">
        <v>59</v>
      </c>
      <c r="L87" s="5">
        <f>2512-2801-221</f>
        <v>-510</v>
      </c>
      <c r="M87" s="2">
        <f>5111-5343-L87-435</f>
        <v>-157</v>
      </c>
      <c r="N87" s="2">
        <f>8001-10688-M87-L87-872</f>
        <v>-2892</v>
      </c>
      <c r="O87" s="2">
        <f>9732+50-18211-N87-M87-L87-985</f>
        <v>-5855</v>
      </c>
      <c r="P87" s="2">
        <f>4004+149-9303-135</f>
        <v>-5285</v>
      </c>
    </row>
    <row r="88" spans="2:16" x14ac:dyDescent="0.2">
      <c r="B88" s="2" t="s">
        <v>60</v>
      </c>
      <c r="L88" s="5">
        <v>-248</v>
      </c>
      <c r="M88" s="2">
        <f>-537-L88</f>
        <v>-289</v>
      </c>
      <c r="N88" s="2">
        <f>-815-M88-L88</f>
        <v>-278</v>
      </c>
      <c r="O88" s="2">
        <f>-1069-N88-M88-L88</f>
        <v>-254</v>
      </c>
      <c r="P88" s="2">
        <v>-369</v>
      </c>
    </row>
    <row r="89" spans="2:16" x14ac:dyDescent="0.2">
      <c r="B89" s="2" t="s">
        <v>61</v>
      </c>
      <c r="L89" s="5">
        <v>-83</v>
      </c>
      <c r="M89" s="2">
        <f>-83-L89</f>
        <v>0</v>
      </c>
      <c r="N89" s="2">
        <f>-83-M89-L89</f>
        <v>0</v>
      </c>
      <c r="O89" s="2">
        <f>-83-N89-M89-L89</f>
        <v>0</v>
      </c>
      <c r="P89" s="2">
        <v>-39</v>
      </c>
    </row>
    <row r="90" spans="2:16" x14ac:dyDescent="0.2">
      <c r="B90" s="2" t="s">
        <v>62</v>
      </c>
      <c r="L90" s="5">
        <f>SUM(L87:L89)</f>
        <v>-841</v>
      </c>
      <c r="M90" s="5">
        <f>SUM(M87:M89)</f>
        <v>-446</v>
      </c>
      <c r="N90" s="5">
        <f>SUM(N87:N89)</f>
        <v>-3170</v>
      </c>
      <c r="O90" s="5">
        <f>SUM(O87:O89)</f>
        <v>-6109</v>
      </c>
      <c r="P90" s="5">
        <f>SUM(P87:P89)</f>
        <v>-5693</v>
      </c>
    </row>
    <row r="92" spans="2:16" x14ac:dyDescent="0.2">
      <c r="B92" s="2" t="s">
        <v>65</v>
      </c>
      <c r="L92" s="5">
        <f>246</f>
        <v>246</v>
      </c>
      <c r="M92" s="2">
        <f>247-L92</f>
        <v>1</v>
      </c>
      <c r="N92" s="2">
        <f>403-M92-L92</f>
        <v>156</v>
      </c>
      <c r="O92" s="2">
        <f>403-N92-M92-L92</f>
        <v>0</v>
      </c>
      <c r="P92">
        <v>285</v>
      </c>
    </row>
    <row r="93" spans="2:16" x14ac:dyDescent="0.2">
      <c r="B93" s="2" t="s">
        <v>66</v>
      </c>
      <c r="L93" s="5">
        <v>-507</v>
      </c>
      <c r="M93" s="2">
        <f>-1179-L93</f>
        <v>-672</v>
      </c>
      <c r="N93" s="2">
        <f>-1942-M93-L93</f>
        <v>-763</v>
      </c>
      <c r="O93" s="2">
        <f>-2783-N93-M93-L93</f>
        <v>-841</v>
      </c>
      <c r="P93">
        <v>-1752</v>
      </c>
    </row>
    <row r="94" spans="2:16" x14ac:dyDescent="0.2">
      <c r="B94" s="2" t="s">
        <v>67</v>
      </c>
      <c r="L94" s="5">
        <v>-99</v>
      </c>
      <c r="M94" s="2">
        <f>-199-L94</f>
        <v>-100</v>
      </c>
      <c r="N94" s="2">
        <f>-296-M94-L94</f>
        <v>-97</v>
      </c>
      <c r="O94" s="2">
        <f>-395-N94-M94-L94</f>
        <v>-99</v>
      </c>
      <c r="P94">
        <v>-98</v>
      </c>
    </row>
    <row r="95" spans="2:16" x14ac:dyDescent="0.2">
      <c r="B95" s="2" t="s">
        <v>69</v>
      </c>
      <c r="L95" s="5">
        <v>0</v>
      </c>
      <c r="M95" s="2">
        <f>-3067-L95</f>
        <v>-3067</v>
      </c>
      <c r="N95" s="2">
        <f>-6874-M95-L95</f>
        <v>-3807</v>
      </c>
      <c r="O95" s="2">
        <f>-9533-N95-M95-L95</f>
        <v>-2659</v>
      </c>
      <c r="P95">
        <v>-7740</v>
      </c>
    </row>
    <row r="96" spans="2:16" x14ac:dyDescent="0.2">
      <c r="B96" s="2" t="s">
        <v>34</v>
      </c>
      <c r="L96" s="5">
        <v>0</v>
      </c>
      <c r="M96" s="2">
        <f>-1250-L96</f>
        <v>-1250</v>
      </c>
      <c r="N96" s="2">
        <f>-1250-M96-L96</f>
        <v>0</v>
      </c>
      <c r="O96" s="2">
        <f>-1250-N96-M96-L96</f>
        <v>0</v>
      </c>
      <c r="P96">
        <v>0</v>
      </c>
    </row>
    <row r="97" spans="2:37" x14ac:dyDescent="0.2">
      <c r="B97" s="2" t="s">
        <v>68</v>
      </c>
      <c r="L97" s="5">
        <v>-20</v>
      </c>
      <c r="M97" s="2">
        <f>-31-L97</f>
        <v>-11</v>
      </c>
      <c r="N97" s="2">
        <f>-44-M97-L97</f>
        <v>-13</v>
      </c>
      <c r="O97" s="2">
        <f>-74-N97-M97-L97</f>
        <v>-30</v>
      </c>
      <c r="P97">
        <v>-40</v>
      </c>
    </row>
    <row r="98" spans="2:37" x14ac:dyDescent="0.2">
      <c r="B98" t="s">
        <v>64</v>
      </c>
      <c r="L98" s="5">
        <f>SUM(L92:L97)</f>
        <v>-380</v>
      </c>
      <c r="M98" s="5">
        <f>SUM(M92:M97)</f>
        <v>-5099</v>
      </c>
      <c r="N98" s="5">
        <f>SUM(N92:N97)</f>
        <v>-4524</v>
      </c>
      <c r="O98" s="5">
        <f>SUM(O92:O97)</f>
        <v>-3629</v>
      </c>
      <c r="P98" s="5">
        <f>SUM(P92:P97)</f>
        <v>-9345</v>
      </c>
    </row>
    <row r="99" spans="2:37" x14ac:dyDescent="0.2">
      <c r="B99" t="s">
        <v>63</v>
      </c>
      <c r="L99" s="5">
        <f>L98+L90+L85</f>
        <v>1690</v>
      </c>
      <c r="M99" s="5">
        <f>M98+M90+M85</f>
        <v>802</v>
      </c>
      <c r="N99" s="5">
        <f>N98+N90+N85</f>
        <v>-362</v>
      </c>
      <c r="O99" s="5">
        <f>O98+O90+O85</f>
        <v>1761</v>
      </c>
      <c r="P99" s="5">
        <f>P98+P90+P85</f>
        <v>307</v>
      </c>
    </row>
    <row r="101" spans="2:37" x14ac:dyDescent="0.2">
      <c r="B101" t="s">
        <v>70</v>
      </c>
      <c r="L101" s="5">
        <f>(L60/L38)*90</f>
        <v>51.056729699666299</v>
      </c>
      <c r="M101" s="5">
        <f>(M60/M38)*90</f>
        <v>47.082253646257499</v>
      </c>
      <c r="N101" s="5">
        <f>(N60/N38)*90</f>
        <v>41.269867549668874</v>
      </c>
      <c r="O101" s="5">
        <f>(O60/O38)*90</f>
        <v>40.714382662986928</v>
      </c>
      <c r="P101" s="5">
        <f>(P60/P38)*90</f>
        <v>42.729611426816156</v>
      </c>
    </row>
    <row r="103" spans="2:37" x14ac:dyDescent="0.2">
      <c r="B103" t="s">
        <v>148</v>
      </c>
      <c r="P103">
        <v>5.65</v>
      </c>
      <c r="Q103">
        <v>6.03</v>
      </c>
      <c r="R103">
        <v>6.58</v>
      </c>
      <c r="S103">
        <v>7.19</v>
      </c>
      <c r="AB103">
        <v>25.36</v>
      </c>
      <c r="AC103">
        <v>31.51</v>
      </c>
      <c r="AD103">
        <v>34.94</v>
      </c>
      <c r="AE103">
        <v>37.049999999999997</v>
      </c>
      <c r="AF103">
        <v>36.58</v>
      </c>
      <c r="AG103">
        <v>44.15</v>
      </c>
      <c r="AH103">
        <v>49.91</v>
      </c>
      <c r="AI103">
        <v>81.459999999999994</v>
      </c>
      <c r="AJ103">
        <v>92.67</v>
      </c>
      <c r="AK103">
        <v>105.45</v>
      </c>
    </row>
    <row r="104" spans="2:37" x14ac:dyDescent="0.2">
      <c r="B104" t="s">
        <v>149</v>
      </c>
      <c r="P104" s="14">
        <v>24.69</v>
      </c>
      <c r="Q104" s="14">
        <v>26.8</v>
      </c>
      <c r="R104" s="14">
        <v>29.36</v>
      </c>
      <c r="S104" s="14">
        <v>31.95</v>
      </c>
    </row>
  </sheetData>
  <phoneticPr fontId="2" type="noConversion"/>
  <hyperlinks>
    <hyperlink ref="A1" location="Main!A1" display="Main" xr:uid="{E7DD8E94-DC45-4471-BE1E-1C72A09BA9C6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C2DF-42DA-41EA-9376-8EEC08F9AC1D}">
  <dimension ref="A1:K24"/>
  <sheetViews>
    <sheetView zoomScale="175" zoomScaleNormal="175" workbookViewId="0">
      <selection activeCell="H10" sqref="H10"/>
    </sheetView>
  </sheetViews>
  <sheetFormatPr defaultRowHeight="12.75" x14ac:dyDescent="0.2"/>
  <cols>
    <col min="1" max="1" width="5" bestFit="1" customWidth="1"/>
    <col min="2" max="2" width="16.85546875" customWidth="1"/>
    <col min="6" max="6" width="11.85546875" bestFit="1" customWidth="1"/>
  </cols>
  <sheetData>
    <row r="1" spans="1:11" x14ac:dyDescent="0.2">
      <c r="A1" t="s">
        <v>0</v>
      </c>
    </row>
    <row r="4" spans="1:11" x14ac:dyDescent="0.2">
      <c r="B4" t="s">
        <v>150</v>
      </c>
      <c r="F4" t="s">
        <v>155</v>
      </c>
    </row>
    <row r="5" spans="1:11" x14ac:dyDescent="0.2">
      <c r="B5" t="s">
        <v>151</v>
      </c>
      <c r="C5">
        <v>24690</v>
      </c>
      <c r="F5" t="s">
        <v>151</v>
      </c>
      <c r="G5">
        <v>26820</v>
      </c>
    </row>
    <row r="6" spans="1:11" x14ac:dyDescent="0.2">
      <c r="B6" t="s">
        <v>152</v>
      </c>
      <c r="C6">
        <v>23520</v>
      </c>
    </row>
    <row r="7" spans="1:11" x14ac:dyDescent="0.2">
      <c r="B7" t="s">
        <v>153</v>
      </c>
      <c r="C7">
        <v>24480</v>
      </c>
    </row>
    <row r="10" spans="1:11" x14ac:dyDescent="0.2">
      <c r="B10" t="s">
        <v>154</v>
      </c>
      <c r="C10">
        <v>24690</v>
      </c>
      <c r="D10" s="10">
        <v>-0.1</v>
      </c>
      <c r="F10" t="s">
        <v>154</v>
      </c>
      <c r="G10">
        <v>26820</v>
      </c>
      <c r="H10" s="10">
        <v>-0.1</v>
      </c>
      <c r="K10" s="10">
        <f>+D10+H10</f>
        <v>-0.2</v>
      </c>
    </row>
    <row r="11" spans="1:11" x14ac:dyDescent="0.2">
      <c r="C11">
        <v>25000</v>
      </c>
      <c r="D11" s="10">
        <v>-0.05</v>
      </c>
      <c r="G11">
        <f>G10+500</f>
        <v>27320</v>
      </c>
      <c r="H11" s="10">
        <v>-0.05</v>
      </c>
    </row>
    <row r="12" spans="1:11" x14ac:dyDescent="0.2">
      <c r="C12" s="11">
        <v>25500</v>
      </c>
      <c r="D12" s="17">
        <v>-0.03</v>
      </c>
      <c r="E12" s="11"/>
      <c r="F12" s="11"/>
      <c r="G12" s="11">
        <f t="shared" ref="G12:G18" si="0">G11+500</f>
        <v>27820</v>
      </c>
      <c r="H12" s="17">
        <v>-0.03</v>
      </c>
    </row>
    <row r="13" spans="1:11" x14ac:dyDescent="0.2">
      <c r="C13" s="11">
        <v>26000</v>
      </c>
      <c r="D13" s="17">
        <v>-0.01</v>
      </c>
      <c r="E13" s="11"/>
      <c r="F13" s="11"/>
      <c r="G13" s="11">
        <f t="shared" si="0"/>
        <v>28320</v>
      </c>
      <c r="H13" s="17">
        <v>-0.01</v>
      </c>
    </row>
    <row r="14" spans="1:11" x14ac:dyDescent="0.2">
      <c r="C14" s="11">
        <v>26500</v>
      </c>
      <c r="D14" s="17">
        <v>0</v>
      </c>
      <c r="E14" s="11"/>
      <c r="F14" s="11"/>
      <c r="G14" s="11">
        <f t="shared" si="0"/>
        <v>28820</v>
      </c>
      <c r="H14" s="17">
        <v>0</v>
      </c>
    </row>
    <row r="15" spans="1:11" x14ac:dyDescent="0.2">
      <c r="C15" s="11">
        <v>27000</v>
      </c>
      <c r="D15" s="17">
        <v>0</v>
      </c>
      <c r="E15" s="11"/>
      <c r="F15" s="11"/>
      <c r="G15" s="11">
        <f t="shared" si="0"/>
        <v>29320</v>
      </c>
      <c r="H15" s="17">
        <v>0</v>
      </c>
    </row>
    <row r="16" spans="1:11" x14ac:dyDescent="0.2">
      <c r="C16" s="11">
        <v>27500</v>
      </c>
      <c r="D16" s="17">
        <v>0.03</v>
      </c>
      <c r="E16" s="11"/>
      <c r="F16" s="11"/>
      <c r="G16" s="11">
        <f t="shared" si="0"/>
        <v>29820</v>
      </c>
      <c r="H16" s="17">
        <v>0.03</v>
      </c>
    </row>
    <row r="17" spans="2:11" x14ac:dyDescent="0.2">
      <c r="C17">
        <v>28000</v>
      </c>
      <c r="D17" s="10">
        <v>0.05</v>
      </c>
      <c r="G17">
        <f t="shared" si="0"/>
        <v>30320</v>
      </c>
      <c r="H17" s="10">
        <v>0.05</v>
      </c>
    </row>
    <row r="18" spans="2:11" x14ac:dyDescent="0.2">
      <c r="C18">
        <v>28500</v>
      </c>
      <c r="D18" s="10">
        <v>0.1</v>
      </c>
      <c r="G18">
        <f t="shared" si="0"/>
        <v>30820</v>
      </c>
      <c r="H18" s="10">
        <v>0.1</v>
      </c>
      <c r="K18" s="10">
        <f>+H18+D18</f>
        <v>0.2</v>
      </c>
    </row>
    <row r="20" spans="2:11" x14ac:dyDescent="0.2">
      <c r="B20" t="s">
        <v>156</v>
      </c>
      <c r="C20" s="15">
        <v>954</v>
      </c>
    </row>
    <row r="21" spans="2:11" x14ac:dyDescent="0.2">
      <c r="B21" t="s">
        <v>157</v>
      </c>
      <c r="C21" s="15">
        <v>39</v>
      </c>
    </row>
    <row r="22" spans="2:11" x14ac:dyDescent="0.2">
      <c r="B22" t="s">
        <v>158</v>
      </c>
      <c r="C22" s="15">
        <v>40</v>
      </c>
    </row>
    <row r="23" spans="2:11" x14ac:dyDescent="0.2">
      <c r="B23" t="s">
        <v>159</v>
      </c>
      <c r="C23" s="15">
        <f>C21+C22</f>
        <v>79</v>
      </c>
    </row>
    <row r="24" spans="2:11" x14ac:dyDescent="0.2">
      <c r="C24" s="16">
        <f>C23/C20</f>
        <v>8.2809224318658281E-2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Quarterly Earnings 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2023-08-16T02:45:30Z</dcterms:created>
  <dcterms:modified xsi:type="dcterms:W3CDTF">2024-10-19T21:04:00Z</dcterms:modified>
</cp:coreProperties>
</file>