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799C7F45-0099-4FC6-BCC3-EE3577F2283C}" xr6:coauthVersionLast="47" xr6:coauthVersionMax="47" xr10:uidLastSave="{00000000-0000-0000-0000-000000000000}"/>
  <bookViews>
    <workbookView xWindow="-51390" yWindow="225" windowWidth="27930" windowHeight="20505" tabRatio="684" firstSheet="1" activeTab="5"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V4" i="7" l="1"/>
  <c r="BU4" i="7"/>
  <c r="BT4" i="7"/>
  <c r="BS4" i="7"/>
  <c r="BW105" i="7" l="1"/>
  <c r="BW114" i="7"/>
  <c r="BX105" i="7"/>
  <c r="BS28" i="7"/>
  <c r="BW28" i="7"/>
  <c r="BX114" i="7"/>
  <c r="BY105" i="7" l="1"/>
  <c r="BY114" i="7"/>
  <c r="BY116" i="7" s="1"/>
  <c r="BY119" i="7" s="1"/>
  <c r="BY121" i="7" s="1"/>
  <c r="BY123" i="7" s="1"/>
  <c r="BY125" i="7" s="1"/>
  <c r="BY126" i="7" s="1"/>
  <c r="CN138" i="7" l="1"/>
  <c r="CM138" i="7"/>
  <c r="CL138" i="7"/>
  <c r="CK138" i="7"/>
  <c r="CJ138" i="7"/>
  <c r="CI138" i="7"/>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DI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DI5" i="7"/>
  <c r="EZ5" i="7" s="1"/>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K116" i="7" s="1"/>
  <c r="CK119" i="7" s="1"/>
  <c r="CO105" i="7"/>
  <c r="CO114" i="7" s="1"/>
  <c r="CO131" i="7" s="1"/>
  <c r="CT143" i="7"/>
  <c r="CT142" i="7"/>
  <c r="CT141" i="7"/>
  <c r="CT140" i="7"/>
  <c r="CP124" i="7"/>
  <c r="CL105" i="7"/>
  <c r="CL114" i="7" s="1"/>
  <c r="CL130" i="7" s="1"/>
  <c r="CM105" i="7"/>
  <c r="CM114"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E127" i="7" s="1"/>
  <c r="DF127" i="7" s="1"/>
  <c r="DC105" i="7"/>
  <c r="CX114" i="7"/>
  <c r="CU120" i="7"/>
  <c r="CY120" i="7"/>
  <c r="BZ119" i="7" l="1"/>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CN116" i="7" s="1"/>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C125" i="7" l="1"/>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13"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J79"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5" i="7"/>
  <c r="EQ141" i="7" s="1"/>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1" i="7" l="1"/>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tc={92701E07-5169-41B3-B74F-F4AFE676C3F6}</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2"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3"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4"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3"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5"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6"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27"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28"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29"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0"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1"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2"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3"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4"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5"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6"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37"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38"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39"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0"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1"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2"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3"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4"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5"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46"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47"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4" authorId="48"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7" authorId="49"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0"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1"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5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5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9" authorId="56"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57"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58"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59"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0"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1"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2"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63"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64"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65"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66"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67"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68"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69"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0"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1"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2"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73"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74"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75"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76"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77"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78"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79"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0"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1"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2"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83"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84"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85"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86"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87"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88"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9" authorId="89"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0"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91"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<sst xmlns="http://schemas.openxmlformats.org/spreadsheetml/2006/main" count="3639" uniqueCount="1630">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</sst>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12">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1" fillId="0" borderId="0" xfId="0" applyNumberFormat="1" applyFont="1" applyFill="1" applyAlignment="1">
      <alignment horizontal="right"/>
    </xf>
    <xf numFmtId="0" fontId="0" fillId="0" borderId="0" xfId="0" applyFill="1" applyAlignment="1">
      <alignment horizontal="right"/>
    </xf>
    <xf numFmtId="0" fontId="1" fillId="0" borderId="0" xfId="0" applyFont="1" applyFill="1" applyAlignment="1">
      <alignment horizontal="right"/>
    </xf>
    <xf numFmtId="3" fontId="0" fillId="0" borderId="0" xfId="0" applyNumberFormat="1" applyFill="1" applyAlignment="1">
      <alignment horizontal="right"/>
    </xf>
    <xf numFmtId="3" fontId="7" fillId="0" borderId="0" xfId="0" applyNumberFormat="1" applyFont="1" applyFill="1" applyAlignment="1">
      <alignment horizontal="right"/>
    </xf>
    <xf numFmtId="4" fontId="7" fillId="0" borderId="0" xfId="0" applyNumberFormat="1" applyFont="1" applyFill="1" applyAlignment="1">
      <alignment horizontal="right"/>
    </xf>
    <xf numFmtId="164" fontId="0" fillId="0" borderId="0" xfId="0" applyNumberFormat="1" applyFill="1" applyAlignment="1">
      <alignment horizontal="right"/>
    </xf>
    <xf numFmtId="164" fontId="7" fillId="0" borderId="0" xfId="0" applyNumberFormat="1" applyFont="1" applyFill="1" applyAlignment="1">
      <alignment horizontal="right"/>
    </xf>
    <xf numFmtId="164" fontId="1" fillId="0" borderId="0" xfId="0" applyNumberFormat="1" applyFont="1" applyFill="1" applyAlignment="1">
      <alignment horizontal="right"/>
    </xf>
    <xf numFmtId="4" fontId="0" fillId="0" borderId="0" xfId="0" applyNumberFormat="1" applyFill="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FF114" dT="2023-01-31T15:08:31.46" personId="{8BD8153B-0117-43D0-8A87-E841916A0FE6}" id="{969812BA-06E1-416F-B0AC-89AE4AAFFFF7}">
    <text>84B guidance</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c r="C8" s="38" t="s">
        <v>1534</v>
      </c>
    </row>
    <row r="9" spans="1:3">
      <c r="C9" s="102" t="s">
        <v>1468</v>
      </c>
    </row>
    <row r="11" spans="1:3">
      <c r="C11" s="38" t="s">
        <v>1535</v>
      </c>
    </row>
    <row r="13" spans="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c r="C6" s="38" t="s">
        <v>1564</v>
      </c>
    </row>
    <row r="8" spans="1:3">
      <c r="C8" s="38" t="s">
        <v>1565</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c r="C6" s="38" t="s">
        <v>1551</v>
      </c>
    </row>
    <row r="8" spans="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election activeCell="D9" sqref="D9"/>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1542</v>
      </c>
      <c r="C25" s="150" t="s">
        <v>1543</v>
      </c>
      <c r="D25" s="150" t="s">
        <v>324</v>
      </c>
      <c r="E25" s="147">
        <v>1</v>
      </c>
      <c r="F25" s="150"/>
      <c r="G25" s="150"/>
      <c r="H25" s="153"/>
    </row>
    <row r="26" spans="2:10" s="118" customFormat="1">
      <c r="B26" s="156" t="s">
        <v>1544</v>
      </c>
      <c r="C26" s="150" t="s">
        <v>166</v>
      </c>
      <c r="D26" s="150" t="s">
        <v>1545</v>
      </c>
      <c r="E26" s="147">
        <v>1</v>
      </c>
      <c r="F26" s="150" t="s">
        <v>1546</v>
      </c>
      <c r="G26" s="150" t="s">
        <v>141</v>
      </c>
      <c r="H26" s="153"/>
    </row>
    <row r="27" spans="2:10" s="118" customFormat="1">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1566</v>
      </c>
    </row>
    <row r="31" spans="2:10" s="118" customFormat="1">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c r="B34" s="156" t="s">
        <v>1588</v>
      </c>
      <c r="C34" s="150"/>
      <c r="D34" s="150"/>
      <c r="E34" s="151">
        <v>1</v>
      </c>
      <c r="F34" s="148">
        <v>37270</v>
      </c>
      <c r="G34" s="150" t="s">
        <v>141</v>
      </c>
      <c r="H34" s="153"/>
    </row>
    <row r="35" spans="2:10" s="118" customFormat="1">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1521</v>
      </c>
      <c r="C44" s="150" t="s">
        <v>302</v>
      </c>
      <c r="D44" s="150" t="s">
        <v>1520</v>
      </c>
      <c r="E44" s="151">
        <v>1</v>
      </c>
      <c r="F44" s="150" t="s">
        <v>1519</v>
      </c>
      <c r="G44" s="150" t="s">
        <v>305</v>
      </c>
      <c r="H44" s="153"/>
      <c r="J44" s="102" t="s">
        <v>1567</v>
      </c>
    </row>
    <row r="45" spans="2:10">
      <c r="B45" s="192" t="s">
        <v>1415</v>
      </c>
      <c r="C45" s="150" t="s">
        <v>1593</v>
      </c>
      <c r="D45" s="150" t="s">
        <v>1427</v>
      </c>
      <c r="E45" s="150" t="s">
        <v>200</v>
      </c>
      <c r="F45" s="150" t="s">
        <v>1485</v>
      </c>
      <c r="G45" s="150" t="s">
        <v>141</v>
      </c>
      <c r="H45" s="193"/>
      <c r="J45" s="150" t="s">
        <v>1570</v>
      </c>
    </row>
    <row r="46" spans="2:10">
      <c r="B46" s="192" t="s">
        <v>1470</v>
      </c>
      <c r="C46" s="150" t="s">
        <v>1471</v>
      </c>
      <c r="D46" s="150" t="s">
        <v>1472</v>
      </c>
      <c r="E46" s="150" t="s">
        <v>200</v>
      </c>
      <c r="F46" s="150" t="s">
        <v>1586</v>
      </c>
      <c r="G46" s="150"/>
      <c r="H46" s="193"/>
    </row>
    <row r="47" spans="2:10">
      <c r="B47" s="156" t="s">
        <v>1382</v>
      </c>
      <c r="C47" s="150" t="s">
        <v>1384</v>
      </c>
      <c r="D47" s="150" t="s">
        <v>1383</v>
      </c>
      <c r="E47" s="151" t="s">
        <v>200</v>
      </c>
      <c r="F47" s="150"/>
      <c r="G47" s="150"/>
      <c r="H47" s="153"/>
    </row>
    <row r="48" spans="2:10">
      <c r="B48" s="192" t="s">
        <v>1549</v>
      </c>
      <c r="C48" s="150" t="s">
        <v>1547</v>
      </c>
      <c r="D48" s="150" t="s">
        <v>1548</v>
      </c>
      <c r="E48" s="151">
        <v>1</v>
      </c>
      <c r="F48" s="150" t="s">
        <v>114</v>
      </c>
      <c r="G48" s="150"/>
      <c r="H48" s="153"/>
    </row>
    <row r="49" spans="2:11">
      <c r="B49" s="192" t="s">
        <v>1553</v>
      </c>
      <c r="C49" s="150" t="s">
        <v>1554</v>
      </c>
      <c r="D49" s="150" t="s">
        <v>1548</v>
      </c>
      <c r="E49" s="151" t="s">
        <v>1555</v>
      </c>
      <c r="F49" s="150" t="s">
        <v>114</v>
      </c>
      <c r="G49" s="150"/>
      <c r="H49" s="153"/>
    </row>
    <row r="50" spans="2:11">
      <c r="B50" s="195" t="s">
        <v>1603</v>
      </c>
      <c r="C50" s="150" t="s">
        <v>1604</v>
      </c>
      <c r="D50" s="150"/>
      <c r="E50" s="151"/>
      <c r="F50" s="150"/>
      <c r="G50" s="150"/>
      <c r="H50" s="153"/>
    </row>
    <row r="51" spans="2:11">
      <c r="B51" s="156" t="s">
        <v>1493</v>
      </c>
      <c r="C51" s="150" t="s">
        <v>1494</v>
      </c>
      <c r="D51" s="150" t="s">
        <v>1496</v>
      </c>
      <c r="E51" s="151">
        <v>1</v>
      </c>
      <c r="F51" s="150" t="s">
        <v>136</v>
      </c>
      <c r="G51" s="150"/>
      <c r="H51" s="153"/>
    </row>
    <row r="52" spans="2:11">
      <c r="B52" s="156" t="s">
        <v>1492</v>
      </c>
      <c r="C52" s="150" t="s">
        <v>1494</v>
      </c>
      <c r="D52" s="150" t="s">
        <v>1495</v>
      </c>
      <c r="E52" s="151">
        <v>1</v>
      </c>
      <c r="F52" s="150" t="s">
        <v>136</v>
      </c>
      <c r="G52" s="150"/>
      <c r="H52" s="153"/>
    </row>
    <row r="53" spans="2:11">
      <c r="B53" s="156" t="s">
        <v>1512</v>
      </c>
      <c r="C53" s="150" t="s">
        <v>402</v>
      </c>
      <c r="D53" s="150" t="s">
        <v>1514</v>
      </c>
      <c r="E53" s="151" t="s">
        <v>1513</v>
      </c>
      <c r="F53" s="150" t="s">
        <v>136</v>
      </c>
      <c r="G53" s="150"/>
      <c r="H53" s="153"/>
    </row>
    <row r="54" spans="2:11" s="118" customFormat="1">
      <c r="B54" s="156" t="s">
        <v>1591</v>
      </c>
      <c r="C54" s="150" t="s">
        <v>1592</v>
      </c>
      <c r="D54" s="150" t="s">
        <v>1587</v>
      </c>
      <c r="E54" s="151"/>
      <c r="F54" s="150" t="s">
        <v>1590</v>
      </c>
      <c r="G54" s="150"/>
      <c r="H54" s="153"/>
    </row>
    <row r="55" spans="2:11" s="118" customFormat="1">
      <c r="B55" s="192" t="s">
        <v>1503</v>
      </c>
      <c r="C55" s="150" t="s">
        <v>1504</v>
      </c>
      <c r="D55" s="150" t="s">
        <v>324</v>
      </c>
      <c r="E55" s="151" t="s">
        <v>1505</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1498</v>
      </c>
      <c r="C57" s="150" t="s">
        <v>1499</v>
      </c>
      <c r="D57" s="150" t="s">
        <v>1501</v>
      </c>
      <c r="E57" s="151" t="s">
        <v>1500</v>
      </c>
      <c r="F57" s="150" t="s">
        <v>136</v>
      </c>
      <c r="G57" s="150"/>
      <c r="H57" s="153"/>
    </row>
    <row r="58" spans="2:11" s="118" customFormat="1">
      <c r="B58" s="156" t="s">
        <v>1597</v>
      </c>
      <c r="C58" s="150" t="s">
        <v>1598</v>
      </c>
      <c r="D58" s="150"/>
      <c r="E58" s="151"/>
      <c r="F58" s="150" t="s">
        <v>123</v>
      </c>
      <c r="G58" s="150"/>
      <c r="H58" s="153"/>
    </row>
    <row r="59" spans="2:11" s="118" customFormat="1">
      <c r="B59" s="156" t="s">
        <v>1599</v>
      </c>
      <c r="C59" s="150" t="s">
        <v>402</v>
      </c>
      <c r="D59" s="150" t="s">
        <v>1600</v>
      </c>
      <c r="E59" s="151"/>
      <c r="F59" s="150"/>
      <c r="G59" s="150"/>
      <c r="H59" s="153"/>
    </row>
    <row r="60" spans="2:11" s="118" customFormat="1">
      <c r="B60" s="156"/>
      <c r="C60" s="150" t="s">
        <v>1510</v>
      </c>
      <c r="D60" s="150" t="s">
        <v>1509</v>
      </c>
      <c r="E60" s="151" t="s">
        <v>1508</v>
      </c>
      <c r="F60" s="150" t="s">
        <v>1511</v>
      </c>
      <c r="G60" s="150"/>
      <c r="H60" s="153"/>
    </row>
    <row r="61" spans="2:11" s="118" customFormat="1">
      <c r="B61" s="156"/>
      <c r="C61" s="150" t="s">
        <v>1518</v>
      </c>
      <c r="D61" s="150" t="s">
        <v>324</v>
      </c>
      <c r="E61" s="151" t="s">
        <v>1403</v>
      </c>
      <c r="F61" s="150" t="s">
        <v>1511</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1627</v>
      </c>
    </row>
    <row r="81" spans="2:8" s="118" customFormat="1">
      <c r="B81"/>
      <c r="C81"/>
      <c r="D81"/>
      <c r="E81"/>
      <c r="F81" s="102" t="s">
        <v>1515</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tabSelected="1" showOutlineSymbols="0" zoomScale="145" zoomScaleNormal="145" workbookViewId="0">
      <pane xSplit="2" ySplit="2" topLeftCell="C66" activePane="bottomRight" state="frozen"/>
      <selection activeCell="CV111" sqref="CV111"/>
      <selection pane="topRight" activeCell="CV111" sqref="CV111"/>
      <selection pane="bottomLeft" activeCell="CV111" sqref="CV111"/>
      <selection pane="bottomRight" activeCell="C103" sqref="C103"/>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203" customWidth="1"/>
    <col min="72" max="74" width="7.140625" style="37" customWidth="1"/>
    <col min="75" max="75" width="7.140625" style="20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42578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204" t="s">
        <v>597</v>
      </c>
      <c r="BT2" s="62" t="s">
        <v>300</v>
      </c>
      <c r="BU2" s="62" t="s">
        <v>598</v>
      </c>
      <c r="BV2" s="62" t="s">
        <v>599</v>
      </c>
      <c r="BW2" s="204"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202">
        <v>37</v>
      </c>
      <c r="BP4" s="202">
        <v>57</v>
      </c>
      <c r="BQ4" s="202">
        <v>75</v>
      </c>
      <c r="BR4" s="202">
        <v>97</v>
      </c>
      <c r="BS4" s="202">
        <f>+BR4+40</f>
        <v>137</v>
      </c>
      <c r="BT4" s="202">
        <f>+BS4+40</f>
        <v>177</v>
      </c>
      <c r="BU4" s="202">
        <f>+BT4+40</f>
        <v>217</v>
      </c>
      <c r="BV4" s="202">
        <f>+BU4+40</f>
        <v>257</v>
      </c>
      <c r="BW4" s="202">
        <v>300</v>
      </c>
      <c r="BX4" s="202">
        <v>350</v>
      </c>
      <c r="BY4" s="202">
        <v>350</v>
      </c>
      <c r="BZ4" s="20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202">
        <v>927</v>
      </c>
      <c r="BT5" s="68">
        <v>1097</v>
      </c>
      <c r="BU5" s="68">
        <v>1139</v>
      </c>
      <c r="BV5" s="68">
        <v>1301</v>
      </c>
      <c r="BW5" s="20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f>+DE5*1.01</f>
        <v>1872.54</v>
      </c>
      <c r="DJ5" s="122">
        <f>+DF5*1.01</f>
        <v>1621.05</v>
      </c>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4464</v>
      </c>
      <c r="EQ5" s="68">
        <f>EP5*1.04</f>
        <v>4642.5600000000004</v>
      </c>
      <c r="ER5" s="68"/>
      <c r="ES5" s="68"/>
      <c r="ET5" s="68"/>
      <c r="EU5" s="44">
        <f>SUM(CM5:CP5)</f>
        <v>5847</v>
      </c>
      <c r="EV5" s="44">
        <f t="shared" si="3"/>
        <v>5850</v>
      </c>
      <c r="EW5" s="44">
        <f t="shared" si="4"/>
        <v>5274</v>
      </c>
      <c r="EX5" s="44">
        <f t="shared" si="5"/>
        <v>6337</v>
      </c>
      <c r="EY5" s="44">
        <f t="shared" si="6"/>
        <v>6449</v>
      </c>
      <c r="EZ5" s="68">
        <f>SUM(DG5:DJ5)</f>
        <v>6543.59</v>
      </c>
      <c r="FA5" s="68">
        <f t="shared" ref="FA5:FK5" si="10">+EZ5*1.01</f>
        <v>6609.0259000000005</v>
      </c>
      <c r="FB5" s="68">
        <f t="shared" si="10"/>
        <v>6675.1161590000011</v>
      </c>
      <c r="FC5" s="68">
        <f t="shared" si="10"/>
        <v>6741.8673205900013</v>
      </c>
      <c r="FD5" s="68">
        <f t="shared" si="10"/>
        <v>6809.285993795901</v>
      </c>
      <c r="FE5" s="68">
        <f t="shared" si="10"/>
        <v>6877.3788537338605</v>
      </c>
      <c r="FF5" s="68">
        <f t="shared" si="10"/>
        <v>6946.1526422711995</v>
      </c>
      <c r="FG5" s="68">
        <f t="shared" si="10"/>
        <v>7015.6141686939118</v>
      </c>
      <c r="FH5" s="68">
        <f t="shared" si="10"/>
        <v>7085.7703103808508</v>
      </c>
      <c r="FI5" s="68">
        <f t="shared" si="10"/>
        <v>7156.6280134846593</v>
      </c>
      <c r="FJ5" s="68">
        <f t="shared" si="10"/>
        <v>7228.1942936195055</v>
      </c>
      <c r="FK5" s="68">
        <f t="shared" si="10"/>
        <v>7300.4762365557008</v>
      </c>
      <c r="FL5" s="68"/>
      <c r="FM5" s="68"/>
      <c r="FN5" s="68"/>
      <c r="FO5" s="68"/>
      <c r="FP5" s="68"/>
      <c r="FQ5" s="83">
        <f>EL5*0.7</f>
        <v>2568.2999999999997</v>
      </c>
      <c r="FR5" s="68">
        <f>EQ5*0.7</f>
        <v>3249.7919999999999</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22">
        <v>0</v>
      </c>
      <c r="CL6" s="122">
        <v>0</v>
      </c>
      <c r="CM6" s="122">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20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202">
        <v>52</v>
      </c>
      <c r="BT9" s="68">
        <v>68</v>
      </c>
      <c r="BU9" s="68">
        <v>85</v>
      </c>
      <c r="BV9" s="68">
        <v>104</v>
      </c>
      <c r="BW9" s="20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202">
        <v>914</v>
      </c>
      <c r="BT10" s="68">
        <v>977</v>
      </c>
      <c r="BU10" s="68">
        <v>955</v>
      </c>
      <c r="BV10" s="202">
        <v>1004</v>
      </c>
      <c r="BW10" s="20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205">
        <v>88</v>
      </c>
      <c r="BT13" s="44">
        <v>101</v>
      </c>
      <c r="BU13" s="44">
        <v>102</v>
      </c>
      <c r="BV13" s="44">
        <v>119</v>
      </c>
      <c r="BW13" s="20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410</v>
      </c>
      <c r="EQ13" s="68"/>
      <c r="ER13" s="68"/>
      <c r="ES13" s="68"/>
      <c r="ET13" s="68"/>
      <c r="EU13" s="44">
        <f t="shared" si="11"/>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205">
        <v>88</v>
      </c>
      <c r="BT16" s="44">
        <v>92</v>
      </c>
      <c r="BU16" s="44">
        <v>90</v>
      </c>
      <c r="BV16" s="44">
        <v>85</v>
      </c>
      <c r="BW16" s="20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1"/>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f>+DE17</f>
        <v>375</v>
      </c>
      <c r="DJ17" s="115">
        <f>+DF17</f>
        <v>515</v>
      </c>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205"/>
      <c r="BT18" s="44"/>
      <c r="BU18" s="44"/>
      <c r="BV18" s="44"/>
      <c r="BW18" s="20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205"/>
      <c r="BT19" s="44"/>
      <c r="BU19" s="44"/>
      <c r="BV19" s="44"/>
      <c r="BW19" s="20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205"/>
      <c r="BT20" s="44"/>
      <c r="BU20" s="44"/>
      <c r="BV20" s="44"/>
      <c r="BW20" s="20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205"/>
      <c r="BT21" s="44"/>
      <c r="BU21" s="44"/>
      <c r="BV21" s="44"/>
      <c r="BW21" s="20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205">
        <v>88</v>
      </c>
      <c r="BT22" s="44">
        <v>108</v>
      </c>
      <c r="BU22" s="44">
        <v>112</v>
      </c>
      <c r="BV22" s="44">
        <v>129</v>
      </c>
      <c r="BW22" s="20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1"/>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205">
        <v>92</v>
      </c>
      <c r="BT23" s="44">
        <v>76</v>
      </c>
      <c r="BU23" s="44">
        <v>67</v>
      </c>
      <c r="BV23" s="44">
        <v>78</v>
      </c>
      <c r="BW23" s="20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1"/>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205"/>
      <c r="BT24" s="44"/>
      <c r="BU24" s="44"/>
      <c r="BV24" s="44"/>
      <c r="BW24" s="20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205"/>
      <c r="BT25" s="44"/>
      <c r="BU25" s="44"/>
      <c r="BV25" s="44"/>
      <c r="BW25" s="20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202">
        <v>268</v>
      </c>
      <c r="BT27" s="68">
        <v>310</v>
      </c>
      <c r="BU27" s="68">
        <v>287</v>
      </c>
      <c r="BV27" s="68">
        <v>310</v>
      </c>
      <c r="BW27" s="20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1"/>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205">
        <f>201</f>
        <v>201</v>
      </c>
      <c r="BT28" s="44">
        <f>227+171</f>
        <v>398</v>
      </c>
      <c r="BU28" s="44">
        <v>212</v>
      </c>
      <c r="BV28" s="44">
        <v>216</v>
      </c>
      <c r="BW28" s="20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1"/>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202"/>
      <c r="BT29" s="68"/>
      <c r="BU29" s="68"/>
      <c r="BV29" s="68"/>
      <c r="BW29" s="20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205">
        <v>248</v>
      </c>
      <c r="BT31" s="44">
        <v>274</v>
      </c>
      <c r="BU31" s="44">
        <v>264</v>
      </c>
      <c r="BV31" s="44">
        <v>290</v>
      </c>
      <c r="BW31" s="20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1"/>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205">
        <v>166</v>
      </c>
      <c r="BT32" s="44">
        <v>194</v>
      </c>
      <c r="BU32" s="44">
        <v>173</v>
      </c>
      <c r="BV32" s="44">
        <v>190</v>
      </c>
      <c r="BW32" s="20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1"/>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205">
        <v>106</v>
      </c>
      <c r="BT33" s="44">
        <v>115</v>
      </c>
      <c r="BU33" s="44">
        <v>101</v>
      </c>
      <c r="BV33" s="44">
        <v>105</v>
      </c>
      <c r="BW33" s="20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1"/>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205"/>
      <c r="BT34" s="44"/>
      <c r="BU34" s="44"/>
      <c r="BV34" s="44"/>
      <c r="BW34" s="20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205">
        <v>81</v>
      </c>
      <c r="BT36" s="44">
        <v>95</v>
      </c>
      <c r="BU36" s="44">
        <v>90</v>
      </c>
      <c r="BV36" s="44">
        <v>98</v>
      </c>
      <c r="BW36" s="20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1"/>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205">
        <v>50</v>
      </c>
      <c r="BT37" s="44">
        <v>59</v>
      </c>
      <c r="BU37" s="44">
        <v>59</v>
      </c>
      <c r="BV37" s="44">
        <v>61</v>
      </c>
      <c r="BW37" s="20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1"/>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205" t="s">
        <v>605</v>
      </c>
      <c r="BT38" s="44">
        <v>51</v>
      </c>
      <c r="BU38" s="44">
        <v>56</v>
      </c>
      <c r="BV38" s="44">
        <v>81</v>
      </c>
      <c r="BW38" s="20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1"/>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205">
        <v>145</v>
      </c>
      <c r="BT41" s="44">
        <v>171</v>
      </c>
      <c r="BU41" s="44">
        <v>160</v>
      </c>
      <c r="BV41" s="44">
        <v>154</v>
      </c>
      <c r="BW41" s="20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205">
        <v>177</v>
      </c>
      <c r="BT42" s="44">
        <v>221</v>
      </c>
      <c r="BU42" s="44">
        <v>174</v>
      </c>
      <c r="BV42" s="44">
        <v>183</v>
      </c>
      <c r="BW42" s="20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1"/>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205"/>
      <c r="BT43" s="44"/>
      <c r="BU43" s="44"/>
      <c r="BV43" s="44"/>
      <c r="BW43" s="20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1"/>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205"/>
      <c r="BT44" s="44"/>
      <c r="BU44" s="44"/>
      <c r="BV44" s="44"/>
      <c r="BW44" s="20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205"/>
      <c r="BT45" s="44"/>
      <c r="BU45" s="44"/>
      <c r="BV45" s="44"/>
      <c r="BW45" s="20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205">
        <v>63</v>
      </c>
      <c r="BT46" s="44">
        <v>79</v>
      </c>
      <c r="BU46" s="44">
        <v>69</v>
      </c>
      <c r="BV46" s="44">
        <v>77</v>
      </c>
      <c r="BW46" s="20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1"/>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205"/>
      <c r="BT50" s="44"/>
      <c r="BU50" s="44">
        <v>0</v>
      </c>
      <c r="BV50" s="44"/>
      <c r="BW50" s="20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205"/>
      <c r="BT55" s="44"/>
      <c r="BU55" s="44"/>
      <c r="BV55" s="44"/>
      <c r="BW55" s="20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205">
        <v>147</v>
      </c>
      <c r="BT56" s="44">
        <v>170</v>
      </c>
      <c r="BU56" s="44">
        <v>158</v>
      </c>
      <c r="BV56" s="44">
        <v>172</v>
      </c>
      <c r="BW56" s="20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1"/>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205">
        <v>321</v>
      </c>
      <c r="BT57" s="44">
        <v>348</v>
      </c>
      <c r="BU57" s="44">
        <v>339</v>
      </c>
      <c r="BV57" s="44">
        <v>343</v>
      </c>
      <c r="BW57" s="20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1"/>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205">
        <f>172+82</f>
        <v>254</v>
      </c>
      <c r="BT58" s="44">
        <f>198+96</f>
        <v>294</v>
      </c>
      <c r="BU58" s="44">
        <f>178+86</f>
        <v>264</v>
      </c>
      <c r="BV58" s="44">
        <f>80+189</f>
        <v>269</v>
      </c>
      <c r="BW58" s="20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1"/>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205">
        <v>74</v>
      </c>
      <c r="BT59" s="44">
        <v>82</v>
      </c>
      <c r="BU59" s="44">
        <v>85</v>
      </c>
      <c r="BV59" s="44">
        <v>82</v>
      </c>
      <c r="BW59" s="20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1"/>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205"/>
      <c r="BT60" s="44"/>
      <c r="BU60" s="44"/>
      <c r="BV60" s="44"/>
      <c r="BW60" s="20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205">
        <v>63</v>
      </c>
      <c r="BT61" s="44">
        <v>89</v>
      </c>
      <c r="BU61" s="44">
        <v>79</v>
      </c>
      <c r="BV61" s="44">
        <v>64</v>
      </c>
      <c r="BW61" s="20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1"/>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205">
        <v>624</v>
      </c>
      <c r="BT62" s="44">
        <v>762</v>
      </c>
      <c r="BU62" s="44">
        <v>764</v>
      </c>
      <c r="BV62" s="44">
        <v>550</v>
      </c>
      <c r="BW62" s="20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1"/>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205">
        <v>119</v>
      </c>
      <c r="BT63" s="44">
        <v>128</v>
      </c>
      <c r="BU63" s="44">
        <v>124</v>
      </c>
      <c r="BV63" s="44">
        <v>124</v>
      </c>
      <c r="BW63" s="20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1"/>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205"/>
      <c r="BT64" s="44">
        <v>57</v>
      </c>
      <c r="BU64" s="44"/>
      <c r="BV64" s="44"/>
      <c r="BW64" s="20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1"/>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205">
        <v>101</v>
      </c>
      <c r="BT65" s="44">
        <v>104</v>
      </c>
      <c r="BU65" s="44">
        <v>104</v>
      </c>
      <c r="BV65" s="44">
        <v>113</v>
      </c>
      <c r="BW65" s="20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1"/>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205">
        <v>74</v>
      </c>
      <c r="BT66" s="44">
        <v>75</v>
      </c>
      <c r="BU66" s="44"/>
      <c r="BV66" s="44"/>
      <c r="BW66" s="20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1"/>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205">
        <v>87</v>
      </c>
      <c r="BT67" s="44">
        <v>98</v>
      </c>
      <c r="BU67" s="44">
        <v>92</v>
      </c>
      <c r="BV67" s="44">
        <v>105</v>
      </c>
      <c r="BW67" s="20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1"/>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202">
        <v>457</v>
      </c>
      <c r="BT68" s="68">
        <v>543</v>
      </c>
      <c r="BU68" s="68">
        <v>490</v>
      </c>
      <c r="BV68" s="68">
        <v>572</v>
      </c>
      <c r="BW68" s="20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1"/>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205">
        <v>374</v>
      </c>
      <c r="BT69" s="44">
        <v>427</v>
      </c>
      <c r="BU69" s="44">
        <f>299+128</f>
        <v>427</v>
      </c>
      <c r="BV69" s="44">
        <f>122+342</f>
        <v>464</v>
      </c>
      <c r="BW69" s="20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1"/>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202">
        <v>278</v>
      </c>
      <c r="BT70" s="68">
        <v>282</v>
      </c>
      <c r="BU70" s="68">
        <v>270</v>
      </c>
      <c r="BV70" s="68">
        <v>282</v>
      </c>
      <c r="BW70" s="20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1"/>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202"/>
      <c r="BT71" s="68"/>
      <c r="BU71" s="68"/>
      <c r="BV71" s="68"/>
      <c r="BW71" s="20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205">
        <v>76</v>
      </c>
      <c r="BT72" s="44">
        <v>68</v>
      </c>
      <c r="BU72" s="44">
        <v>64</v>
      </c>
      <c r="BV72" s="44">
        <v>67</v>
      </c>
      <c r="BW72" s="20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1"/>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205">
        <v>66</v>
      </c>
      <c r="BT73" s="44">
        <v>68</v>
      </c>
      <c r="BU73" s="44">
        <v>64</v>
      </c>
      <c r="BV73" s="44">
        <v>64</v>
      </c>
      <c r="BW73" s="20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1"/>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205">
        <v>88</v>
      </c>
      <c r="BT74" s="44">
        <v>87</v>
      </c>
      <c r="BU74" s="44">
        <v>96</v>
      </c>
      <c r="BV74" s="44">
        <v>69</v>
      </c>
      <c r="BW74" s="20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1"/>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205" t="s">
        <v>605</v>
      </c>
      <c r="BT75" s="44" t="s">
        <v>605</v>
      </c>
      <c r="BU75" s="44"/>
      <c r="BV75" s="44"/>
      <c r="BW75" s="20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1"/>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205" t="s">
        <v>605</v>
      </c>
      <c r="BT76" s="44" t="s">
        <v>605</v>
      </c>
      <c r="BU76" s="44"/>
      <c r="BV76" s="44"/>
      <c r="BW76" s="20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1"/>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205">
        <v>50</v>
      </c>
      <c r="BT77" s="44" t="s">
        <v>605</v>
      </c>
      <c r="BU77" s="44"/>
      <c r="BV77" s="44"/>
      <c r="BW77" s="20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1"/>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205" t="s">
        <v>605</v>
      </c>
      <c r="BT78" s="44" t="s">
        <v>605</v>
      </c>
      <c r="BU78" s="44"/>
      <c r="BV78" s="44"/>
      <c r="BW78" s="20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1"/>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205">
        <v>49</v>
      </c>
      <c r="BT79" s="44">
        <v>58</v>
      </c>
      <c r="BU79" s="44">
        <v>51</v>
      </c>
      <c r="BV79" s="44">
        <v>52</v>
      </c>
      <c r="BW79" s="20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1"/>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205">
        <v>52</v>
      </c>
      <c r="BT80" s="44">
        <v>46</v>
      </c>
      <c r="BU80" s="44"/>
      <c r="BV80" s="44">
        <v>76</v>
      </c>
      <c r="BW80" s="20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1"/>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202">
        <v>1150</v>
      </c>
      <c r="BT81" s="68">
        <v>1315</v>
      </c>
      <c r="BU81" s="68">
        <f>464+854</f>
        <v>1318</v>
      </c>
      <c r="BV81" s="68">
        <f>903+482</f>
        <v>1385</v>
      </c>
      <c r="BW81" s="20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1"/>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205">
        <v>59</v>
      </c>
      <c r="BT82" s="44">
        <v>68</v>
      </c>
      <c r="BU82" s="44">
        <v>63</v>
      </c>
      <c r="BV82" s="44">
        <v>63</v>
      </c>
      <c r="BW82" s="20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1"/>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205">
        <v>46</v>
      </c>
      <c r="BT83" s="44">
        <v>54</v>
      </c>
      <c r="BU83" s="44">
        <v>52</v>
      </c>
      <c r="BV83" s="44">
        <v>29</v>
      </c>
      <c r="BW83" s="20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1"/>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205" t="s">
        <v>605</v>
      </c>
      <c r="BT84" s="44" t="s">
        <v>605</v>
      </c>
      <c r="BU84" s="44" t="str">
        <f t="shared" ref="BU84:BU87" si="120">+BQ84</f>
        <v>-</v>
      </c>
      <c r="BV84" s="44" t="str">
        <f t="shared" ref="BV84:BV87" si="121">+BR84</f>
        <v>-</v>
      </c>
      <c r="BW84" s="20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1"/>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205" t="s">
        <v>605</v>
      </c>
      <c r="BT85" s="44">
        <v>50</v>
      </c>
      <c r="BU85" s="44" t="str">
        <f t="shared" si="120"/>
        <v>-</v>
      </c>
      <c r="BV85" s="44" t="str">
        <f t="shared" si="121"/>
        <v>-</v>
      </c>
      <c r="BW85" s="20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1"/>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205">
        <v>61</v>
      </c>
      <c r="BT86" s="44">
        <v>62</v>
      </c>
      <c r="BU86" s="44">
        <f t="shared" si="120"/>
        <v>53</v>
      </c>
      <c r="BV86" s="44">
        <f t="shared" si="121"/>
        <v>69</v>
      </c>
      <c r="BW86" s="20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205" t="s">
        <v>605</v>
      </c>
      <c r="BT87" s="44" t="s">
        <v>605</v>
      </c>
      <c r="BU87" s="44">
        <f t="shared" si="120"/>
        <v>50</v>
      </c>
      <c r="BV87" s="44" t="str">
        <f t="shared" si="121"/>
        <v>-</v>
      </c>
      <c r="BW87" s="20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205">
        <v>53</v>
      </c>
      <c r="BT88" s="44">
        <v>40</v>
      </c>
      <c r="BU88" s="44">
        <v>54</v>
      </c>
      <c r="BV88" s="44">
        <v>54</v>
      </c>
      <c r="BW88" s="20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205"/>
      <c r="BT89" s="44"/>
      <c r="BU89" s="44"/>
      <c r="BV89" s="44">
        <v>40</v>
      </c>
      <c r="BW89" s="20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202"/>
      <c r="BT90" s="68" t="s">
        <v>605</v>
      </c>
      <c r="BU90" s="68" t="s">
        <v>605</v>
      </c>
      <c r="BV90" s="68" t="s">
        <v>605</v>
      </c>
      <c r="BW90" s="20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202"/>
      <c r="BT91" s="70" t="s">
        <v>605</v>
      </c>
      <c r="BU91" s="70" t="s">
        <v>605</v>
      </c>
      <c r="BV91" s="70" t="s">
        <v>605</v>
      </c>
      <c r="BW91" s="20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202"/>
      <c r="BT92" s="70" t="s">
        <v>605</v>
      </c>
      <c r="BU92" s="70" t="s">
        <v>605</v>
      </c>
      <c r="BV92" s="70" t="s">
        <v>605</v>
      </c>
      <c r="BW92" s="20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t="s">
        <v>605</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202"/>
      <c r="BT93" s="70" t="s">
        <v>605</v>
      </c>
      <c r="BU93" s="70" t="s">
        <v>605</v>
      </c>
      <c r="BV93" s="70" t="s">
        <v>605</v>
      </c>
      <c r="BW93" s="20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202"/>
      <c r="BT94" s="70" t="s">
        <v>605</v>
      </c>
      <c r="BU94" s="70" t="s">
        <v>605</v>
      </c>
      <c r="BV94" s="70" t="s">
        <v>605</v>
      </c>
      <c r="BW94" s="20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202"/>
      <c r="BT95" s="68" t="s">
        <v>605</v>
      </c>
      <c r="BU95" s="68" t="s">
        <v>605</v>
      </c>
      <c r="BV95" s="68" t="s">
        <v>605</v>
      </c>
      <c r="BW95" s="20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202"/>
      <c r="BT96" s="70" t="s">
        <v>605</v>
      </c>
      <c r="BU96" s="70" t="s">
        <v>605</v>
      </c>
      <c r="BV96" s="70" t="s">
        <v>605</v>
      </c>
      <c r="BW96" s="20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202"/>
      <c r="BT97" s="70" t="s">
        <v>605</v>
      </c>
      <c r="BU97" s="70" t="s">
        <v>605</v>
      </c>
      <c r="BV97" s="70" t="s">
        <v>605</v>
      </c>
      <c r="BW97" s="20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205"/>
      <c r="BT98" s="44"/>
      <c r="BU98" s="44"/>
      <c r="BV98" s="44"/>
      <c r="BW98" s="20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205"/>
      <c r="BT99" s="44"/>
      <c r="BU99" s="44"/>
      <c r="BV99" s="44"/>
      <c r="BW99" s="20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205"/>
      <c r="BT100" s="44"/>
      <c r="BU100" s="44">
        <v>50</v>
      </c>
      <c r="BV100" s="44">
        <v>68</v>
      </c>
      <c r="BW100" s="20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205"/>
      <c r="BT101" s="44"/>
      <c r="BU101" s="44"/>
      <c r="BV101" s="44"/>
      <c r="BW101" s="20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205"/>
      <c r="BT102" s="44"/>
      <c r="BU102" s="44"/>
      <c r="BV102" s="44"/>
      <c r="BW102" s="20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205"/>
      <c r="BT103" s="44"/>
      <c r="BU103" s="44">
        <v>121</v>
      </c>
      <c r="BV103" s="44">
        <v>83</v>
      </c>
      <c r="BW103" s="20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205"/>
      <c r="BT104" s="44"/>
      <c r="BU104" s="44"/>
      <c r="BV104" s="44"/>
      <c r="BW104" s="20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205">
        <f>1884+113-57</f>
        <v>1940</v>
      </c>
      <c r="BT105" s="44">
        <f>1802+134-71</f>
        <v>1865</v>
      </c>
      <c r="BU105" s="44">
        <f>105+50+1878+121</f>
        <v>2154</v>
      </c>
      <c r="BV105" s="44">
        <f>1377+127</f>
        <v>1504</v>
      </c>
      <c r="BW105" s="20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205"/>
      <c r="BT106" s="44"/>
      <c r="BU106" s="44"/>
      <c r="BV106" s="44">
        <v>495</v>
      </c>
      <c r="BW106" s="20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205"/>
      <c r="BT107" s="44"/>
      <c r="BU107" s="44"/>
      <c r="BV107" s="44"/>
      <c r="BW107" s="20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205"/>
      <c r="BT108" s="44"/>
      <c r="BU108" s="44"/>
      <c r="BV108" s="44"/>
      <c r="BW108" s="20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205"/>
      <c r="BT109" s="44"/>
      <c r="BU109" s="44"/>
      <c r="BV109" s="44"/>
      <c r="BW109" s="20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205">
        <v>761</v>
      </c>
      <c r="BT110" s="44">
        <v>912</v>
      </c>
      <c r="BU110" s="44">
        <v>821</v>
      </c>
      <c r="BV110" s="44">
        <v>953</v>
      </c>
      <c r="BW110" s="20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205"/>
      <c r="BT111" s="44"/>
      <c r="BU111" s="44"/>
      <c r="BV111" s="44"/>
      <c r="BW111" s="20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205">
        <v>213</v>
      </c>
      <c r="BT112" s="44">
        <v>235</v>
      </c>
      <c r="BU112" s="44">
        <f>209+24</f>
        <v>233</v>
      </c>
      <c r="BV112" s="44">
        <f>+BU112</f>
        <v>233</v>
      </c>
      <c r="BW112" s="20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205"/>
      <c r="BT113" s="44"/>
      <c r="BU113" s="44"/>
      <c r="BV113" s="44"/>
      <c r="BW113" s="20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206">
        <f>SUM(BS5:BS113)</f>
        <v>11391</v>
      </c>
      <c r="BT114" s="45">
        <f t="shared" si="143"/>
        <v>12873</v>
      </c>
      <c r="BU114" s="45">
        <f t="shared" si="143"/>
        <v>12635</v>
      </c>
      <c r="BV114" s="45">
        <f t="shared" si="143"/>
        <v>13029</v>
      </c>
      <c r="BW114" s="206">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H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13233</v>
      </c>
      <c r="DF114" s="121">
        <f t="shared" si="146"/>
        <v>14249</v>
      </c>
      <c r="DG114" s="121">
        <f t="shared" si="146"/>
        <v>14881</v>
      </c>
      <c r="DH114" s="121">
        <f t="shared" si="146"/>
        <v>12991</v>
      </c>
      <c r="DI114" s="121"/>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41980.55</v>
      </c>
      <c r="ER114" s="45">
        <f t="shared" si="148"/>
        <v>30661.736100000002</v>
      </c>
      <c r="ES114" s="45">
        <f t="shared" si="148"/>
        <v>28686.105127000006</v>
      </c>
      <c r="ET114" s="45">
        <f t="shared" si="148"/>
        <v>23536.937077200007</v>
      </c>
      <c r="EU114" s="45">
        <f t="shared" ref="EU114:FK114" si="149">SUM(EU3:EU113)</f>
        <v>51460</v>
      </c>
      <c r="EV114" s="45">
        <f t="shared" si="149"/>
        <v>45738</v>
      </c>
      <c r="EW114" s="45">
        <f t="shared" si="149"/>
        <v>81341.600000000006</v>
      </c>
      <c r="EX114" s="45">
        <f t="shared" si="149"/>
        <v>100043.99999999999</v>
      </c>
      <c r="EY114" s="45">
        <f t="shared" si="149"/>
        <v>56794</v>
      </c>
      <c r="EZ114" s="45">
        <f t="shared" si="149"/>
        <v>47632.17</v>
      </c>
      <c r="FA114" s="45">
        <f t="shared" si="149"/>
        <v>44371.839300000007</v>
      </c>
      <c r="FB114" s="45">
        <f t="shared" si="149"/>
        <v>39708.012920999994</v>
      </c>
      <c r="FC114" s="45">
        <f t="shared" si="149"/>
        <v>35894.908070640013</v>
      </c>
      <c r="FD114" s="45">
        <f t="shared" si="149"/>
        <v>33191.193131315398</v>
      </c>
      <c r="FE114" s="45">
        <f t="shared" si="149"/>
        <v>24635.77012209062</v>
      </c>
      <c r="FF114" s="45">
        <f t="shared" si="149"/>
        <v>22306.232098572575</v>
      </c>
      <c r="FG114" s="45">
        <f t="shared" si="149"/>
        <v>18499.588354247586</v>
      </c>
      <c r="FH114" s="45">
        <f t="shared" si="149"/>
        <v>17209.922664226804</v>
      </c>
      <c r="FI114" s="45">
        <f t="shared" si="149"/>
        <v>16125.619491475438</v>
      </c>
      <c r="FJ114" s="45">
        <f t="shared" si="149"/>
        <v>15197.784795934602</v>
      </c>
      <c r="FK114" s="45">
        <f t="shared" si="149"/>
        <v>14400.258422927491</v>
      </c>
      <c r="FL114" s="45"/>
      <c r="FM114" s="45"/>
      <c r="FN114" s="45"/>
      <c r="FO114" s="45"/>
      <c r="FP114" s="45"/>
      <c r="FQ114" s="87"/>
      <c r="FR114" s="45"/>
      <c r="FS114" s="88"/>
      <c r="FT114" s="45"/>
      <c r="FU114" s="26"/>
    </row>
    <row r="115" spans="2:2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205">
        <v>1986</v>
      </c>
      <c r="BT115" s="44">
        <v>2320</v>
      </c>
      <c r="BU115" s="44">
        <f t="shared" ref="BU115:BV115" si="150">+BU114-BU116</f>
        <v>2527</v>
      </c>
      <c r="BV115" s="44">
        <f t="shared" si="150"/>
        <v>2605.7999999999993</v>
      </c>
      <c r="BW115" s="20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3440.58</v>
      </c>
      <c r="DF115" s="115">
        <f t="shared" si="151"/>
        <v>3704.74</v>
      </c>
      <c r="DG115" s="115"/>
      <c r="DH115" s="115"/>
      <c r="DI115" s="115"/>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15174.9</v>
      </c>
      <c r="EZ115" s="44">
        <f>+EZ114-EZ116</f>
        <v>12860.685899999997</v>
      </c>
      <c r="FA115" s="44">
        <f t="shared" ref="FA115:FF115" si="153">+FA114-FA116</f>
        <v>11536.678218000001</v>
      </c>
      <c r="FB115" s="44">
        <f t="shared" si="153"/>
        <v>9927.0032302499967</v>
      </c>
      <c r="FC115" s="44">
        <f t="shared" si="153"/>
        <v>8614.7779369536038</v>
      </c>
      <c r="FD115" s="44">
        <f t="shared" si="153"/>
        <v>7633.9744202025395</v>
      </c>
      <c r="FE115" s="44">
        <f t="shared" si="153"/>
        <v>5419.8694268599356</v>
      </c>
      <c r="FF115" s="44">
        <f t="shared" si="153"/>
        <v>4684.3087407002386</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205">
        <f>+BS114-BS115</f>
        <v>9405</v>
      </c>
      <c r="BT116" s="44">
        <f>+BT114-BT115</f>
        <v>10553</v>
      </c>
      <c r="BU116" s="44">
        <f t="shared" ref="BU116:BV116" si="160">+BU114*0.8</f>
        <v>10108</v>
      </c>
      <c r="BV116" s="44">
        <f t="shared" si="160"/>
        <v>10423.200000000001</v>
      </c>
      <c r="BW116" s="20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9792.42</v>
      </c>
      <c r="DF116" s="115">
        <f t="shared" si="167"/>
        <v>10544.26</v>
      </c>
      <c r="DG116" s="115"/>
      <c r="DH116" s="115"/>
      <c r="DI116" s="115"/>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41619.1</v>
      </c>
      <c r="EZ116" s="44">
        <f>+EZ114*0.73</f>
        <v>34771.484100000001</v>
      </c>
      <c r="FA116" s="44">
        <f>+FA114*0.74</f>
        <v>32835.161082000006</v>
      </c>
      <c r="FB116" s="44">
        <f>+FB114*0.75</f>
        <v>29781.009690749997</v>
      </c>
      <c r="FC116" s="44">
        <f>+FC114*0.76</f>
        <v>27280.130133686409</v>
      </c>
      <c r="FD116" s="44">
        <f>+FD114*0.77</f>
        <v>25557.218711112859</v>
      </c>
      <c r="FE116" s="44">
        <f>+FE114*0.78</f>
        <v>19215.900695230685</v>
      </c>
      <c r="FF116" s="44">
        <f>+FF114*0.79</f>
        <v>17621.923357872336</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205">
        <v>3020</v>
      </c>
      <c r="BT117" s="44">
        <v>3486</v>
      </c>
      <c r="BU117" s="44">
        <f t="shared" ref="BU117:BU118" si="169">+BQ117*0.95</f>
        <v>3183.45</v>
      </c>
      <c r="BV117" s="44">
        <f t="shared" ref="BV117:BV118" si="170">+BR117*0.95</f>
        <v>3888.35</v>
      </c>
      <c r="BW117" s="20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205">
        <v>1612</v>
      </c>
      <c r="BT118" s="44">
        <v>1714</v>
      </c>
      <c r="BU118" s="44">
        <f t="shared" si="169"/>
        <v>1543.75</v>
      </c>
      <c r="BV118" s="44">
        <f t="shared" si="170"/>
        <v>1700.5</v>
      </c>
      <c r="BW118" s="20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205">
        <f t="shared" si="180"/>
        <v>4773</v>
      </c>
      <c r="BT119" s="65">
        <f t="shared" si="180"/>
        <v>5353</v>
      </c>
      <c r="BU119" s="65">
        <f t="shared" si="180"/>
        <v>5380.8</v>
      </c>
      <c r="BV119" s="65">
        <f t="shared" si="180"/>
        <v>4834.3500000000004</v>
      </c>
      <c r="BW119" s="20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3560.6699999999992</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15929.799999999997</v>
      </c>
      <c r="EZ119" s="68">
        <f t="shared" ref="EZ119" si="187">+EZ116-EZ117-EZ118</f>
        <v>11651.114100000001</v>
      </c>
      <c r="FA119" s="68">
        <f t="shared" ref="FA119" si="188">+FA116-FA117-FA118</f>
        <v>21736.986582000005</v>
      </c>
      <c r="FB119" s="68">
        <f t="shared" ref="FB119" si="189">+FB116-FB117-FB118</f>
        <v>19792.652640749999</v>
      </c>
      <c r="FC119" s="68">
        <f t="shared" ref="FC119" si="190">+FC116-FC117-FC118</f>
        <v>18290.608788686408</v>
      </c>
      <c r="FD119" s="68">
        <f t="shared" ref="FD119" si="191">+FD116-FD117-FD118</f>
        <v>17466.649500612857</v>
      </c>
      <c r="FE119" s="68">
        <f t="shared" ref="FE119" si="192">+FE116-FE117-FE118</f>
        <v>11934.388405780683</v>
      </c>
      <c r="FF119" s="68">
        <f t="shared" ref="FF119" si="193">+FF116-FF117-FF118</f>
        <v>11068.562297367334</v>
      </c>
      <c r="FG119" s="68"/>
      <c r="FH119" s="68"/>
      <c r="FI119" s="68"/>
      <c r="FJ119" s="68"/>
      <c r="FK119" s="68"/>
      <c r="FL119" s="68"/>
      <c r="FM119" s="68"/>
      <c r="FN119" s="68"/>
      <c r="FO119" s="68"/>
      <c r="FQ119" s="87">
        <f>SUM(FQ1:FQ118)</f>
        <v>32743.599999999999</v>
      </c>
      <c r="FR119" s="45">
        <f>SUM(FR1:FR118)</f>
        <v>18424.298999999995</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205">
        <f>92-321+248</f>
        <v>19</v>
      </c>
      <c r="BT120" s="44">
        <v>95</v>
      </c>
      <c r="BU120" s="44"/>
      <c r="BV120" s="44"/>
      <c r="BW120" s="20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202">
        <f t="shared" ref="BS123:BX123" si="202">BS119+BS120</f>
        <v>4792</v>
      </c>
      <c r="BT123" s="68">
        <f t="shared" si="202"/>
        <v>5448</v>
      </c>
      <c r="BU123" s="68">
        <f t="shared" si="202"/>
        <v>5380.8</v>
      </c>
      <c r="BV123" s="68">
        <f t="shared" si="202"/>
        <v>4834.3500000000004</v>
      </c>
      <c r="BW123" s="20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F123" si="208">DB119+DB120</f>
        <v>7528</v>
      </c>
      <c r="DC123" s="122">
        <f t="shared" si="208"/>
        <v>8750.4500000000007</v>
      </c>
      <c r="DD123" s="122">
        <f t="shared" si="208"/>
        <v>3775.87</v>
      </c>
      <c r="DE123" s="122">
        <f t="shared" si="208"/>
        <v>3910.6699999999992</v>
      </c>
      <c r="DF123" s="122">
        <f t="shared" si="208"/>
        <v>2463.8100000000004</v>
      </c>
      <c r="DG123" s="122"/>
      <c r="DH123" s="122"/>
      <c r="DI123" s="122"/>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17329.799999999996</v>
      </c>
      <c r="EZ123" s="44">
        <f t="shared" ref="EZ123:FF123" si="211">+EZ119+EZ120</f>
        <v>12911.114100000001</v>
      </c>
      <c r="FA123" s="44">
        <f t="shared" si="211"/>
        <v>22870.986582000005</v>
      </c>
      <c r="FB123" s="44">
        <f t="shared" si="211"/>
        <v>20813.252640749997</v>
      </c>
      <c r="FC123" s="44">
        <f t="shared" si="211"/>
        <v>19209.148788686409</v>
      </c>
      <c r="FD123" s="44">
        <f t="shared" si="211"/>
        <v>18293.335500612859</v>
      </c>
      <c r="FE123" s="44">
        <f t="shared" si="211"/>
        <v>12678.405805780683</v>
      </c>
      <c r="FF123" s="44">
        <f t="shared" si="211"/>
        <v>11738.177957367334</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202">
        <v>1227</v>
      </c>
      <c r="BT124" s="68">
        <f>1459+9</f>
        <v>1468</v>
      </c>
      <c r="BU124" s="68">
        <f t="shared" ref="BU124:BV124" si="212">+BU123*0.27</f>
        <v>1452.8160000000003</v>
      </c>
      <c r="BV124" s="68">
        <f t="shared" si="212"/>
        <v>1305.2745000000002</v>
      </c>
      <c r="BW124" s="20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586.6004999999999</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2835.12</v>
      </c>
      <c r="EZ124" s="44">
        <f>+EZ123*0.15</f>
        <v>1936.667115</v>
      </c>
      <c r="FA124" s="44">
        <f t="shared" ref="FA124:FF124" si="216">+FA123*0.15</f>
        <v>3430.6479873000008</v>
      </c>
      <c r="FB124" s="44">
        <f t="shared" si="216"/>
        <v>3121.9878961124996</v>
      </c>
      <c r="FC124" s="44">
        <f t="shared" si="216"/>
        <v>2881.372318302961</v>
      </c>
      <c r="FD124" s="44">
        <f t="shared" si="216"/>
        <v>2744.0003250919285</v>
      </c>
      <c r="FE124" s="44">
        <f t="shared" si="216"/>
        <v>1901.7608708671023</v>
      </c>
      <c r="FF124" s="44">
        <f t="shared" si="216"/>
        <v>1760.7266936051001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205">
        <f t="shared" ref="BS125:BX125" si="223">BS123-BS124</f>
        <v>3565</v>
      </c>
      <c r="BT125" s="65">
        <f t="shared" si="223"/>
        <v>3980</v>
      </c>
      <c r="BU125" s="65">
        <f t="shared" si="223"/>
        <v>3927.9839999999999</v>
      </c>
      <c r="BV125" s="65">
        <f t="shared" si="223"/>
        <v>3529.0754999999999</v>
      </c>
      <c r="BW125" s="20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F125" si="230">DB123-DB124</f>
        <v>6716</v>
      </c>
      <c r="DC125" s="115">
        <f t="shared" si="230"/>
        <v>7437.8825000000006</v>
      </c>
      <c r="DD125" s="115">
        <f t="shared" si="230"/>
        <v>3209.4894999999997</v>
      </c>
      <c r="DE125" s="115">
        <f t="shared" si="230"/>
        <v>3324.0694999999992</v>
      </c>
      <c r="DF125" s="115">
        <f t="shared" si="230"/>
        <v>2094.2385000000004</v>
      </c>
      <c r="DG125" s="115"/>
      <c r="DH125" s="115"/>
      <c r="DI125" s="115"/>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14494.679999999997</v>
      </c>
      <c r="EZ125" s="44">
        <f t="shared" ref="EZ125:FF125" si="232">+EZ123-EZ124</f>
        <v>10974.446985</v>
      </c>
      <c r="FA125" s="44">
        <f t="shared" si="232"/>
        <v>19440.338594700006</v>
      </c>
      <c r="FB125" s="44">
        <f t="shared" si="232"/>
        <v>17691.264744637498</v>
      </c>
      <c r="FC125" s="44">
        <f t="shared" si="232"/>
        <v>16327.776470383447</v>
      </c>
      <c r="FD125" s="44">
        <f t="shared" si="232"/>
        <v>15549.33517552093</v>
      </c>
      <c r="FE125" s="44">
        <f t="shared" si="232"/>
        <v>10776.64493491358</v>
      </c>
      <c r="FF125" s="44">
        <f t="shared" si="232"/>
        <v>9977.4512637622338</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207">
        <f t="shared" ref="BS126:BX126" si="241">BS125/BS127</f>
        <v>0.55049413218035825</v>
      </c>
      <c r="BT126" s="105">
        <f t="shared" si="241"/>
        <v>0.61762880198634384</v>
      </c>
      <c r="BU126" s="105">
        <f t="shared" si="241"/>
        <v>0.59941767129558976</v>
      </c>
      <c r="BV126" s="105">
        <f t="shared" si="241"/>
        <v>0.53854349153059666</v>
      </c>
      <c r="BW126" s="20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F126" si="248">DB125/DB127</f>
        <v>1.1694236461779557</v>
      </c>
      <c r="DC126" s="137">
        <f t="shared" si="248"/>
        <v>1.2951214522026817</v>
      </c>
      <c r="DD126" s="137">
        <f t="shared" si="248"/>
        <v>0.55885242904405352</v>
      </c>
      <c r="DE126" s="137">
        <f t="shared" si="248"/>
        <v>0.57880367403795907</v>
      </c>
      <c r="DF126" s="137">
        <f t="shared" si="248"/>
        <v>0.36465932439491561</v>
      </c>
      <c r="DG126" s="137"/>
      <c r="DH126" s="137"/>
      <c r="DI126" s="137"/>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2.5238864704858082</v>
      </c>
      <c r="EZ126" s="53">
        <f>+EZ125/EZ127</f>
        <v>1.9109258201288526</v>
      </c>
      <c r="FA126" s="53">
        <f t="shared" ref="FA126:FF126" si="251">+FA125/FA127</f>
        <v>3.3850493809333111</v>
      </c>
      <c r="FB126" s="53">
        <f t="shared" si="251"/>
        <v>3.0804918587214867</v>
      </c>
      <c r="FC126" s="53">
        <f t="shared" si="251"/>
        <v>2.8430744332898219</v>
      </c>
      <c r="FD126" s="53">
        <f t="shared" si="251"/>
        <v>2.7075283258786227</v>
      </c>
      <c r="FE126" s="53">
        <f t="shared" si="251"/>
        <v>1.876483533852269</v>
      </c>
      <c r="FF126" s="53">
        <f t="shared" si="251"/>
        <v>1.7373239184680889</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205">
        <v>6476</v>
      </c>
      <c r="BT127" s="65">
        <v>6444</v>
      </c>
      <c r="BU127" s="65">
        <v>6553</v>
      </c>
      <c r="BV127" s="65">
        <v>6553</v>
      </c>
      <c r="BW127" s="20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f t="shared" si="252"/>
        <v>5743</v>
      </c>
      <c r="DF127" s="115">
        <f t="shared" si="252"/>
        <v>5743</v>
      </c>
      <c r="DG127" s="115"/>
      <c r="DH127" s="115"/>
      <c r="DI127" s="115"/>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5743</v>
      </c>
      <c r="EZ127" s="44">
        <f>+EY127</f>
        <v>5743</v>
      </c>
      <c r="FA127" s="44">
        <f t="shared" ref="FA127:FF127" si="253">+EZ127</f>
        <v>5743</v>
      </c>
      <c r="FB127" s="44">
        <f t="shared" si="253"/>
        <v>5743</v>
      </c>
      <c r="FC127" s="44">
        <f t="shared" si="253"/>
        <v>5743</v>
      </c>
      <c r="FD127" s="44">
        <f t="shared" si="253"/>
        <v>5743</v>
      </c>
      <c r="FE127" s="44">
        <f t="shared" si="253"/>
        <v>5743</v>
      </c>
      <c r="FF127" s="44">
        <f t="shared" si="253"/>
        <v>5743</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205"/>
      <c r="BT128" s="44"/>
      <c r="BU128" s="44"/>
      <c r="BV128" s="44"/>
      <c r="BW128" s="20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208">
        <f t="shared" si="255"/>
        <v>0.82565183039241508</v>
      </c>
      <c r="BT129" s="49">
        <f t="shared" si="255"/>
        <v>0.81977782956575784</v>
      </c>
      <c r="BU129" s="49">
        <f t="shared" si="255"/>
        <v>0.8</v>
      </c>
      <c r="BV129" s="49">
        <f t="shared" si="255"/>
        <v>0.8</v>
      </c>
      <c r="BW129" s="20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0.73280804310314462</v>
      </c>
      <c r="EZ129" s="49">
        <f t="shared" ref="EZ129:FF129" si="271">+EZ116/EZ114</f>
        <v>0.73000000000000009</v>
      </c>
      <c r="FA129" s="49">
        <f t="shared" si="271"/>
        <v>0.74</v>
      </c>
      <c r="FB129" s="49">
        <f t="shared" si="271"/>
        <v>0.75</v>
      </c>
      <c r="FC129" s="49">
        <f t="shared" si="271"/>
        <v>0.76</v>
      </c>
      <c r="FD129" s="49">
        <f t="shared" si="271"/>
        <v>0.77</v>
      </c>
      <c r="FE129" s="49">
        <f t="shared" si="271"/>
        <v>0.78</v>
      </c>
      <c r="FF129" s="49">
        <f t="shared" si="271"/>
        <v>0.79000000000000015</v>
      </c>
      <c r="FG129" s="49"/>
      <c r="FH129" s="49"/>
      <c r="FI129" s="49"/>
      <c r="FJ129" s="49"/>
      <c r="FK129" s="49"/>
      <c r="FL129" s="49"/>
      <c r="FM129" s="49"/>
      <c r="FN129" s="49"/>
      <c r="FO129" s="49"/>
      <c r="FP129" s="49"/>
      <c r="FQ129" s="91"/>
      <c r="FR129" s="49">
        <f>+FR151/22.73-1</f>
        <v>-1.3957190759731231</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208">
        <f t="shared" si="272"/>
        <v>0.26512158721797913</v>
      </c>
      <c r="BT130" s="49">
        <f t="shared" si="272"/>
        <v>0.2707993474714519</v>
      </c>
      <c r="BU130" s="49">
        <f t="shared" si="272"/>
        <v>0.2519548872180451</v>
      </c>
      <c r="BV130" s="49">
        <f t="shared" si="272"/>
        <v>0.29843809962391588</v>
      </c>
      <c r="BW130" s="20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0.25700521423713446</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0.2412481952318907</v>
      </c>
      <c r="EZ130" s="49">
        <f t="shared" ref="EZ130:FF130" si="289">+EZ117/EZ114</f>
        <v>0.25888606376740764</v>
      </c>
      <c r="FA130" s="49">
        <f t="shared" si="289"/>
        <v>0.25011752217357369</v>
      </c>
      <c r="FB130" s="49">
        <f t="shared" si="289"/>
        <v>0.25154512440277649</v>
      </c>
      <c r="FC130" s="49">
        <f t="shared" si="289"/>
        <v>0.25044001581809083</v>
      </c>
      <c r="FD130" s="49">
        <f t="shared" si="289"/>
        <v>0.24375650427783715</v>
      </c>
      <c r="FE130" s="49">
        <f t="shared" si="289"/>
        <v>0.29556665991621467</v>
      </c>
      <c r="FF130" s="49">
        <f t="shared" si="289"/>
        <v>0.29379058872629432</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208">
        <f t="shared" si="290"/>
        <v>0.14151523132297428</v>
      </c>
      <c r="BT131" s="49">
        <f t="shared" si="290"/>
        <v>0.13314689660529791</v>
      </c>
      <c r="BU131" s="49">
        <f t="shared" si="290"/>
        <v>0.12218045112781954</v>
      </c>
      <c r="BV131" s="49">
        <f t="shared" si="290"/>
        <v>0.13051654002609564</v>
      </c>
      <c r="BW131" s="20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0.21391974608932215</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0.21107599394302215</v>
      </c>
      <c r="EZ131" s="49">
        <f t="shared" ref="EZ131:FF131" si="307">+EZ118/EZ114</f>
        <v>0.22650794620526424</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208">
        <f t="shared" si="308"/>
        <v>0.41901501185146167</v>
      </c>
      <c r="BT132" s="49">
        <f t="shared" si="308"/>
        <v>0.415831585489008</v>
      </c>
      <c r="BU132" s="49">
        <f t="shared" si="308"/>
        <v>0.42586466165413533</v>
      </c>
      <c r="BV132" s="49">
        <f t="shared" si="308"/>
        <v>0.37104536034998853</v>
      </c>
      <c r="BW132" s="20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0.26907503967354335</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0.28048385392823183</v>
      </c>
      <c r="EZ132" s="49">
        <f t="shared" ref="EZ132:FF132" si="325">+EZ119/EZ114</f>
        <v>0.24460599002732819</v>
      </c>
      <c r="FA132" s="49">
        <f t="shared" si="325"/>
        <v>0.4898824778264263</v>
      </c>
      <c r="FB132" s="49">
        <f t="shared" si="325"/>
        <v>0.49845487559722357</v>
      </c>
      <c r="FC132" s="49">
        <f t="shared" si="325"/>
        <v>0.50955998418190918</v>
      </c>
      <c r="FD132" s="49">
        <f t="shared" si="325"/>
        <v>0.52624349572216289</v>
      </c>
      <c r="FE132" s="49">
        <f t="shared" si="325"/>
        <v>0.4844333400837853</v>
      </c>
      <c r="FF132" s="49">
        <f t="shared" si="325"/>
        <v>0.49620941127370571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208">
        <f t="shared" ref="BS133:BW133" si="328">BS124/BS123</f>
        <v>0.25605175292153587</v>
      </c>
      <c r="BT133" s="49">
        <f t="shared" si="328"/>
        <v>0.26945668135095446</v>
      </c>
      <c r="BU133" s="49">
        <f t="shared" si="328"/>
        <v>0.27</v>
      </c>
      <c r="BV133" s="49">
        <f t="shared" si="328"/>
        <v>0.27</v>
      </c>
      <c r="BW133" s="20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208">
        <f t="shared" si="344"/>
        <v>0.31296637696427004</v>
      </c>
      <c r="BT134" s="49">
        <f t="shared" si="344"/>
        <v>0.3091742406587431</v>
      </c>
      <c r="BU134" s="49">
        <f t="shared" si="344"/>
        <v>0.31088120300751881</v>
      </c>
      <c r="BV134" s="49">
        <f t="shared" si="344"/>
        <v>0.2708631130554916</v>
      </c>
      <c r="BW134" s="20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0.25119545832388718</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208"/>
      <c r="BT135" s="49"/>
      <c r="BU135" s="49"/>
      <c r="BV135" s="49"/>
      <c r="BW135" s="20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0.22007606437299715</v>
      </c>
      <c r="EZ135" s="49">
        <f t="shared" si="359"/>
        <v>0.1312033442944128</v>
      </c>
      <c r="FA135" s="49">
        <f t="shared" si="359"/>
        <v>0.12099453357571317</v>
      </c>
      <c r="FB135" s="49">
        <f t="shared" si="359"/>
        <v>6.7602853996764481E-2</v>
      </c>
      <c r="FC135" s="49">
        <f t="shared" si="359"/>
        <v>3.7392142009630411E-2</v>
      </c>
      <c r="FD135" s="49">
        <f t="shared" si="359"/>
        <v>2.0219030612877636E-2</v>
      </c>
      <c r="FE135" s="49">
        <f t="shared" si="359"/>
        <v>1.3620311982823661E-2</v>
      </c>
      <c r="FF135" s="49">
        <f t="shared" si="359"/>
        <v>7.5213705640019852E-3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209">
        <f t="shared" si="360"/>
        <v>-0.15622222222222226</v>
      </c>
      <c r="BT138" s="107">
        <f t="shared" si="360"/>
        <v>-7.7083172743389605E-3</v>
      </c>
      <c r="BU138" s="107">
        <f t="shared" si="360"/>
        <v>4.6914758269720469E-3</v>
      </c>
      <c r="BV138" s="107">
        <f t="shared" si="360"/>
        <v>-5.7849446814664862E-2</v>
      </c>
      <c r="BW138" s="20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F138" si="378">DB114/CX114-1</f>
        <v>2.2654807853666803E-2</v>
      </c>
      <c r="DC138" s="139">
        <f t="shared" si="378"/>
        <v>-0.29271201103603073</v>
      </c>
      <c r="DD138" s="139">
        <f t="shared" si="378"/>
        <v>-0.54103407010107141</v>
      </c>
      <c r="DE138" s="139">
        <f t="shared" si="378"/>
        <v>-0.41771026762534225</v>
      </c>
      <c r="DF138" s="139">
        <f t="shared" si="378"/>
        <v>-0.41544962257958651</v>
      </c>
      <c r="DG138" s="139"/>
      <c r="DH138" s="139"/>
      <c r="DI138" s="139"/>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-0.13336739538820419</v>
      </c>
      <c r="ER138" s="56">
        <f t="shared" si="379"/>
        <v>-0.26962042898437488</v>
      </c>
      <c r="ES138" s="56">
        <f t="shared" si="379"/>
        <v>-6.4433108632749425E-2</v>
      </c>
      <c r="ET138" s="56">
        <f t="shared" si="379"/>
        <v>-0.17950042457850046</v>
      </c>
      <c r="EU138" s="56">
        <f t="shared" si="379"/>
        <v>1.1863507486642679</v>
      </c>
      <c r="EV138" s="56">
        <f t="shared" ref="EV138" si="380">EV114/EU114-1</f>
        <v>-0.11119315973571708</v>
      </c>
      <c r="EW138" s="56">
        <f t="shared" ref="EW138" si="381">EW114/EV114-1</f>
        <v>0.77842494206130586</v>
      </c>
      <c r="EX138" s="56">
        <f>EX114/EW114-1</f>
        <v>0.22992417164157053</v>
      </c>
      <c r="EY138" s="56">
        <f t="shared" ref="EY138:FK138" si="382">EY114/EX114-1</f>
        <v>-0.43230978369517403</v>
      </c>
      <c r="EZ138" s="56">
        <f t="shared" si="382"/>
        <v>-0.16131686445751314</v>
      </c>
      <c r="FA138" s="56">
        <f t="shared" si="382"/>
        <v>-6.8448082461915805E-2</v>
      </c>
      <c r="FB138" s="56">
        <f t="shared" si="382"/>
        <v>-0.10510779928385827</v>
      </c>
      <c r="FC138" s="56">
        <f t="shared" si="382"/>
        <v>-9.6028599012149995E-2</v>
      </c>
      <c r="FD138" s="56">
        <f t="shared" si="382"/>
        <v>-7.5323077412645545E-2</v>
      </c>
      <c r="FE138" s="56">
        <f t="shared" si="382"/>
        <v>-0.25776183987652024</v>
      </c>
      <c r="FF138" s="56">
        <f t="shared" si="382"/>
        <v>-9.4559171967154132E-2</v>
      </c>
      <c r="FG138" s="56">
        <f t="shared" si="382"/>
        <v>-0.17065382120580486</v>
      </c>
      <c r="FH138" s="56">
        <f t="shared" si="382"/>
        <v>-6.9713210117168356E-2</v>
      </c>
      <c r="FI138" s="56">
        <f t="shared" si="382"/>
        <v>-6.3004534878314145E-2</v>
      </c>
      <c r="FJ138" s="56">
        <f t="shared" si="382"/>
        <v>-5.7537925661170553E-2</v>
      </c>
      <c r="FK138" s="56">
        <f t="shared" si="382"/>
        <v>-5.2476488101111163E-2</v>
      </c>
      <c r="FL138" s="56"/>
      <c r="FM138" s="56"/>
      <c r="FN138" s="56"/>
      <c r="FO138" s="56"/>
      <c r="FP138" s="56"/>
      <c r="FQ138" s="93"/>
      <c r="FR138" s="56">
        <v>0</v>
      </c>
      <c r="FS138" s="94"/>
      <c r="FT138" s="56"/>
      <c r="FU138" s="14" t="s">
        <v>819</v>
      </c>
    </row>
    <row r="139" spans="2:179" s="5" customFormat="1">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209"/>
      <c r="BT139" s="107"/>
      <c r="BU139" s="107"/>
      <c r="BV139" s="107"/>
      <c r="BW139" s="20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210">
        <f t="shared" si="383"/>
        <v>-0.13566113337149399</v>
      </c>
      <c r="BT140" s="129">
        <f t="shared" si="383"/>
        <v>-1.802816901408455E-2</v>
      </c>
      <c r="BU140" s="129">
        <f t="shared" si="383"/>
        <v>-5.0000000000000044E-2</v>
      </c>
      <c r="BV140" s="129">
        <f t="shared" si="383"/>
        <v>-5.0000000000000044E-2</v>
      </c>
      <c r="BW140" s="21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210">
        <f t="shared" si="389"/>
        <v>0</v>
      </c>
      <c r="BT141" s="129">
        <f t="shared" si="389"/>
        <v>0.13209494324045412</v>
      </c>
      <c r="BU141" s="129">
        <f t="shared" si="389"/>
        <v>0.18769551616266944</v>
      </c>
      <c r="BV141" s="129">
        <f t="shared" si="389"/>
        <v>0.162645218945487</v>
      </c>
      <c r="BW141" s="21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4.0000000000000036E-2</v>
      </c>
      <c r="ER141" s="40">
        <f t="shared" si="391"/>
        <v>-1</v>
      </c>
      <c r="ES141" s="40" t="e">
        <f t="shared" si="391"/>
        <v>#DIV/0!</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1.4667390293068738E-2</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210"/>
      <c r="BT142" s="129"/>
      <c r="BU142" s="129"/>
      <c r="BV142" s="129"/>
      <c r="BW142" s="21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210"/>
      <c r="BT143" s="129"/>
      <c r="BU143" s="129"/>
      <c r="BV143" s="129"/>
      <c r="BW143" s="21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208">
        <f t="shared" si="397"/>
        <v>2.3150561702639738E-2</v>
      </c>
      <c r="BT144" s="49">
        <f t="shared" si="397"/>
        <v>9.8092476576769672E-2</v>
      </c>
      <c r="BU144" s="49">
        <f t="shared" si="397"/>
        <v>2.642758429211356E-2</v>
      </c>
      <c r="BV144" s="49">
        <f t="shared" si="397"/>
        <v>-0.11817203898050976</v>
      </c>
      <c r="BW144" s="20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208"/>
      <c r="BT145" s="49"/>
      <c r="BU145" s="49"/>
      <c r="BV145" s="49"/>
      <c r="BW145" s="20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205"/>
      <c r="BT146" s="44"/>
      <c r="BU146" s="44"/>
      <c r="BV146" s="44"/>
      <c r="BW146" s="20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205"/>
      <c r="BT148" s="44"/>
      <c r="BU148" s="44"/>
      <c r="BV148" s="44"/>
      <c r="BW148" s="20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205"/>
      <c r="BT149" s="44"/>
      <c r="BU149" s="44"/>
      <c r="BV149" s="44"/>
      <c r="BW149" s="20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205"/>
      <c r="BT150" s="44"/>
      <c r="BU150" s="44"/>
      <c r="BV150" s="44"/>
      <c r="BW150" s="20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-50970190.898605093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205"/>
      <c r="BT151" s="44"/>
      <c r="BU151" s="44"/>
      <c r="BV151" s="44"/>
      <c r="BW151" s="20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-8.9946945968690901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205"/>
      <c r="BT152" s="44"/>
      <c r="BU152" s="44"/>
      <c r="BV152" s="44"/>
      <c r="BW152" s="20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205"/>
      <c r="BT153" s="44"/>
      <c r="BU153" s="44"/>
      <c r="BV153" s="44"/>
      <c r="BW153" s="20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205"/>
      <c r="BT154" s="44"/>
      <c r="BU154" s="44"/>
      <c r="BV154" s="44"/>
      <c r="BW154" s="20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205"/>
      <c r="BT155" s="44"/>
      <c r="BU155" s="44"/>
      <c r="BV155" s="44"/>
      <c r="BW155" s="20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205"/>
      <c r="BT156" s="44"/>
      <c r="BU156" s="44"/>
      <c r="BV156" s="44"/>
      <c r="BW156" s="20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205"/>
      <c r="BT157" s="44"/>
      <c r="BU157" s="44"/>
      <c r="BV157" s="44"/>
      <c r="BW157" s="20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205"/>
      <c r="BT159" s="44"/>
      <c r="BU159" s="44"/>
      <c r="BV159" s="44"/>
      <c r="BW159" s="20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205"/>
      <c r="BT160" s="44"/>
      <c r="BU160" s="44"/>
      <c r="BV160" s="44"/>
      <c r="BW160" s="20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205"/>
      <c r="BT161" s="44"/>
      <c r="BU161" s="44"/>
      <c r="BV161" s="44"/>
      <c r="BW161" s="20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205"/>
      <c r="BT162" s="44"/>
      <c r="BU162" s="44"/>
      <c r="BV162" s="44"/>
      <c r="BW162" s="20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205"/>
      <c r="BT163" s="44"/>
      <c r="BU163" s="44"/>
      <c r="BV163" s="44"/>
      <c r="BW163" s="20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205"/>
      <c r="BT164" s="44"/>
      <c r="BU164" s="44"/>
      <c r="BV164" s="44"/>
      <c r="BW164" s="20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205"/>
      <c r="BT165" s="44"/>
      <c r="BU165" s="44"/>
      <c r="BV165" s="44"/>
      <c r="BW165" s="20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205"/>
      <c r="BT166" s="44"/>
      <c r="BU166" s="44"/>
      <c r="BV166" s="44"/>
      <c r="BW166" s="20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205"/>
      <c r="BT167" s="44"/>
      <c r="BU167" s="44"/>
      <c r="BV167" s="44"/>
      <c r="BW167" s="20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205"/>
      <c r="BT168" s="44"/>
      <c r="BU168" s="44"/>
      <c r="BV168" s="44"/>
      <c r="BW168" s="20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205"/>
      <c r="BT169" s="44"/>
      <c r="BU169" s="44"/>
      <c r="BV169" s="44"/>
      <c r="BW169" s="20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205"/>
      <c r="BT170" s="44"/>
      <c r="BU170" s="44"/>
      <c r="BV170" s="44"/>
      <c r="BW170" s="20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205"/>
      <c r="BT171" s="44"/>
      <c r="BU171" s="44"/>
      <c r="BV171" s="44"/>
      <c r="BW171" s="20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205"/>
      <c r="BT172" s="44"/>
      <c r="BU172" s="44"/>
      <c r="BV172" s="44"/>
      <c r="BW172" s="20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205"/>
      <c r="BT203" s="44"/>
      <c r="BU203" s="44"/>
      <c r="BV203" s="44"/>
      <c r="BW203" s="20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205"/>
      <c r="BT205" s="44"/>
      <c r="BU205" s="44"/>
      <c r="BV205" s="44"/>
      <c r="BW205" s="20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205"/>
      <c r="BT206" s="44"/>
      <c r="BU206" s="44"/>
      <c r="BV206" s="44"/>
      <c r="BW206" s="20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205"/>
      <c r="BT207" s="44"/>
      <c r="BU207" s="44"/>
      <c r="BV207" s="44"/>
      <c r="BW207" s="20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41980.55</v>
      </c>
      <c r="ER207" s="44">
        <f t="shared" si="407"/>
        <v>30661.736100000002</v>
      </c>
      <c r="ES207" s="44">
        <f t="shared" si="407"/>
        <v>28686.105127000006</v>
      </c>
      <c r="ET207" s="44">
        <f t="shared" si="407"/>
        <v>23536.937077200007</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211"/>
      <c r="BT208" s="55"/>
      <c r="BU208" s="55"/>
      <c r="BV208" s="55"/>
      <c r="BW208" s="21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205"/>
      <c r="BT211" s="44"/>
      <c r="BU211" s="44"/>
      <c r="BV211" s="44"/>
      <c r="BW211" s="20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205"/>
      <c r="BT212" s="44"/>
      <c r="BU212" s="44"/>
      <c r="BV212" s="44"/>
      <c r="BW212" s="20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2024-10-20T00:11:03Z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