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4962FFA6-6B56-48EA-9682-967A0E9EC779}" xr6:coauthVersionLast="47" xr6:coauthVersionMax="47" xr10:uidLastSave="{00000000-0000-0000-0000-000000000000}"/>
  <bookViews>
    <workbookView xWindow="-49725" yWindow="1785" windowWidth="26865" windowHeight="17655" firstSheet="6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5" l="1"/>
  <c r="G27" i="5"/>
  <c r="E27" i="5"/>
  <c r="H27" i="5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2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<sst xmlns="http://schemas.openxmlformats.org/spreadsheetml/2006/main" count="1062" uniqueCount="651">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</sst>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9" fillId="0" borderId="0" applyNumberFormat="0" applyFill="0" applyBorder="0" applyAlignment="0" applyProtection="0"/>
  </cellStyleXfs>
  <cellXfs count="248">
    <xf numFmtId="0" fontId="0" fillId="0" borderId="0" xfId="0"/>
    <xf numFmtId="0" fontId="88" fillId="0" borderId="0" xfId="0" applyFont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88" fillId="0" borderId="0" xfId="0" applyFont="1" applyAlignment="1">
      <alignment horizontal="right"/>
    </xf>
    <xf numFmtId="0" fontId="90" fillId="0" borderId="0" xfId="1" applyFont="1"/>
    <xf numFmtId="0" fontId="87" fillId="0" borderId="0" xfId="0" applyFont="1"/>
    <xf numFmtId="3" fontId="87" fillId="0" borderId="0" xfId="0" applyNumberFormat="1" applyFont="1" applyAlignment="1">
      <alignment horizontal="right"/>
    </xf>
    <xf numFmtId="0" fontId="86" fillId="0" borderId="0" xfId="0" applyFont="1"/>
    <xf numFmtId="3" fontId="91" fillId="0" borderId="0" xfId="0" applyNumberFormat="1" applyFont="1" applyAlignment="1">
      <alignment horizontal="right"/>
    </xf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3" xfId="0" applyFont="1" applyBorder="1"/>
    <xf numFmtId="0" fontId="82" fillId="0" borderId="4" xfId="0" applyFont="1" applyBorder="1"/>
    <xf numFmtId="2" fontId="82" fillId="0" borderId="4" xfId="0" applyNumberFormat="1" applyFont="1" applyBorder="1" applyAlignment="1">
      <alignment horizontal="right"/>
    </xf>
    <xf numFmtId="3" fontId="82" fillId="0" borderId="4" xfId="0" applyNumberFormat="1" applyFont="1" applyBorder="1" applyAlignment="1">
      <alignment horizontal="right"/>
    </xf>
    <xf numFmtId="0" fontId="82" fillId="0" borderId="4" xfId="0" applyFont="1" applyBorder="1" applyAlignment="1">
      <alignment horizontal="right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2" fillId="0" borderId="0" xfId="0" applyFont="1" applyAlignment="1">
      <alignment horizontal="center"/>
    </xf>
    <xf numFmtId="0" fontId="82" fillId="0" borderId="1" xfId="0" applyFont="1" applyBorder="1" applyAlignment="1">
      <alignment horizontal="center"/>
    </xf>
    <xf numFmtId="0" fontId="82" fillId="0" borderId="2" xfId="0" applyFont="1" applyBorder="1" applyAlignment="1">
      <alignment horizontal="center"/>
    </xf>
    <xf numFmtId="4" fontId="82" fillId="0" borderId="0" xfId="0" applyNumberFormat="1" applyFont="1" applyAlignment="1">
      <alignment horizontal="center"/>
    </xf>
    <xf numFmtId="9" fontId="82" fillId="0" borderId="0" xfId="0" applyNumberFormat="1" applyFont="1" applyAlignment="1">
      <alignment horizontal="center"/>
    </xf>
    <xf numFmtId="164" fontId="82" fillId="0" borderId="1" xfId="0" applyNumberFormat="1" applyFont="1" applyBorder="1" applyAlignment="1">
      <alignment horizontal="center"/>
    </xf>
    <xf numFmtId="164" fontId="82" fillId="0" borderId="0" xfId="0" applyNumberFormat="1" applyFont="1" applyAlignment="1">
      <alignment horizontal="center"/>
    </xf>
    <xf numFmtId="164" fontId="82" fillId="0" borderId="2" xfId="0" applyNumberFormat="1" applyFont="1" applyBorder="1" applyAlignment="1">
      <alignment horizontal="center"/>
    </xf>
    <xf numFmtId="4" fontId="82" fillId="0" borderId="1" xfId="0" applyNumberFormat="1" applyFont="1" applyBorder="1" applyAlignment="1">
      <alignment horizontal="center"/>
    </xf>
    <xf numFmtId="4" fontId="82" fillId="0" borderId="2" xfId="0" applyNumberFormat="1" applyFont="1" applyBorder="1" applyAlignment="1">
      <alignment horizontal="center"/>
    </xf>
    <xf numFmtId="0" fontId="81" fillId="0" borderId="0" xfId="0" applyFont="1" applyAlignment="1">
      <alignment horizontal="right"/>
    </xf>
    <xf numFmtId="9" fontId="81" fillId="0" borderId="0" xfId="0" applyNumberFormat="1" applyFont="1" applyAlignment="1">
      <alignment horizontal="center"/>
    </xf>
    <xf numFmtId="164" fontId="82" fillId="0" borderId="6" xfId="0" applyNumberFormat="1" applyFont="1" applyBorder="1" applyAlignment="1">
      <alignment horizontal="center"/>
    </xf>
    <xf numFmtId="4" fontId="82" fillId="0" borderId="0" xfId="0" applyNumberFormat="1" applyFont="1" applyAlignment="1">
      <alignment horizontal="right"/>
    </xf>
    <xf numFmtId="0" fontId="80" fillId="0" borderId="4" xfId="0" applyFont="1" applyBorder="1" applyAlignment="1">
      <alignment horizontal="right"/>
    </xf>
    <xf numFmtId="14" fontId="82" fillId="0" borderId="0" xfId="0" applyNumberFormat="1" applyFont="1" applyAlignment="1">
      <alignment horizontal="right"/>
    </xf>
    <xf numFmtId="0" fontId="80" fillId="0" borderId="0" xfId="0" applyFont="1"/>
    <xf numFmtId="0" fontId="79" fillId="0" borderId="0" xfId="0" applyFont="1"/>
    <xf numFmtId="0" fontId="79" fillId="0" borderId="3" xfId="0" applyFont="1" applyBorder="1" applyAlignment="1">
      <alignment horizontal="center"/>
    </xf>
    <xf numFmtId="0" fontId="79" fillId="0" borderId="6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82" fillId="0" borderId="5" xfId="0" applyFont="1" applyBorder="1"/>
    <xf numFmtId="3" fontId="85" fillId="0" borderId="0" xfId="0" applyNumberFormat="1" applyFont="1"/>
    <xf numFmtId="0" fontId="78" fillId="0" borderId="0" xfId="0" applyFont="1"/>
    <xf numFmtId="0" fontId="77" fillId="0" borderId="0" xfId="0" applyFont="1" applyAlignment="1">
      <alignment horizontal="right"/>
    </xf>
    <xf numFmtId="3" fontId="91" fillId="0" borderId="0" xfId="0" applyNumberFormat="1" applyFont="1"/>
    <xf numFmtId="4" fontId="91" fillId="0" borderId="0" xfId="0" applyNumberFormat="1" applyFont="1" applyAlignment="1">
      <alignment horizontal="right"/>
    </xf>
    <xf numFmtId="0" fontId="76" fillId="0" borderId="0" xfId="0" applyFont="1"/>
    <xf numFmtId="0" fontId="92" fillId="0" borderId="0" xfId="0" applyFont="1"/>
    <xf numFmtId="0" fontId="75" fillId="0" borderId="0" xfId="0" applyFont="1"/>
    <xf numFmtId="14" fontId="85" fillId="0" borderId="0" xfId="0" applyNumberFormat="1" applyFont="1"/>
    <xf numFmtId="0" fontId="85" fillId="0" borderId="0" xfId="0" applyFont="1" applyAlignment="1">
      <alignment horizontal="right"/>
    </xf>
    <xf numFmtId="3" fontId="74" fillId="0" borderId="0" xfId="0" applyNumberFormat="1" applyFont="1"/>
    <xf numFmtId="0" fontId="74" fillId="0" borderId="0" xfId="0" applyFont="1"/>
    <xf numFmtId="0" fontId="74" fillId="0" borderId="3" xfId="0" applyFont="1" applyBorder="1"/>
    <xf numFmtId="0" fontId="74" fillId="0" borderId="4" xfId="0" applyFont="1" applyBorder="1"/>
    <xf numFmtId="2" fontId="74" fillId="0" borderId="4" xfId="0" applyNumberFormat="1" applyFont="1" applyBorder="1" applyAlignment="1">
      <alignment horizontal="right"/>
    </xf>
    <xf numFmtId="3" fontId="74" fillId="0" borderId="4" xfId="0" applyNumberFormat="1" applyFont="1" applyBorder="1" applyAlignment="1">
      <alignment horizontal="right"/>
    </xf>
    <xf numFmtId="0" fontId="74" fillId="0" borderId="4" xfId="0" applyFont="1" applyBorder="1" applyAlignment="1">
      <alignment horizontal="right"/>
    </xf>
    <xf numFmtId="0" fontId="74" fillId="0" borderId="4" xfId="0" applyFont="1" applyBorder="1" applyAlignment="1">
      <alignment horizontal="center"/>
    </xf>
    <xf numFmtId="0" fontId="74" fillId="0" borderId="5" xfId="0" applyFont="1" applyBorder="1" applyAlignment="1">
      <alignment horizontal="center"/>
    </xf>
    <xf numFmtId="0" fontId="74" fillId="0" borderId="3" xfId="0" applyFont="1" applyBorder="1" applyAlignment="1">
      <alignment horizontal="center"/>
    </xf>
    <xf numFmtId="0" fontId="74" fillId="0" borderId="6" xfId="0" applyFont="1" applyBorder="1" applyAlignment="1">
      <alignment horizontal="center"/>
    </xf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93" fillId="0" borderId="0" xfId="0" applyFont="1"/>
    <xf numFmtId="0" fontId="66" fillId="0" borderId="0" xfId="0" applyFont="1"/>
    <xf numFmtId="0" fontId="94" fillId="0" borderId="0" xfId="1" applyFont="1"/>
    <xf numFmtId="0" fontId="65" fillId="0" borderId="0" xfId="0" applyFont="1"/>
    <xf numFmtId="0" fontId="64" fillId="0" borderId="0" xfId="0" applyFont="1" applyAlignment="1">
      <alignment horizontal="right"/>
    </xf>
    <xf numFmtId="0" fontId="63" fillId="0" borderId="0" xfId="0" applyFont="1"/>
    <xf numFmtId="0" fontId="63" fillId="0" borderId="0" xfId="0" applyFont="1" applyAlignment="1">
      <alignment horizontal="right"/>
    </xf>
    <xf numFmtId="14" fontId="74" fillId="0" borderId="0" xfId="0" applyNumberFormat="1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90" fillId="0" borderId="1" xfId="1" applyFont="1" applyBorder="1"/>
    <xf numFmtId="9" fontId="82" fillId="0" borderId="2" xfId="0" applyNumberFormat="1" applyFont="1" applyBorder="1" applyAlignment="1">
      <alignment horizontal="center"/>
    </xf>
    <xf numFmtId="0" fontId="67" fillId="0" borderId="0" xfId="0" applyFont="1" applyAlignment="1">
      <alignment horizontal="right"/>
    </xf>
    <xf numFmtId="0" fontId="58" fillId="0" borderId="1" xfId="0" applyFont="1" applyBorder="1"/>
    <xf numFmtId="0" fontId="82" fillId="0" borderId="1" xfId="0" applyFont="1" applyBorder="1"/>
    <xf numFmtId="0" fontId="81" fillId="0" borderId="1" xfId="0" applyFont="1" applyBorder="1"/>
    <xf numFmtId="0" fontId="81" fillId="0" borderId="0" xfId="0" applyFont="1"/>
    <xf numFmtId="0" fontId="79" fillId="0" borderId="1" xfId="0" applyFont="1" applyBorder="1"/>
    <xf numFmtId="2" fontId="82" fillId="0" borderId="6" xfId="0" applyNumberFormat="1" applyFont="1" applyBorder="1" applyAlignment="1">
      <alignment horizontal="right"/>
    </xf>
    <xf numFmtId="3" fontId="82" fillId="0" borderId="6" xfId="0" applyNumberFormat="1" applyFont="1" applyBorder="1" applyAlignment="1">
      <alignment horizontal="right"/>
    </xf>
    <xf numFmtId="0" fontId="82" fillId="0" borderId="6" xfId="0" applyFont="1" applyBorder="1" applyAlignment="1">
      <alignment horizontal="right"/>
    </xf>
    <xf numFmtId="0" fontId="82" fillId="0" borderId="6" xfId="0" applyFont="1" applyBorder="1" applyAlignment="1">
      <alignment horizontal="center"/>
    </xf>
    <xf numFmtId="0" fontId="82" fillId="0" borderId="8" xfId="0" applyFont="1" applyBorder="1" applyAlignment="1">
      <alignment horizontal="center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90" fillId="0" borderId="0" xfId="1" applyFont="1" applyBorder="1"/>
    <xf numFmtId="0" fontId="49" fillId="0" borderId="0" xfId="0" applyFont="1"/>
    <xf numFmtId="0" fontId="48" fillId="0" borderId="0" xfId="0" applyFont="1" applyAlignment="1">
      <alignment horizontal="right"/>
    </xf>
    <xf numFmtId="0" fontId="47" fillId="0" borderId="0" xfId="0" applyFont="1"/>
    <xf numFmtId="0" fontId="47" fillId="0" borderId="0" xfId="0" applyFont="1" applyAlignment="1">
      <alignment horizontal="right"/>
    </xf>
    <xf numFmtId="3" fontId="47" fillId="0" borderId="0" xfId="0" applyNumberFormat="1" applyFont="1" applyAlignment="1">
      <alignment horizontal="right"/>
    </xf>
    <xf numFmtId="0" fontId="46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14" fontId="88" fillId="0" borderId="0" xfId="0" applyNumberFormat="1" applyFont="1"/>
    <xf numFmtId="0" fontId="44" fillId="0" borderId="0" xfId="0" applyFont="1"/>
    <xf numFmtId="165" fontId="82" fillId="0" borderId="0" xfId="0" applyNumberFormat="1" applyFont="1" applyAlignment="1">
      <alignment horizontal="right"/>
    </xf>
    <xf numFmtId="0" fontId="44" fillId="0" borderId="0" xfId="0" applyFont="1" applyAlignment="1">
      <alignment horizontal="right"/>
    </xf>
    <xf numFmtId="0" fontId="43" fillId="0" borderId="0" xfId="0" applyFont="1"/>
    <xf numFmtId="4" fontId="74" fillId="0" borderId="0" xfId="0" applyNumberFormat="1" applyFont="1"/>
    <xf numFmtId="0" fontId="42" fillId="0" borderId="0" xfId="0" applyFont="1"/>
    <xf numFmtId="0" fontId="41" fillId="0" borderId="1" xfId="0" applyFont="1" applyBorder="1"/>
    <xf numFmtId="0" fontId="40" fillId="0" borderId="0" xfId="0" applyFont="1"/>
    <xf numFmtId="3" fontId="95" fillId="0" borderId="0" xfId="0" applyNumberFormat="1" applyFont="1"/>
    <xf numFmtId="4" fontId="96" fillId="0" borderId="0" xfId="0" applyNumberFormat="1" applyFont="1" applyAlignment="1">
      <alignment horizontal="right"/>
    </xf>
    <xf numFmtId="3" fontId="95" fillId="0" borderId="0" xfId="0" applyNumberFormat="1" applyFont="1" applyAlignment="1">
      <alignment horizontal="right"/>
    </xf>
    <xf numFmtId="14" fontId="40" fillId="0" borderId="0" xfId="0" applyNumberFormat="1" applyFont="1" applyAlignment="1">
      <alignment horizontal="right"/>
    </xf>
    <xf numFmtId="3" fontId="76" fillId="0" borderId="0" xfId="0" applyNumberFormat="1" applyFont="1"/>
    <xf numFmtId="0" fontId="39" fillId="0" borderId="0" xfId="0" applyFont="1"/>
    <xf numFmtId="0" fontId="38" fillId="0" borderId="0" xfId="0" applyFont="1"/>
    <xf numFmtId="3" fontId="38" fillId="0" borderId="0" xfId="0" applyNumberFormat="1" applyFont="1"/>
    <xf numFmtId="3" fontId="38" fillId="2" borderId="0" xfId="0" applyNumberFormat="1" applyFont="1" applyFill="1"/>
    <xf numFmtId="0" fontId="37" fillId="0" borderId="0" xfId="0" applyFont="1" applyAlignment="1">
      <alignment horizontal="right"/>
    </xf>
    <xf numFmtId="0" fontId="37" fillId="0" borderId="0" xfId="0" applyFont="1"/>
    <xf numFmtId="3" fontId="37" fillId="0" borderId="0" xfId="0" applyNumberFormat="1" applyFont="1"/>
    <xf numFmtId="3" fontId="90" fillId="0" borderId="0" xfId="1" applyNumberFormat="1" applyFont="1"/>
    <xf numFmtId="0" fontId="36" fillId="0" borderId="0" xfId="0" applyFont="1"/>
    <xf numFmtId="4" fontId="82" fillId="0" borderId="0" xfId="0" applyNumberFormat="1" applyFont="1"/>
    <xf numFmtId="4" fontId="88" fillId="0" borderId="0" xfId="0" applyNumberFormat="1" applyFont="1"/>
    <xf numFmtId="0" fontId="35" fillId="0" borderId="1" xfId="0" applyFont="1" applyBorder="1"/>
    <xf numFmtId="0" fontId="35" fillId="0" borderId="0" xfId="0" applyFont="1"/>
    <xf numFmtId="0" fontId="34" fillId="0" borderId="0" xfId="0" applyFont="1"/>
    <xf numFmtId="0" fontId="93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8" fillId="0" borderId="1" xfId="0" applyFont="1" applyBorder="1"/>
    <xf numFmtId="0" fontId="28" fillId="0" borderId="3" xfId="0" applyFont="1" applyBorder="1"/>
    <xf numFmtId="0" fontId="28" fillId="0" borderId="4" xfId="0" applyFont="1" applyBorder="1"/>
    <xf numFmtId="2" fontId="28" fillId="0" borderId="4" xfId="0" applyNumberFormat="1" applyFont="1" applyBorder="1" applyAlignment="1">
      <alignment horizontal="right"/>
    </xf>
    <xf numFmtId="3" fontId="28" fillId="0" borderId="4" xfId="0" applyNumberFormat="1" applyFont="1" applyBorder="1" applyAlignment="1">
      <alignment horizontal="right"/>
    </xf>
    <xf numFmtId="0" fontId="28" fillId="0" borderId="4" xfId="0" applyFont="1" applyBorder="1" applyAlignment="1">
      <alignment horizontal="right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0" fontId="27" fillId="0" borderId="1" xfId="0" applyFont="1" applyBorder="1"/>
    <xf numFmtId="0" fontId="26" fillId="0" borderId="0" xfId="0" applyFont="1"/>
    <xf numFmtId="0" fontId="26" fillId="0" borderId="7" xfId="0" applyFont="1" applyBorder="1"/>
    <xf numFmtId="0" fontId="26" fillId="0" borderId="6" xfId="0" applyFont="1" applyBorder="1"/>
    <xf numFmtId="0" fontId="26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166" fontId="85" fillId="0" borderId="0" xfId="0" applyNumberFormat="1" applyFont="1" applyAlignment="1">
      <alignment horizontal="center"/>
    </xf>
    <xf numFmtId="166" fontId="85" fillId="0" borderId="0" xfId="0" applyNumberFormat="1" applyFont="1"/>
    <xf numFmtId="166" fontId="82" fillId="0" borderId="0" xfId="0" applyNumberFormat="1" applyFont="1" applyAlignment="1">
      <alignment horizontal="center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6" fillId="0" borderId="1" xfId="0" applyFont="1" applyBorder="1"/>
    <xf numFmtId="0" fontId="16" fillId="0" borderId="0" xfId="0" applyFont="1"/>
    <xf numFmtId="2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2" fontId="14" fillId="0" borderId="0" xfId="0" applyNumberFormat="1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/>
    <xf numFmtId="4" fontId="14" fillId="0" borderId="0" xfId="0" applyNumberFormat="1" applyFont="1" applyAlignment="1">
      <alignment horizontal="right"/>
    </xf>
    <xf numFmtId="0" fontId="88" fillId="0" borderId="0" xfId="0" quotePrefix="1" applyFont="1"/>
    <xf numFmtId="167" fontId="8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4" fontId="85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0" fillId="0" borderId="0" xfId="0" applyFont="1" applyAlignment="1">
      <alignment horizontal="right"/>
    </xf>
    <xf numFmtId="14" fontId="10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3" xfId="0" applyFont="1" applyBorder="1"/>
    <xf numFmtId="0" fontId="9" fillId="0" borderId="4" xfId="0" applyFont="1" applyBorder="1"/>
    <xf numFmtId="2" fontId="9" fillId="0" borderId="4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/>
    <xf numFmtId="3" fontId="9" fillId="0" borderId="0" xfId="0" applyNumberFormat="1" applyFont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" fontId="85" fillId="0" borderId="0" xfId="0" applyNumberFormat="1" applyFont="1"/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4" fontId="76" fillId="0" borderId="0" xfId="0" applyNumberFormat="1" applyFont="1"/>
    <xf numFmtId="14" fontId="76" fillId="0" borderId="0" xfId="0" applyNumberFormat="1" applyFont="1"/>
    <xf numFmtId="3" fontId="6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2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7" sqref="F7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0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2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8" t="s">
        <v>637</v>
      </c>
      <c r="C39" s="207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5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9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9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9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9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">
      <c r="A13" s="151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1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1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6" t="s">
        <v>613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1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1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6" t="s">
        <v>616</v>
      </c>
      <c r="J17" s="39">
        <v>45555</v>
      </c>
      <c r="X17" s="57">
        <v>2011</v>
      </c>
    </row>
    <row r="18" spans="1:24" s="20" customFormat="1" x14ac:dyDescent="0.2">
      <c r="A18" s="151" t="s">
        <v>253</v>
      </c>
      <c r="B18" s="187" t="s">
        <v>68</v>
      </c>
      <c r="C18" s="188" t="s">
        <v>69</v>
      </c>
      <c r="D18" s="189">
        <v>472.5</v>
      </c>
      <c r="E18" s="190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+[22]Main!$J$5-[22]Main!$J$6</f>
        <v>840.96199999999999</v>
      </c>
      <c r="G20" s="22">
        <f>+E20-F20</f>
        <v>6323.4996778000004</v>
      </c>
      <c r="H20" s="22">
        <f>+[22]Main!$J$3</f>
        <v>322.723499</v>
      </c>
      <c r="I20" s="245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+[23]Main!$M$5-[23]Main!$M$6</f>
        <v>487.66099999999994</v>
      </c>
      <c r="G41" s="22">
        <f>+E41-F41</f>
        <v>2831.4697980999995</v>
      </c>
      <c r="H41" s="22">
        <f>+[23]Main!$M$3</f>
        <v>101.626785</v>
      </c>
      <c r="I41" s="204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+[24]Main!$H$5-[24]Main!$H$6</f>
        <v>1019.114</v>
      </c>
      <c r="G42" s="22">
        <f>+E42-F42</f>
        <v>2334.0939243999997</v>
      </c>
      <c r="H42" s="22">
        <f>+[24]Main!$H$3</f>
        <v>302.09080399999999</v>
      </c>
      <c r="I42" s="204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+[25]Main!$K$5-[25]Main!$K$6</f>
        <v>-11.827999999999975</v>
      </c>
      <c r="G43" s="22">
        <f>+E43-F43</f>
        <v>2010.4494199999999</v>
      </c>
      <c r="H43" s="22">
        <f>+[25]Main!$K$3</f>
        <v>73.316999999999993</v>
      </c>
      <c r="I43" s="213" t="s">
        <v>616</v>
      </c>
      <c r="J43" s="226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+[26]Main!$J$5-[26]Main!$J$6</f>
        <v>4999</v>
      </c>
      <c r="G44" s="22">
        <f>+E44-F44</f>
        <v>413.66717790000075</v>
      </c>
      <c r="H44" s="22">
        <f>+[26]Main!$J$3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+[27]Main!$M$3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</hyperlinks>
  <pageMargins left="0.7" right="0.7" top="0.75" bottom="0.75" header="0.3" footer="0.3"/>
  <pageSetup orientation="portrait" horizontalDpi="1200" verticalDpi="1200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+D3*[28]Main!$M$3</f>
        <v>1060619.4696</v>
      </c>
      <c r="F3" s="22">
        <f>+[28]Main!$M$5-[28]Main!$M$6</f>
        <v>38382</v>
      </c>
      <c r="G3" s="22">
        <f t="shared" ref="G3:G4" si="0">+E3-F3</f>
        <v>1022237.4696</v>
      </c>
      <c r="H3" s="22">
        <f>+[28]Main!$M$3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+[28]Model!$AX$50</f>
        <v>0.08</v>
      </c>
      <c r="N3" s="28">
        <f>+[28]Model!$AX$51</f>
        <v>-0.05</v>
      </c>
      <c r="O3" s="28">
        <f>+[28]Model!$AX$52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+D4*[29]Main!$L$3*1000/HKD</f>
        <v>341793.77818543144</v>
      </c>
      <c r="F4" s="22">
        <f>([29]Main!$L$5-[29]Main!$L$6)/HKD*1000</f>
        <v>81912.914978725574</v>
      </c>
      <c r="G4" s="22">
        <f t="shared" si="0"/>
        <v>259880.86320670586</v>
      </c>
      <c r="H4" s="22">
        <f>+[29]Main!$L$3*1000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+[30]Main!$L$5-[30]Main!$L$6</f>
        <v>688.14800000000014</v>
      </c>
      <c r="G8" s="22">
        <f>E8-F8</f>
        <v>18669.064852</v>
      </c>
      <c r="H8" s="22">
        <f>+[30]Main!$L$3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6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144" t="s">
        <v>321</v>
      </c>
      <c r="C13" s="236" t="s">
        <v>642</v>
      </c>
      <c r="D13" s="237">
        <v>70.06</v>
      </c>
      <c r="E13" s="130">
        <v>11000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6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+[31]Main!$K$5-[31]Main!$K$6</f>
        <v>-240.45199999999997</v>
      </c>
      <c r="G16" s="22">
        <f>+E16-F16</f>
        <v>2399.8764657799998</v>
      </c>
      <c r="H16" s="22">
        <f>+[31]Main!$K$3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6" t="s">
        <v>643</v>
      </c>
      <c r="D17" s="237">
        <v>2.8</v>
      </c>
      <c r="E17" s="239">
        <f>+D17*H17</f>
        <v>269.08319199999994</v>
      </c>
      <c r="F17" s="130">
        <f>+[32]Main!$K$5-[32]Main!$K$6</f>
        <v>-41.52800000000002</v>
      </c>
      <c r="G17" s="22">
        <f>+E17-F17</f>
        <v>310.61119199999996</v>
      </c>
      <c r="H17" s="130">
        <f>+[32]Main!$K$3</f>
        <v>96.101139999999987</v>
      </c>
      <c r="I17" s="240" t="s">
        <v>616</v>
      </c>
      <c r="J17" s="238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2" bestFit="1" customWidth="1"/>
    <col min="2" max="2" width="15" style="192" customWidth="1"/>
    <col min="3" max="16384" width="9.140625" style="192"/>
  </cols>
  <sheetData>
    <row r="1" spans="1:24" x14ac:dyDescent="0.2">
      <c r="A1" s="5" t="s">
        <v>142</v>
      </c>
    </row>
    <row r="2" spans="1:24" x14ac:dyDescent="0.2">
      <c r="A2" s="5"/>
      <c r="B2" s="192" t="s">
        <v>0</v>
      </c>
      <c r="C2" s="192" t="s">
        <v>1</v>
      </c>
      <c r="D2" s="193" t="s">
        <v>2</v>
      </c>
      <c r="E2" s="194" t="s">
        <v>3</v>
      </c>
      <c r="F2" s="193" t="s">
        <v>385</v>
      </c>
      <c r="G2" s="193" t="s">
        <v>5</v>
      </c>
      <c r="H2" s="193" t="s">
        <v>213</v>
      </c>
      <c r="I2" s="193" t="s">
        <v>386</v>
      </c>
      <c r="J2" s="193" t="s">
        <v>224</v>
      </c>
    </row>
    <row r="3" spans="1:24" x14ac:dyDescent="0.2">
      <c r="A3" s="192" t="s">
        <v>253</v>
      </c>
      <c r="B3" s="5" t="s">
        <v>179</v>
      </c>
      <c r="C3" s="192" t="s">
        <v>180</v>
      </c>
      <c r="D3" s="195">
        <v>375.71</v>
      </c>
      <c r="E3" s="194">
        <f>+D3*H3</f>
        <v>57472.452251789997</v>
      </c>
      <c r="F3" s="194">
        <f>+[33]Main!$N$5-[33]Main!$N$6</f>
        <v>1696.7459999999999</v>
      </c>
      <c r="G3" s="194">
        <f t="shared" ref="G3:G8" si="0">E3-F3</f>
        <v>55775.706251789998</v>
      </c>
      <c r="H3" s="194">
        <f>+[33]Main!$N$3</f>
        <v>152.970249</v>
      </c>
      <c r="I3" s="193" t="s">
        <v>14</v>
      </c>
      <c r="J3" s="196">
        <v>44783</v>
      </c>
      <c r="K3" s="197"/>
      <c r="L3" s="197"/>
      <c r="M3" s="197"/>
      <c r="N3" s="197"/>
      <c r="O3" s="197"/>
      <c r="P3" s="198"/>
      <c r="Q3" s="197"/>
      <c r="R3" s="197"/>
      <c r="S3" s="199"/>
      <c r="T3" s="198"/>
      <c r="U3" s="197"/>
      <c r="V3" s="197"/>
      <c r="W3" s="199"/>
    </row>
    <row r="4" spans="1:24" x14ac:dyDescent="0.2">
      <c r="A4" s="192" t="s">
        <v>253</v>
      </c>
      <c r="B4" s="5" t="s">
        <v>177</v>
      </c>
      <c r="C4" s="192" t="s">
        <v>178</v>
      </c>
      <c r="D4" s="195">
        <v>39.74</v>
      </c>
      <c r="E4" s="194">
        <f>+D4*[34]Main!$L$3*EUR</f>
        <v>53089.738980000009</v>
      </c>
      <c r="F4" s="194">
        <f>+([34]Main!$L$5-[34]Main!$L$6)*EUR</f>
        <v>-490.25400000000008</v>
      </c>
      <c r="G4" s="194">
        <f t="shared" si="0"/>
        <v>53579.99298000001</v>
      </c>
      <c r="H4" s="194"/>
      <c r="I4" s="193" t="s">
        <v>200</v>
      </c>
      <c r="J4" s="193"/>
      <c r="K4" s="197"/>
      <c r="L4" s="197"/>
      <c r="M4" s="197"/>
      <c r="N4" s="197"/>
      <c r="O4" s="197"/>
      <c r="P4" s="198"/>
      <c r="Q4" s="197"/>
      <c r="R4" s="197"/>
      <c r="S4" s="199"/>
      <c r="T4" s="198"/>
      <c r="U4" s="197"/>
      <c r="V4" s="197"/>
      <c r="W4" s="199"/>
    </row>
    <row r="5" spans="1:24" x14ac:dyDescent="0.2">
      <c r="A5" s="192" t="s">
        <v>253</v>
      </c>
      <c r="B5" s="5" t="s">
        <v>48</v>
      </c>
      <c r="C5" s="192" t="s">
        <v>49</v>
      </c>
      <c r="D5" s="195">
        <v>186</v>
      </c>
      <c r="E5" s="194">
        <f>+D5*H5</f>
        <v>51584.495999999999</v>
      </c>
      <c r="F5" s="194">
        <f>+[35]Main!$K$5-[35]Main!$K$6</f>
        <v>741.35200000000009</v>
      </c>
      <c r="G5" s="194">
        <f t="shared" si="0"/>
        <v>50843.144</v>
      </c>
      <c r="H5" s="194">
        <f>+[35]Main!$K$3</f>
        <v>277.33600000000001</v>
      </c>
      <c r="I5" s="193" t="s">
        <v>221</v>
      </c>
      <c r="J5" s="193"/>
      <c r="K5" s="197"/>
      <c r="L5" s="197"/>
      <c r="M5" s="197"/>
      <c r="N5" s="197"/>
      <c r="O5" s="197"/>
      <c r="P5" s="198"/>
      <c r="Q5" s="197"/>
      <c r="R5" s="197"/>
      <c r="S5" s="199"/>
      <c r="T5" s="198"/>
      <c r="U5" s="197"/>
      <c r="V5" s="197"/>
      <c r="W5" s="199"/>
    </row>
    <row r="6" spans="1:24" x14ac:dyDescent="0.2">
      <c r="A6" s="192" t="s">
        <v>253</v>
      </c>
      <c r="B6" s="5" t="s">
        <v>46</v>
      </c>
      <c r="C6" s="192" t="s">
        <v>47</v>
      </c>
      <c r="D6" s="195">
        <v>203.73</v>
      </c>
      <c r="E6" s="194">
        <f>+D6*H6</f>
        <v>44264.86632465</v>
      </c>
      <c r="F6" s="194">
        <f>+[36]Main!$L$5-[36]Main!$L$6</f>
        <v>-1005</v>
      </c>
      <c r="G6" s="194">
        <f t="shared" si="0"/>
        <v>45269.86632465</v>
      </c>
      <c r="H6" s="194">
        <f>+[36]Main!$L$3</f>
        <v>217.27220500000001</v>
      </c>
      <c r="I6" s="193" t="s">
        <v>14</v>
      </c>
      <c r="J6" s="193"/>
      <c r="K6" s="197"/>
      <c r="L6" s="197"/>
      <c r="M6" s="197"/>
      <c r="N6" s="197"/>
      <c r="O6" s="197"/>
      <c r="P6" s="198"/>
      <c r="Q6" s="197"/>
      <c r="R6" s="197"/>
      <c r="S6" s="199"/>
      <c r="T6" s="198"/>
      <c r="U6" s="197"/>
      <c r="V6" s="197"/>
      <c r="W6" s="199"/>
      <c r="X6" s="192">
        <v>1982</v>
      </c>
    </row>
    <row r="7" spans="1:24" x14ac:dyDescent="0.2">
      <c r="A7" s="192" t="s">
        <v>253</v>
      </c>
      <c r="B7" s="5" t="s">
        <v>61</v>
      </c>
      <c r="C7" s="192" t="s">
        <v>62</v>
      </c>
      <c r="D7" s="195">
        <v>236.61</v>
      </c>
      <c r="E7" s="194">
        <f>+D7*H7</f>
        <v>20601.316825649999</v>
      </c>
      <c r="F7" s="194">
        <f>+[37]Main!$M$5-[37]Main!$M$6</f>
        <v>-235.76700000000005</v>
      </c>
      <c r="G7" s="194">
        <f t="shared" si="0"/>
        <v>20837.083825649999</v>
      </c>
      <c r="H7" s="194">
        <f>+[37]Main!$M$3</f>
        <v>87.068664999999996</v>
      </c>
      <c r="I7" s="193" t="s">
        <v>200</v>
      </c>
      <c r="J7" s="196">
        <v>44795</v>
      </c>
      <c r="K7" s="197"/>
      <c r="L7" s="197"/>
      <c r="M7" s="197"/>
      <c r="N7" s="197"/>
      <c r="O7" s="197"/>
      <c r="P7" s="198"/>
      <c r="Q7" s="197"/>
      <c r="R7" s="197"/>
      <c r="S7" s="199"/>
      <c r="T7" s="198"/>
      <c r="U7" s="197"/>
      <c r="V7" s="197"/>
      <c r="W7" s="199"/>
    </row>
    <row r="8" spans="1:24" x14ac:dyDescent="0.2">
      <c r="B8" s="87" t="s">
        <v>219</v>
      </c>
      <c r="C8" s="192" t="s">
        <v>220</v>
      </c>
      <c r="D8" s="195">
        <v>122.15</v>
      </c>
      <c r="E8" s="194">
        <f>D8*H8/SEK</f>
        <v>31958.952028771135</v>
      </c>
      <c r="F8" s="194">
        <f>([38]Main!$L$5-[38]Main!$L$6)*EUR</f>
        <v>-3389.8630000000003</v>
      </c>
      <c r="G8" s="194">
        <f t="shared" si="0"/>
        <v>35348.815028771132</v>
      </c>
      <c r="H8" s="194">
        <f>[38]Main!$L$3</f>
        <v>2706.2939999999999</v>
      </c>
      <c r="I8" s="193" t="s">
        <v>380</v>
      </c>
      <c r="J8" s="196">
        <v>45056</v>
      </c>
      <c r="K8" s="197"/>
      <c r="L8" s="197"/>
      <c r="M8" s="197"/>
      <c r="N8" s="197"/>
      <c r="O8" s="199"/>
      <c r="P8" s="198"/>
      <c r="Q8" s="197"/>
      <c r="R8" s="197"/>
      <c r="S8" s="199"/>
      <c r="T8" s="198"/>
      <c r="U8" s="197"/>
      <c r="V8" s="197"/>
      <c r="W8" s="199"/>
      <c r="X8" s="192">
        <v>1992</v>
      </c>
    </row>
    <row r="9" spans="1:24" x14ac:dyDescent="0.2">
      <c r="A9" s="192" t="s">
        <v>253</v>
      </c>
      <c r="B9" s="200" t="s">
        <v>92</v>
      </c>
      <c r="C9" s="192" t="s">
        <v>92</v>
      </c>
      <c r="D9" s="195">
        <v>115.52</v>
      </c>
      <c r="E9" s="194">
        <v>13640</v>
      </c>
    </row>
    <row r="10" spans="1:24" x14ac:dyDescent="0.2">
      <c r="B10" s="192" t="s">
        <v>222</v>
      </c>
      <c r="C10" s="192" t="s">
        <v>223</v>
      </c>
      <c r="D10" s="201">
        <v>31.44</v>
      </c>
      <c r="E10" s="194">
        <v>2220</v>
      </c>
      <c r="F10" s="193"/>
      <c r="G10" s="193"/>
      <c r="H10" s="193"/>
      <c r="I10" s="193"/>
      <c r="J10" s="193"/>
      <c r="K10" s="197"/>
      <c r="L10" s="197"/>
      <c r="M10" s="197"/>
      <c r="N10" s="197"/>
      <c r="O10" s="197"/>
      <c r="P10" s="198"/>
      <c r="Q10" s="197"/>
      <c r="R10" s="197"/>
      <c r="S10" s="199"/>
      <c r="T10" s="198"/>
      <c r="U10" s="197"/>
      <c r="V10" s="197"/>
      <c r="W10" s="199"/>
    </row>
    <row r="11" spans="1:24" x14ac:dyDescent="0.2">
      <c r="B11" s="192" t="s">
        <v>315</v>
      </c>
      <c r="C11" s="192" t="s">
        <v>372</v>
      </c>
      <c r="D11" s="193"/>
      <c r="E11" s="193"/>
      <c r="F11" s="193"/>
      <c r="G11" s="193"/>
      <c r="H11" s="193"/>
      <c r="I11" s="193"/>
      <c r="J11" s="193"/>
    </row>
    <row r="12" spans="1:24" x14ac:dyDescent="0.2">
      <c r="B12" s="192" t="s">
        <v>316</v>
      </c>
      <c r="D12" s="193"/>
      <c r="E12" s="193"/>
      <c r="F12" s="193"/>
      <c r="G12" s="193"/>
      <c r="H12" s="193"/>
      <c r="I12" s="193"/>
      <c r="J12" s="193"/>
    </row>
    <row r="13" spans="1:24" x14ac:dyDescent="0.2">
      <c r="A13" s="192" t="s">
        <v>253</v>
      </c>
      <c r="B13" s="192" t="s">
        <v>489</v>
      </c>
      <c r="C13" s="192" t="s">
        <v>107</v>
      </c>
    </row>
    <row r="14" spans="1:24" x14ac:dyDescent="0.2">
      <c r="A14" s="192" t="s">
        <v>253</v>
      </c>
      <c r="B14" s="200" t="s">
        <v>90</v>
      </c>
      <c r="C14" s="192" t="s">
        <v>91</v>
      </c>
      <c r="D14" s="195">
        <v>206.61</v>
      </c>
      <c r="E14" s="194">
        <v>13880</v>
      </c>
    </row>
    <row r="15" spans="1:24" x14ac:dyDescent="0.2">
      <c r="A15" s="192" t="s">
        <v>253</v>
      </c>
      <c r="B15" s="192" t="s">
        <v>441</v>
      </c>
      <c r="C15" s="192" t="s">
        <v>440</v>
      </c>
    </row>
    <row r="16" spans="1:24" x14ac:dyDescent="0.2">
      <c r="A16" s="192" t="s">
        <v>253</v>
      </c>
      <c r="B16" s="192" t="s">
        <v>517</v>
      </c>
      <c r="C16" s="192" t="s">
        <v>518</v>
      </c>
    </row>
    <row r="17" spans="1:5" x14ac:dyDescent="0.2">
      <c r="A17" s="192" t="s">
        <v>253</v>
      </c>
      <c r="B17" s="192" t="s">
        <v>535</v>
      </c>
      <c r="C17" s="192" t="s">
        <v>536</v>
      </c>
    </row>
    <row r="18" spans="1:5" x14ac:dyDescent="0.2">
      <c r="A18" s="192" t="s">
        <v>253</v>
      </c>
      <c r="B18" s="192" t="s">
        <v>551</v>
      </c>
      <c r="C18" s="192" t="s">
        <v>552</v>
      </c>
    </row>
    <row r="19" spans="1:5" x14ac:dyDescent="0.2">
      <c r="A19" s="192" t="s">
        <v>253</v>
      </c>
      <c r="B19" s="192" t="s">
        <v>555</v>
      </c>
      <c r="C19" s="192" t="s">
        <v>556</v>
      </c>
    </row>
    <row r="20" spans="1:5" x14ac:dyDescent="0.2">
      <c r="A20" s="192" t="s">
        <v>253</v>
      </c>
      <c r="B20" s="192" t="s">
        <v>559</v>
      </c>
      <c r="C20" s="192" t="s">
        <v>560</v>
      </c>
    </row>
    <row r="22" spans="1:5" x14ac:dyDescent="0.2">
      <c r="B22" s="74" t="s">
        <v>248</v>
      </c>
    </row>
    <row r="23" spans="1:5" x14ac:dyDescent="0.2">
      <c r="B23" s="192" t="s">
        <v>403</v>
      </c>
      <c r="E23" s="192">
        <v>2400</v>
      </c>
    </row>
    <row r="24" spans="1:5" x14ac:dyDescent="0.2">
      <c r="B24" s="192" t="s">
        <v>382</v>
      </c>
      <c r="E24" s="192">
        <v>1500</v>
      </c>
    </row>
    <row r="25" spans="1:5" x14ac:dyDescent="0.2">
      <c r="B25" s="192" t="s">
        <v>384</v>
      </c>
      <c r="E25" s="192">
        <v>1000</v>
      </c>
    </row>
    <row r="26" spans="1:5" x14ac:dyDescent="0.2">
      <c r="B26" s="192" t="s">
        <v>402</v>
      </c>
      <c r="E26" s="192">
        <v>1000</v>
      </c>
    </row>
    <row r="27" spans="1:5" x14ac:dyDescent="0.2">
      <c r="B27" s="192" t="s">
        <v>373</v>
      </c>
    </row>
    <row r="28" spans="1:5" x14ac:dyDescent="0.2">
      <c r="B28" s="192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+D4*[29]Main!$L$3*1000/HKD</f>
        <v>482256.9746999924</v>
      </c>
      <c r="F4" s="22">
        <f>([29]Main!$L$5-[29]Main!$L$6)/HKD*1000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+D5*[39]Main!$N$4</f>
        <v>238336</v>
      </c>
      <c r="F5" s="22">
        <f>+[39]Main!$N$6-[39]Main!$N$7</f>
        <v>1888</v>
      </c>
      <c r="G5" s="22">
        <f t="shared" ref="G5:G8" si="0">+E5-F5</f>
        <v>236448</v>
      </c>
      <c r="H5" s="22">
        <f>+[39]Main!$N$4</f>
        <v>448</v>
      </c>
      <c r="I5" s="180" t="s">
        <v>616</v>
      </c>
      <c r="J5" s="39">
        <v>45548</v>
      </c>
      <c r="K5" s="24"/>
      <c r="L5" s="24"/>
      <c r="M5" s="179">
        <f>+[39]Model!$AP$36</f>
        <v>0.08</v>
      </c>
      <c r="N5" s="28">
        <f>+[39]Model!$AP$34</f>
        <v>0.01</v>
      </c>
      <c r="O5" s="28">
        <f>+[39]Model!$AP$35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([40]Main!$O$7-[40]Main!$O$8)/JPY</f>
        <v>3147.411085956328</v>
      </c>
      <c r="G6" s="22">
        <f t="shared" si="0"/>
        <v>105608.27667421309</v>
      </c>
      <c r="H6" s="22">
        <f>[40]Main!$O$4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([40]Main!$O$7-[40]Main!$O$8)/JPY</f>
        <v>3147.411085956328</v>
      </c>
      <c r="G7" s="22">
        <f t="shared" si="0"/>
        <v>105585.25031404367</v>
      </c>
      <c r="H7" s="22">
        <f>[40]Main!$O$4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46"/>
      <c r="E10" s="46"/>
    </row>
    <row r="11" spans="1:27" x14ac:dyDescent="0.2">
      <c r="A11" s="77"/>
      <c r="B11" s="77" t="s">
        <v>284</v>
      </c>
      <c r="C11" s="77" t="s">
        <v>285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1">
        <v>142</v>
      </c>
      <c r="E12" s="46">
        <f>+D12*H12</f>
        <v>37516.390202000002</v>
      </c>
      <c r="F12" s="46">
        <f>+[41]Main!$N$5-[41]Main!$N$6</f>
        <v>884</v>
      </c>
      <c r="G12" s="46">
        <f>+E12-F12</f>
        <v>36632.390202000002</v>
      </c>
      <c r="H12" s="46">
        <f>+[41]Main!$N$3</f>
        <v>264.19993099999999</v>
      </c>
      <c r="I12" s="232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[42]Main!$L$5-[42]Main!$L$6</f>
        <v>2595.5510000000004</v>
      </c>
      <c r="G13" s="3">
        <f>+E13-F13</f>
        <v>20254.362459200001</v>
      </c>
      <c r="H13" s="3">
        <f>[42]Main!$L$3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s="1" customFormat="1" x14ac:dyDescent="0.2">
      <c r="B14" s="104" t="s">
        <v>330</v>
      </c>
      <c r="C14" s="1" t="s">
        <v>331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467</v>
      </c>
      <c r="C17" s="1" t="s">
        <v>468</v>
      </c>
      <c r="D17" s="2"/>
      <c r="E17" s="3"/>
      <c r="F17" s="4"/>
      <c r="G17" s="4"/>
      <c r="H17" s="4"/>
    </row>
    <row r="18" spans="2:26" s="1" customFormat="1" x14ac:dyDescent="0.2">
      <c r="B18" s="1" t="s">
        <v>473</v>
      </c>
      <c r="D18" s="2"/>
      <c r="E18" s="3"/>
      <c r="F18" s="4"/>
      <c r="G18" s="4"/>
      <c r="H18" s="4"/>
    </row>
    <row r="19" spans="2:26" s="1" customFormat="1" x14ac:dyDescent="0.2">
      <c r="B19" s="1" t="s">
        <v>475</v>
      </c>
      <c r="C19" s="1" t="s">
        <v>476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+D21*[43]Main!$K$3</f>
        <v>20147.20788088</v>
      </c>
      <c r="F21" s="22">
        <f>+[43]Main!$K$5-[43]Main!$K$6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49" t="s">
        <v>479</v>
      </c>
      <c r="C23" s="149" t="s">
        <v>480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1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5" t="s">
        <v>400</v>
      </c>
    </row>
    <row r="31" spans="2:26" x14ac:dyDescent="0.2">
      <c r="B31" s="148" t="s">
        <v>463</v>
      </c>
    </row>
    <row r="32" spans="2:26" x14ac:dyDescent="0.2">
      <c r="B32" s="144" t="s">
        <v>444</v>
      </c>
      <c r="E32" s="10">
        <v>100</v>
      </c>
      <c r="H32" s="144" t="s">
        <v>445</v>
      </c>
    </row>
    <row r="33" spans="2:10" x14ac:dyDescent="0.2">
      <c r="B33" s="148" t="s">
        <v>464</v>
      </c>
      <c r="H33" s="144"/>
      <c r="J33" s="148" t="s">
        <v>465</v>
      </c>
    </row>
    <row r="34" spans="2:10" x14ac:dyDescent="0.2">
      <c r="B34" s="148" t="s">
        <v>469</v>
      </c>
      <c r="H34" s="144"/>
      <c r="J34" s="148"/>
    </row>
    <row r="35" spans="2:10" x14ac:dyDescent="0.2">
      <c r="B35" s="148" t="s">
        <v>470</v>
      </c>
      <c r="H35" s="144"/>
      <c r="J35" s="148"/>
    </row>
    <row r="36" spans="2:10" x14ac:dyDescent="0.2">
      <c r="B36" s="148" t="s">
        <v>471</v>
      </c>
    </row>
    <row r="37" spans="2:10" x14ac:dyDescent="0.2">
      <c r="B37" s="148" t="s">
        <v>477</v>
      </c>
      <c r="J37" s="148" t="s">
        <v>478</v>
      </c>
    </row>
    <row r="38" spans="2:10" x14ac:dyDescent="0.2">
      <c r="B38" s="148" t="s">
        <v>472</v>
      </c>
    </row>
    <row r="39" spans="2:10" x14ac:dyDescent="0.2">
      <c r="B39" s="148" t="s">
        <v>474</v>
      </c>
    </row>
    <row r="40" spans="2:10" x14ac:dyDescent="0.2">
      <c r="B40" s="148"/>
    </row>
    <row r="41" spans="2:10" x14ac:dyDescent="0.2">
      <c r="B41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212" bestFit="1" customWidth="1"/>
    <col min="2" max="2" width="18.28515625" style="212" customWidth="1"/>
    <col min="3" max="3" width="10.42578125" style="212" bestFit="1" customWidth="1"/>
    <col min="4" max="9" width="9.140625" style="213"/>
    <col min="10" max="10" width="10.42578125" style="212" bestFit="1" customWidth="1"/>
    <col min="11" max="16384" width="9.140625" style="212"/>
  </cols>
  <sheetData>
    <row r="1" spans="1:24" x14ac:dyDescent="0.2">
      <c r="A1" s="5" t="s">
        <v>142</v>
      </c>
    </row>
    <row r="2" spans="1:24" x14ac:dyDescent="0.2">
      <c r="B2" s="214" t="s">
        <v>0</v>
      </c>
      <c r="C2" s="215" t="s">
        <v>1</v>
      </c>
      <c r="D2" s="216" t="s">
        <v>2</v>
      </c>
      <c r="E2" s="217" t="s">
        <v>3</v>
      </c>
      <c r="F2" s="218" t="s">
        <v>4</v>
      </c>
      <c r="G2" s="218" t="s">
        <v>5</v>
      </c>
      <c r="H2" s="218" t="s">
        <v>213</v>
      </c>
      <c r="I2" s="218" t="s">
        <v>6</v>
      </c>
      <c r="J2" s="218" t="s">
        <v>224</v>
      </c>
      <c r="K2" s="219" t="s">
        <v>208</v>
      </c>
      <c r="L2" s="219" t="s">
        <v>212</v>
      </c>
      <c r="M2" s="219" t="s">
        <v>209</v>
      </c>
      <c r="N2" s="219" t="s">
        <v>210</v>
      </c>
      <c r="O2" s="220" t="s">
        <v>211</v>
      </c>
      <c r="P2" s="221" t="s">
        <v>229</v>
      </c>
      <c r="Q2" s="219" t="s">
        <v>230</v>
      </c>
      <c r="R2" s="219" t="s">
        <v>231</v>
      </c>
      <c r="S2" s="220">
        <v>2025</v>
      </c>
      <c r="T2" s="221" t="s">
        <v>228</v>
      </c>
      <c r="U2" s="219">
        <v>2023</v>
      </c>
      <c r="V2" s="219">
        <v>2024</v>
      </c>
      <c r="W2" s="220">
        <v>2025</v>
      </c>
      <c r="X2" s="222" t="s">
        <v>214</v>
      </c>
    </row>
    <row r="3" spans="1:24" s="223" customFormat="1" x14ac:dyDescent="0.2">
      <c r="B3" s="138" t="s">
        <v>162</v>
      </c>
      <c r="C3" s="223" t="s">
        <v>163</v>
      </c>
      <c r="D3" s="224">
        <v>277</v>
      </c>
      <c r="E3" s="211">
        <v>524600</v>
      </c>
      <c r="F3" s="211">
        <f>+[44]Main!$K$5-[44]Main!$K$6</f>
        <v>675</v>
      </c>
      <c r="G3" s="211">
        <f>+E3-F3</f>
        <v>523925</v>
      </c>
      <c r="H3" s="211">
        <f>+[44]Main!$K$3</f>
        <v>1822.306223</v>
      </c>
      <c r="I3" s="242" t="s">
        <v>616</v>
      </c>
      <c r="J3" s="226">
        <v>45575</v>
      </c>
    </row>
    <row r="4" spans="1:24" s="223" customFormat="1" x14ac:dyDescent="0.2">
      <c r="B4" s="223" t="s">
        <v>164</v>
      </c>
      <c r="C4" s="223" t="s">
        <v>314</v>
      </c>
      <c r="D4" s="224">
        <v>340.89</v>
      </c>
      <c r="E4" s="211">
        <v>329430</v>
      </c>
      <c r="F4" s="211"/>
      <c r="G4" s="211"/>
      <c r="H4" s="211"/>
      <c r="I4" s="211"/>
    </row>
    <row r="5" spans="1:24" s="223" customFormat="1" x14ac:dyDescent="0.2">
      <c r="B5" s="223" t="s">
        <v>257</v>
      </c>
      <c r="C5" s="223" t="s">
        <v>258</v>
      </c>
      <c r="D5" s="224">
        <v>517</v>
      </c>
      <c r="E5" s="211"/>
      <c r="F5" s="211"/>
      <c r="G5" s="211"/>
      <c r="H5" s="211"/>
      <c r="I5" s="211"/>
      <c r="O5" s="212"/>
      <c r="P5" s="212"/>
    </row>
    <row r="6" spans="1:24" s="223" customFormat="1" x14ac:dyDescent="0.2">
      <c r="B6" s="223" t="s">
        <v>261</v>
      </c>
      <c r="C6" s="223" t="s">
        <v>262</v>
      </c>
      <c r="D6" s="224">
        <v>284</v>
      </c>
      <c r="E6" s="211"/>
      <c r="F6" s="211"/>
      <c r="G6" s="211"/>
      <c r="H6" s="211"/>
      <c r="I6" s="211"/>
      <c r="O6" s="212"/>
      <c r="P6" s="212"/>
    </row>
    <row r="7" spans="1:24" x14ac:dyDescent="0.2">
      <c r="A7" s="212" t="s">
        <v>253</v>
      </c>
      <c r="B7" s="108" t="s">
        <v>26</v>
      </c>
      <c r="C7" s="212" t="s">
        <v>27</v>
      </c>
      <c r="D7" s="225">
        <v>613</v>
      </c>
      <c r="E7" s="211">
        <f>+D7*H7</f>
        <v>171640</v>
      </c>
      <c r="F7" s="211">
        <f>[45]Main!$L$5-[45]Main!$L$6</f>
        <v>-1833</v>
      </c>
      <c r="G7" s="211">
        <f>E7-F7</f>
        <v>173473</v>
      </c>
      <c r="H7" s="211">
        <f>+[45]Main!$L$3</f>
        <v>280</v>
      </c>
      <c r="I7" s="234" t="s">
        <v>616</v>
      </c>
      <c r="J7" s="226">
        <v>45573</v>
      </c>
      <c r="K7" s="227"/>
      <c r="L7" s="227"/>
      <c r="M7" s="227"/>
      <c r="N7" s="227"/>
      <c r="Q7" s="227"/>
      <c r="R7" s="227"/>
      <c r="S7" s="228"/>
      <c r="T7" s="229"/>
      <c r="U7" s="227"/>
      <c r="V7" s="227"/>
      <c r="W7" s="228"/>
      <c r="X7" s="212">
        <v>1984</v>
      </c>
    </row>
    <row r="8" spans="1:24" s="223" customFormat="1" x14ac:dyDescent="0.2">
      <c r="B8" s="138" t="s">
        <v>31</v>
      </c>
      <c r="C8" s="223" t="s">
        <v>32</v>
      </c>
      <c r="D8" s="224">
        <v>72</v>
      </c>
      <c r="E8" s="211">
        <f>D8*H8</f>
        <v>75384</v>
      </c>
      <c r="F8" s="211">
        <f>[46]Main!$M$5-[46]Main!$M$6</f>
        <v>8542</v>
      </c>
      <c r="G8" s="211">
        <f>E8-F8</f>
        <v>66842</v>
      </c>
      <c r="H8" s="211">
        <f>[46]Main!$M$3</f>
        <v>1047</v>
      </c>
      <c r="I8" s="211" t="s">
        <v>616</v>
      </c>
      <c r="J8" s="226">
        <v>45566</v>
      </c>
      <c r="O8" s="212"/>
      <c r="P8" s="212"/>
    </row>
    <row r="9" spans="1:24" x14ac:dyDescent="0.2">
      <c r="B9" s="212" t="s">
        <v>265</v>
      </c>
      <c r="C9" s="235" t="s">
        <v>640</v>
      </c>
      <c r="D9" s="213">
        <v>188.13</v>
      </c>
    </row>
    <row r="10" spans="1:24" x14ac:dyDescent="0.2">
      <c r="B10" s="212" t="s">
        <v>268</v>
      </c>
      <c r="C10" s="212" t="s">
        <v>269</v>
      </c>
      <c r="D10" s="213">
        <v>161.51</v>
      </c>
    </row>
    <row r="11" spans="1:24" s="223" customFormat="1" x14ac:dyDescent="0.2">
      <c r="B11" s="223" t="s">
        <v>243</v>
      </c>
      <c r="C11" s="223" t="s">
        <v>161</v>
      </c>
      <c r="D11" s="224">
        <v>64.25</v>
      </c>
      <c r="E11" s="211">
        <v>41870</v>
      </c>
      <c r="F11" s="211"/>
      <c r="G11" s="211"/>
      <c r="H11" s="211"/>
      <c r="I11" s="211"/>
      <c r="O11" s="212"/>
      <c r="P11" s="212"/>
    </row>
    <row r="12" spans="1:24" s="223" customFormat="1" x14ac:dyDescent="0.2">
      <c r="B12" s="223" t="s">
        <v>270</v>
      </c>
      <c r="C12" s="223" t="s">
        <v>271</v>
      </c>
      <c r="D12" s="224">
        <v>138.08000000000001</v>
      </c>
      <c r="E12" s="211"/>
      <c r="F12" s="211"/>
      <c r="G12" s="211"/>
      <c r="H12" s="211"/>
      <c r="I12" s="211"/>
      <c r="O12" s="212"/>
      <c r="P12" s="212"/>
    </row>
    <row r="13" spans="1:24" s="223" customFormat="1" x14ac:dyDescent="0.2">
      <c r="B13" s="138" t="s">
        <v>632</v>
      </c>
      <c r="C13" s="223" t="s">
        <v>633</v>
      </c>
      <c r="D13" s="224">
        <v>22.7</v>
      </c>
      <c r="E13" s="211">
        <f>+D13*H13</f>
        <v>20079.375799999998</v>
      </c>
      <c r="F13" s="211">
        <f>+[47]Main!$L$5-[47]Main!$L$6</f>
        <v>7251</v>
      </c>
      <c r="G13" s="211">
        <f>+E13-F13</f>
        <v>12828.375799999998</v>
      </c>
      <c r="H13" s="211">
        <f>+[47]Main!$L$3</f>
        <v>884.55399999999997</v>
      </c>
      <c r="I13" s="211" t="s">
        <v>616</v>
      </c>
      <c r="J13" s="226">
        <v>45559</v>
      </c>
      <c r="O13" s="212"/>
      <c r="P13" s="212"/>
    </row>
    <row r="14" spans="1:24" s="223" customFormat="1" x14ac:dyDescent="0.2">
      <c r="B14" s="223" t="s">
        <v>272</v>
      </c>
      <c r="C14" s="223" t="s">
        <v>273</v>
      </c>
      <c r="D14" s="224"/>
      <c r="E14" s="211"/>
      <c r="F14" s="211"/>
      <c r="G14" s="211"/>
      <c r="H14" s="211"/>
      <c r="I14" s="211"/>
      <c r="O14" s="212"/>
      <c r="P14" s="212"/>
    </row>
    <row r="15" spans="1:24" s="223" customFormat="1" x14ac:dyDescent="0.2">
      <c r="B15" s="223" t="s">
        <v>288</v>
      </c>
      <c r="C15" s="223" t="s">
        <v>288</v>
      </c>
      <c r="D15" s="224">
        <v>590.69000000000005</v>
      </c>
      <c r="E15" s="211"/>
      <c r="F15" s="211"/>
      <c r="G15" s="211"/>
      <c r="H15" s="211"/>
      <c r="I15" s="211"/>
      <c r="O15" s="212"/>
      <c r="P15" s="212"/>
    </row>
    <row r="16" spans="1:24" s="223" customFormat="1" x14ac:dyDescent="0.2">
      <c r="B16" s="223" t="s">
        <v>289</v>
      </c>
      <c r="C16" s="223" t="s">
        <v>290</v>
      </c>
      <c r="D16" s="224">
        <v>98.94</v>
      </c>
      <c r="E16" s="211"/>
      <c r="F16" s="211"/>
      <c r="G16" s="211"/>
      <c r="H16" s="211"/>
      <c r="I16" s="211"/>
      <c r="O16" s="212"/>
      <c r="P16" s="212"/>
    </row>
    <row r="17" spans="1:23" s="223" customFormat="1" x14ac:dyDescent="0.2">
      <c r="B17" s="223" t="s">
        <v>293</v>
      </c>
      <c r="C17" s="223" t="s">
        <v>294</v>
      </c>
      <c r="D17" s="224"/>
      <c r="E17" s="211"/>
      <c r="F17" s="211"/>
      <c r="G17" s="211"/>
      <c r="H17" s="211"/>
      <c r="I17" s="211"/>
      <c r="O17" s="212"/>
      <c r="P17" s="212"/>
    </row>
    <row r="18" spans="1:23" s="223" customFormat="1" x14ac:dyDescent="0.2">
      <c r="B18" s="233" t="s">
        <v>638</v>
      </c>
      <c r="C18" s="233" t="s">
        <v>639</v>
      </c>
      <c r="D18" s="224">
        <v>27.5</v>
      </c>
      <c r="E18" s="211"/>
      <c r="F18" s="211"/>
      <c r="G18" s="211"/>
      <c r="H18" s="211"/>
      <c r="I18" s="211"/>
      <c r="O18" s="212"/>
      <c r="P18" s="212"/>
    </row>
    <row r="19" spans="1:23" s="223" customFormat="1" x14ac:dyDescent="0.2">
      <c r="B19" s="223" t="s">
        <v>296</v>
      </c>
      <c r="C19" s="223" t="s">
        <v>297</v>
      </c>
      <c r="D19" s="224">
        <v>142.76</v>
      </c>
      <c r="E19" s="211"/>
      <c r="F19" s="211"/>
      <c r="G19" s="211"/>
      <c r="H19" s="211"/>
      <c r="I19" s="211"/>
      <c r="O19" s="212"/>
      <c r="P19" s="212"/>
    </row>
    <row r="20" spans="1:23" s="223" customFormat="1" x14ac:dyDescent="0.2">
      <c r="B20" s="223" t="s">
        <v>306</v>
      </c>
      <c r="C20" s="223" t="s">
        <v>307</v>
      </c>
      <c r="D20" s="224">
        <v>72.069999999999993</v>
      </c>
      <c r="E20" s="211"/>
      <c r="F20" s="211"/>
      <c r="G20" s="211"/>
      <c r="H20" s="211"/>
      <c r="I20" s="211"/>
      <c r="O20" s="212"/>
      <c r="P20" s="212"/>
    </row>
    <row r="21" spans="1:23" s="223" customFormat="1" x14ac:dyDescent="0.2">
      <c r="B21" s="223" t="s">
        <v>70</v>
      </c>
      <c r="C21" s="223" t="s">
        <v>71</v>
      </c>
      <c r="D21" s="224">
        <v>68.930000000000007</v>
      </c>
      <c r="E21" s="211">
        <v>18053</v>
      </c>
      <c r="F21" s="211"/>
      <c r="G21" s="211"/>
      <c r="H21" s="211"/>
      <c r="I21" s="211"/>
      <c r="O21" s="212"/>
      <c r="P21" s="212"/>
    </row>
    <row r="22" spans="1:23" s="223" customFormat="1" x14ac:dyDescent="0.2">
      <c r="A22" s="223" t="s">
        <v>253</v>
      </c>
      <c r="B22" s="223" t="s">
        <v>82</v>
      </c>
      <c r="C22" s="223" t="s">
        <v>83</v>
      </c>
      <c r="D22" s="224">
        <v>58.75</v>
      </c>
      <c r="E22" s="211">
        <v>14980</v>
      </c>
      <c r="F22" s="211"/>
      <c r="G22" s="211"/>
      <c r="H22" s="211"/>
      <c r="I22" s="211"/>
      <c r="O22" s="212"/>
      <c r="P22" s="212"/>
    </row>
    <row r="23" spans="1:23" s="223" customFormat="1" x14ac:dyDescent="0.2">
      <c r="A23" s="223" t="s">
        <v>253</v>
      </c>
      <c r="B23" s="223" t="s">
        <v>103</v>
      </c>
      <c r="C23" s="223" t="s">
        <v>104</v>
      </c>
      <c r="D23" s="224">
        <v>184.44</v>
      </c>
      <c r="E23" s="211">
        <v>10400</v>
      </c>
      <c r="F23" s="211"/>
      <c r="G23" s="211"/>
      <c r="H23" s="211"/>
      <c r="I23" s="211"/>
      <c r="O23" s="212"/>
      <c r="P23" s="212"/>
    </row>
    <row r="24" spans="1:23" x14ac:dyDescent="0.2">
      <c r="B24" s="230" t="s">
        <v>300</v>
      </c>
      <c r="C24" s="212" t="s">
        <v>301</v>
      </c>
      <c r="D24" s="225">
        <v>175.2</v>
      </c>
      <c r="E24" s="211">
        <v>27500</v>
      </c>
      <c r="F24" s="211"/>
      <c r="G24" s="211"/>
      <c r="H24" s="211"/>
      <c r="J24" s="213"/>
      <c r="K24" s="227"/>
      <c r="L24" s="227"/>
      <c r="M24" s="227"/>
      <c r="N24" s="227"/>
      <c r="Q24" s="227"/>
      <c r="R24" s="227"/>
      <c r="S24" s="228"/>
      <c r="T24" s="229"/>
      <c r="U24" s="227"/>
      <c r="V24" s="227"/>
      <c r="W24" s="228"/>
    </row>
    <row r="25" spans="1:23" x14ac:dyDescent="0.2">
      <c r="A25" s="212" t="s">
        <v>253</v>
      </c>
      <c r="B25" s="230" t="s">
        <v>64</v>
      </c>
      <c r="C25" s="212" t="s">
        <v>65</v>
      </c>
      <c r="D25" s="225">
        <v>312</v>
      </c>
      <c r="E25" s="211">
        <v>19090</v>
      </c>
    </row>
    <row r="26" spans="1:23" x14ac:dyDescent="0.2">
      <c r="B26" s="241" t="s">
        <v>645</v>
      </c>
      <c r="C26" s="241" t="s">
        <v>646</v>
      </c>
      <c r="D26" s="225">
        <v>8.1300000000000008</v>
      </c>
      <c r="E26" s="211">
        <v>1700</v>
      </c>
    </row>
    <row r="27" spans="1:23" x14ac:dyDescent="0.2">
      <c r="A27" s="212" t="s">
        <v>253</v>
      </c>
      <c r="B27" s="212" t="s">
        <v>425</v>
      </c>
      <c r="C27" s="212" t="s">
        <v>426</v>
      </c>
    </row>
    <row r="28" spans="1:23" x14ac:dyDescent="0.2">
      <c r="A28" s="212" t="s">
        <v>253</v>
      </c>
      <c r="B28" s="212" t="s">
        <v>431</v>
      </c>
      <c r="C28" s="212" t="s">
        <v>432</v>
      </c>
    </row>
    <row r="29" spans="1:23" x14ac:dyDescent="0.2">
      <c r="A29" s="212" t="s">
        <v>253</v>
      </c>
      <c r="B29" s="212" t="s">
        <v>487</v>
      </c>
      <c r="C29" s="212" t="s">
        <v>488</v>
      </c>
    </row>
    <row r="30" spans="1:23" x14ac:dyDescent="0.2">
      <c r="A30" s="212" t="s">
        <v>253</v>
      </c>
      <c r="B30" s="212" t="s">
        <v>519</v>
      </c>
      <c r="C30" s="212" t="s">
        <v>520</v>
      </c>
    </row>
    <row r="31" spans="1:23" x14ac:dyDescent="0.2">
      <c r="A31" s="212" t="s">
        <v>253</v>
      </c>
      <c r="B31" s="212" t="s">
        <v>543</v>
      </c>
      <c r="C31" s="212" t="s">
        <v>544</v>
      </c>
    </row>
    <row r="32" spans="1:23" x14ac:dyDescent="0.2">
      <c r="A32" s="212" t="s">
        <v>253</v>
      </c>
      <c r="B32" s="212" t="s">
        <v>573</v>
      </c>
      <c r="C32" s="212" t="s">
        <v>574</v>
      </c>
    </row>
    <row r="33" spans="1:9" x14ac:dyDescent="0.2">
      <c r="A33" s="212" t="s">
        <v>253</v>
      </c>
      <c r="B33" s="212" t="s">
        <v>587</v>
      </c>
      <c r="C33" s="212" t="s">
        <v>588</v>
      </c>
    </row>
    <row r="34" spans="1:9" x14ac:dyDescent="0.2">
      <c r="A34" s="212" t="s">
        <v>253</v>
      </c>
      <c r="B34" s="212" t="s">
        <v>595</v>
      </c>
      <c r="C34" s="212" t="s">
        <v>596</v>
      </c>
    </row>
    <row r="35" spans="1:9" x14ac:dyDescent="0.2">
      <c r="A35" s="212" t="s">
        <v>253</v>
      </c>
      <c r="B35" s="212" t="s">
        <v>597</v>
      </c>
      <c r="C35" s="212" t="s">
        <v>598</v>
      </c>
    </row>
    <row r="36" spans="1:9" x14ac:dyDescent="0.2">
      <c r="A36" s="212" t="s">
        <v>253</v>
      </c>
      <c r="B36" s="212" t="s">
        <v>599</v>
      </c>
      <c r="C36" s="212" t="s">
        <v>600</v>
      </c>
    </row>
    <row r="37" spans="1:9" x14ac:dyDescent="0.2">
      <c r="A37" s="212" t="s">
        <v>253</v>
      </c>
      <c r="B37" s="212" t="s">
        <v>605</v>
      </c>
      <c r="C37" s="212" t="s">
        <v>606</v>
      </c>
    </row>
    <row r="39" spans="1:9" s="223" customFormat="1" x14ac:dyDescent="0.2">
      <c r="B39" s="49" t="s">
        <v>33</v>
      </c>
      <c r="C39" s="49" t="s">
        <v>150</v>
      </c>
      <c r="D39" s="50">
        <v>0</v>
      </c>
      <c r="E39" s="9">
        <v>100000</v>
      </c>
      <c r="F39" s="211"/>
      <c r="G39" s="211"/>
      <c r="H39" s="211"/>
      <c r="I39" s="211"/>
    </row>
    <row r="40" spans="1:9" x14ac:dyDescent="0.2">
      <c r="B40" s="126" t="s">
        <v>58</v>
      </c>
      <c r="C40" s="126"/>
      <c r="D40" s="127">
        <v>0</v>
      </c>
      <c r="E40" s="128">
        <v>26000</v>
      </c>
    </row>
    <row r="41" spans="1:9" x14ac:dyDescent="0.2">
      <c r="B41" s="223" t="s">
        <v>86</v>
      </c>
      <c r="C41" s="223"/>
      <c r="D41" s="50">
        <v>0</v>
      </c>
      <c r="E41" s="211">
        <v>15000</v>
      </c>
    </row>
    <row r="42" spans="1:9" x14ac:dyDescent="0.2">
      <c r="B42" s="212" t="s">
        <v>242</v>
      </c>
      <c r="D42" s="50">
        <v>0</v>
      </c>
      <c r="E42" s="213">
        <v>75</v>
      </c>
    </row>
    <row r="43" spans="1:9" x14ac:dyDescent="0.2">
      <c r="B43" s="212" t="s">
        <v>244</v>
      </c>
      <c r="D43" s="50">
        <v>0</v>
      </c>
    </row>
    <row r="44" spans="1:9" x14ac:dyDescent="0.2">
      <c r="B44" s="212" t="s">
        <v>274</v>
      </c>
      <c r="E44" s="213">
        <v>424</v>
      </c>
    </row>
    <row r="45" spans="1:9" x14ac:dyDescent="0.2">
      <c r="B45" s="212" t="s">
        <v>276</v>
      </c>
      <c r="E45" s="213">
        <v>159.5</v>
      </c>
    </row>
    <row r="46" spans="1:9" x14ac:dyDescent="0.2">
      <c r="B46" s="212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tabSelected="1" zoomScale="175" zoomScaleNormal="1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([48]Main!$O$5-[48]Main!$O$6)/RMB</f>
        <v>121948.96142433234</v>
      </c>
      <c r="G4" s="22">
        <f>+E4-F4</f>
        <v>111256.03232566765</v>
      </c>
      <c r="H4" s="22">
        <f>+[48]Main!$L$3</f>
        <v>2449.375</v>
      </c>
      <c r="I4" s="193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2" t="s">
        <v>634</v>
      </c>
      <c r="D5" s="203">
        <v>92</v>
      </c>
      <c r="E5" s="3">
        <f>+D5*H5/HKD</f>
        <v>229654.2587072282</v>
      </c>
      <c r="F5" s="3" cm="1">
        <f t="array" ref="F5">([48]Main!$O$5-[48]Main!$O$6)/RMB</f>
        <v>121948.96142433234</v>
      </c>
      <c r="G5" s="3">
        <f>+E5-F5</f>
        <v>107705.29728289586</v>
      </c>
      <c r="H5" s="46">
        <f>+[48]Main!$O$3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+[49]Main!$L$5-[49]Main!$L$6</f>
        <v>7643.4470000000001</v>
      </c>
      <c r="G9" s="22">
        <f>E9-F9</f>
        <v>66071.040644859997</v>
      </c>
      <c r="H9" s="46">
        <f>+[49]Main!$L$3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+D13*[50]Main!$M$3</f>
        <v>46254.6</v>
      </c>
      <c r="F13" s="22">
        <f>+[50]Main!$M$5-[50]Main!$M$6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+[51]Main!$K$5-[51]Main!$K$6</f>
        <v>-1163.2909999999999</v>
      </c>
      <c r="G24" s="46">
        <f>+E24-F24</f>
        <v>2126.8046414800001</v>
      </c>
      <c r="H24" s="46">
        <f>+[51]Main!$K$3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1" t="s">
        <v>631</v>
      </c>
      <c r="D25" s="10">
        <v>1.77</v>
      </c>
      <c r="E25" s="46">
        <f>+D25*H25</f>
        <v>183.49568582999999</v>
      </c>
      <c r="F25" s="46">
        <f>+[52]Main!$K$5-[52]Main!$K$6</f>
        <v>4.47199999999998</v>
      </c>
      <c r="G25" s="46">
        <f>+E25-F25</f>
        <v>179.02368583000001</v>
      </c>
      <c r="H25" s="46">
        <f>+[52]Main!$K$3</f>
        <v>103.66987899999999</v>
      </c>
      <c r="I25" s="243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6" t="s">
        <v>650</v>
      </c>
      <c r="D27" s="10">
        <v>1.02</v>
      </c>
      <c r="E27" s="10">
        <f>+D27*H27</f>
        <v>114.86102394</v>
      </c>
      <c r="F27" s="46">
        <f>+[54]Main!$J$5-[54]Main!$J$6</f>
        <v>69.837999999999994</v>
      </c>
      <c r="G27" s="10">
        <f>+E27-F27</f>
        <v>45.023023940000002</v>
      </c>
      <c r="H27" s="46">
        <f>+[54]Main!$J$3</f>
        <v>112.608847</v>
      </c>
      <c r="I27" s="247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4" t="s">
        <v>648</v>
      </c>
      <c r="D32" s="231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+[53]Main!$N$5-[53]Main!$N$6</f>
        <v>472.05500000000006</v>
      </c>
      <c r="G9" s="46">
        <f>+E9-F9</f>
        <v>28022.535988259999</v>
      </c>
      <c r="H9" s="46">
        <f>+[53]Main!$N$3</f>
        <v>341.70273399999996</v>
      </c>
      <c r="I9" s="205" t="s">
        <v>616</v>
      </c>
      <c r="J9" s="206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2024-10-18T14:20:06Z</dcterms:modified>
  <cp:category/>
  <cp:contentStatus/>
</cp:coreProperties>
</file>