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271EC84-8F4A-4386-84A7-FAD24AD92C36}" xr6:coauthVersionLast="47" xr6:coauthVersionMax="47" xr10:uidLastSave="{00000000-0000-0000-0000-000000000000}"/>
  <bookViews>
    <workbookView xWindow="51480" yWindow="-120" windowWidth="29040" windowHeight="15720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2" l="1"/>
  <c r="G55" i="2"/>
  <c r="G39" i="2"/>
  <c r="G47" i="2"/>
  <c r="G38" i="2"/>
  <c r="G61" i="2"/>
  <c r="G49" i="2"/>
  <c r="C82" i="2"/>
  <c r="C84" i="2"/>
  <c r="C75" i="2"/>
  <c r="C71" i="2"/>
  <c r="C78" i="2"/>
  <c r="C72" i="2"/>
  <c r="C63" i="2"/>
  <c r="G86" i="2"/>
  <c r="G84" i="2"/>
  <c r="G82" i="2"/>
  <c r="G75" i="2"/>
  <c r="G78" i="2" s="1"/>
  <c r="G71" i="2"/>
  <c r="G72" i="2" s="1"/>
  <c r="C19" i="2"/>
  <c r="K33" i="2"/>
  <c r="K31" i="2"/>
  <c r="K30" i="2"/>
  <c r="Y33" i="2"/>
  <c r="X33" i="2"/>
  <c r="Y30" i="2"/>
  <c r="X30" i="2"/>
  <c r="Y11" i="2"/>
  <c r="Y12" i="2" s="1"/>
  <c r="X11" i="2"/>
  <c r="X12" i="2" s="1"/>
  <c r="W11" i="2"/>
  <c r="W12" i="2" s="1"/>
  <c r="Z10" i="2"/>
  <c r="Z30" i="2" s="1"/>
  <c r="Z9" i="2"/>
  <c r="Z31" i="2" s="1"/>
  <c r="Z8" i="2"/>
  <c r="Z7" i="2"/>
  <c r="Z6" i="2"/>
  <c r="Z33" i="2" s="1"/>
  <c r="Z5" i="2"/>
  <c r="Z4" i="2"/>
  <c r="G11" i="2"/>
  <c r="G12" i="2" s="1"/>
  <c r="G36" i="2" s="1"/>
  <c r="F11" i="2"/>
  <c r="F12" i="2" s="1"/>
  <c r="E11" i="2"/>
  <c r="E12" i="2" s="1"/>
  <c r="D11" i="2"/>
  <c r="D12" i="2" s="1"/>
  <c r="C11" i="2"/>
  <c r="C12" i="2" s="1"/>
  <c r="C15" i="2" s="1"/>
  <c r="AB4" i="2"/>
  <c r="AA4" i="2"/>
  <c r="AA10" i="2"/>
  <c r="AA7" i="2"/>
  <c r="AA6" i="2"/>
  <c r="AA5" i="2"/>
  <c r="AA8" i="2"/>
  <c r="Y31" i="2"/>
  <c r="X31" i="2"/>
  <c r="AA9" i="2"/>
  <c r="AB21" i="2"/>
  <c r="Q26" i="2"/>
  <c r="R26" i="2" s="1"/>
  <c r="AB26" i="2" s="1"/>
  <c r="AC26" i="2" s="1"/>
  <c r="AD26" i="2" s="1"/>
  <c r="AE26" i="2" s="1"/>
  <c r="AF26" i="2" s="1"/>
  <c r="AG26" i="2" s="1"/>
  <c r="AH26" i="2" s="1"/>
  <c r="AI26" i="2" s="1"/>
  <c r="AJ26" i="2" s="1"/>
  <c r="R18" i="2"/>
  <c r="Q18" i="2"/>
  <c r="R17" i="2"/>
  <c r="Q17" i="2"/>
  <c r="R16" i="2"/>
  <c r="Q16" i="2"/>
  <c r="R10" i="2"/>
  <c r="R30" i="2" s="1"/>
  <c r="Q10" i="2"/>
  <c r="Q30" i="2" s="1"/>
  <c r="R9" i="2"/>
  <c r="R31" i="2" s="1"/>
  <c r="Q9" i="2"/>
  <c r="Q31" i="2" s="1"/>
  <c r="R8" i="2"/>
  <c r="Q8" i="2"/>
  <c r="R7" i="2"/>
  <c r="Q7" i="2"/>
  <c r="R6" i="2"/>
  <c r="R33" i="2" s="1"/>
  <c r="Q6" i="2"/>
  <c r="R5" i="2"/>
  <c r="Q5" i="2"/>
  <c r="P56" i="2"/>
  <c r="P55" i="2"/>
  <c r="P47" i="2"/>
  <c r="P39" i="2"/>
  <c r="P92" i="2"/>
  <c r="P11" i="2"/>
  <c r="P12" i="2" s="1"/>
  <c r="P31" i="2"/>
  <c r="O31" i="2"/>
  <c r="N31" i="2"/>
  <c r="M31" i="2"/>
  <c r="L31" i="2"/>
  <c r="O30" i="2"/>
  <c r="N30" i="2"/>
  <c r="M30" i="2"/>
  <c r="L30" i="2"/>
  <c r="P30" i="2"/>
  <c r="O11" i="2"/>
  <c r="O12" i="2" s="1"/>
  <c r="N11" i="2"/>
  <c r="P33" i="2"/>
  <c r="P19" i="2"/>
  <c r="L33" i="2"/>
  <c r="H11" i="2"/>
  <c r="H12" i="2" s="1"/>
  <c r="H15" i="2" s="1"/>
  <c r="H34" i="2" s="1"/>
  <c r="L11" i="2"/>
  <c r="L12" i="2" s="1"/>
  <c r="M33" i="2"/>
  <c r="I19" i="2"/>
  <c r="H19" i="2"/>
  <c r="G19" i="2"/>
  <c r="I11" i="2"/>
  <c r="I12" i="2" s="1"/>
  <c r="I36" i="2" s="1"/>
  <c r="M11" i="2"/>
  <c r="M12" i="2" s="1"/>
  <c r="AA19" i="2"/>
  <c r="Z19" i="2"/>
  <c r="AB3" i="2"/>
  <c r="AC3" i="2" s="1"/>
  <c r="AD3" i="2" s="1"/>
  <c r="AE3" i="2" s="1"/>
  <c r="AF3" i="2" s="1"/>
  <c r="AG3" i="2" s="1"/>
  <c r="AH3" i="2" s="1"/>
  <c r="AI3" i="2" s="1"/>
  <c r="AJ3" i="2" s="1"/>
  <c r="K36" i="2"/>
  <c r="J88" i="2"/>
  <c r="N88" i="2"/>
  <c r="N33" i="2"/>
  <c r="J19" i="2"/>
  <c r="K15" i="2"/>
  <c r="J11" i="2"/>
  <c r="J12" i="2" s="1"/>
  <c r="O33" i="2"/>
  <c r="O88" i="2"/>
  <c r="K88" i="2"/>
  <c r="O19" i="2"/>
  <c r="N19" i="2"/>
  <c r="M19" i="2"/>
  <c r="L19" i="2"/>
  <c r="K19" i="2"/>
  <c r="C86" i="2" l="1"/>
  <c r="Z11" i="2"/>
  <c r="Z12" i="2" s="1"/>
  <c r="AA33" i="2"/>
  <c r="AB7" i="2"/>
  <c r="R19" i="2"/>
  <c r="G15" i="2"/>
  <c r="G34" i="2" s="1"/>
  <c r="K28" i="2"/>
  <c r="AB8" i="2"/>
  <c r="AC8" i="2" s="1"/>
  <c r="AD8" i="2" s="1"/>
  <c r="AE8" i="2" s="1"/>
  <c r="AF8" i="2" s="1"/>
  <c r="AG8" i="2" s="1"/>
  <c r="AH8" i="2" s="1"/>
  <c r="AI8" i="2" s="1"/>
  <c r="AJ8" i="2" s="1"/>
  <c r="AA31" i="2"/>
  <c r="AA30" i="2"/>
  <c r="K32" i="2"/>
  <c r="X28" i="2"/>
  <c r="X32" i="2"/>
  <c r="Y32" i="2"/>
  <c r="AA11" i="2"/>
  <c r="C20" i="2"/>
  <c r="C22" i="2" s="1"/>
  <c r="C24" i="2" s="1"/>
  <c r="C25" i="2" s="1"/>
  <c r="Y28" i="2"/>
  <c r="AB10" i="2"/>
  <c r="AB30" i="2" s="1"/>
  <c r="AA12" i="2"/>
  <c r="P49" i="2"/>
  <c r="R11" i="2"/>
  <c r="R12" i="2" s="1"/>
  <c r="AB18" i="2"/>
  <c r="AC18" i="2" s="1"/>
  <c r="AD18" i="2" s="1"/>
  <c r="AE18" i="2" s="1"/>
  <c r="AF18" i="2" s="1"/>
  <c r="AG18" i="2" s="1"/>
  <c r="AH18" i="2" s="1"/>
  <c r="AI18" i="2" s="1"/>
  <c r="AJ18" i="2" s="1"/>
  <c r="Q19" i="2"/>
  <c r="AB17" i="2"/>
  <c r="AC17" i="2" s="1"/>
  <c r="AD17" i="2" s="1"/>
  <c r="AE17" i="2" s="1"/>
  <c r="AF17" i="2" s="1"/>
  <c r="AG17" i="2" s="1"/>
  <c r="AH17" i="2" s="1"/>
  <c r="AI17" i="2" s="1"/>
  <c r="AJ17" i="2" s="1"/>
  <c r="AB5" i="2"/>
  <c r="AC5" i="2" s="1"/>
  <c r="AD5" i="2" s="1"/>
  <c r="AE5" i="2" s="1"/>
  <c r="AF5" i="2" s="1"/>
  <c r="AG5" i="2" s="1"/>
  <c r="AH5" i="2" s="1"/>
  <c r="AI5" i="2" s="1"/>
  <c r="AJ5" i="2" s="1"/>
  <c r="P38" i="2"/>
  <c r="AB6" i="2"/>
  <c r="AB16" i="2"/>
  <c r="AC7" i="2"/>
  <c r="AD7" i="2" s="1"/>
  <c r="Q11" i="2"/>
  <c r="Q32" i="2" s="1"/>
  <c r="Q33" i="2"/>
  <c r="AB9" i="2"/>
  <c r="P61" i="2"/>
  <c r="M28" i="2"/>
  <c r="O32" i="2"/>
  <c r="O28" i="2"/>
  <c r="O36" i="2"/>
  <c r="P36" i="2"/>
  <c r="P15" i="2"/>
  <c r="P20" i="2" s="1"/>
  <c r="P22" i="2" s="1"/>
  <c r="P28" i="2"/>
  <c r="L28" i="2"/>
  <c r="M32" i="2"/>
  <c r="N32" i="2"/>
  <c r="N12" i="2"/>
  <c r="N36" i="2" s="1"/>
  <c r="J15" i="2"/>
  <c r="J34" i="2" s="1"/>
  <c r="J36" i="2"/>
  <c r="P32" i="2"/>
  <c r="L32" i="2"/>
  <c r="H36" i="2"/>
  <c r="I15" i="2"/>
  <c r="I34" i="2" s="1"/>
  <c r="H20" i="2"/>
  <c r="H22" i="2" s="1"/>
  <c r="L36" i="2"/>
  <c r="L15" i="2"/>
  <c r="L34" i="2" s="1"/>
  <c r="M15" i="2"/>
  <c r="M34" i="2" s="1"/>
  <c r="M36" i="2"/>
  <c r="O15" i="2"/>
  <c r="L4" i="1"/>
  <c r="L7" i="1" s="1"/>
  <c r="Z36" i="2" l="1"/>
  <c r="Z15" i="2"/>
  <c r="Z28" i="2"/>
  <c r="AA28" i="2"/>
  <c r="AA32" i="2"/>
  <c r="Z32" i="2"/>
  <c r="Q12" i="2"/>
  <c r="G20" i="2"/>
  <c r="G22" i="2" s="1"/>
  <c r="AA15" i="2"/>
  <c r="AA34" i="2" s="1"/>
  <c r="AA36" i="2"/>
  <c r="G24" i="2"/>
  <c r="G35" i="2"/>
  <c r="AB31" i="2"/>
  <c r="AB11" i="2"/>
  <c r="AB32" i="2" s="1"/>
  <c r="AC6" i="2"/>
  <c r="AC33" i="2" s="1"/>
  <c r="AB33" i="2"/>
  <c r="AC9" i="2"/>
  <c r="AA20" i="2"/>
  <c r="AA22" i="2" s="1"/>
  <c r="AA24" i="2" s="1"/>
  <c r="AA25" i="2" s="1"/>
  <c r="AB12" i="2"/>
  <c r="R32" i="2"/>
  <c r="AB19" i="2"/>
  <c r="AC16" i="2"/>
  <c r="AC31" i="2"/>
  <c r="AD9" i="2"/>
  <c r="AE7" i="2"/>
  <c r="P24" i="2"/>
  <c r="P25" i="2" s="1"/>
  <c r="P35" i="2"/>
  <c r="R36" i="2"/>
  <c r="H24" i="2"/>
  <c r="H25" i="2" s="1"/>
  <c r="H35" i="2"/>
  <c r="AC10" i="2"/>
  <c r="AD10" i="2" s="1"/>
  <c r="N15" i="2"/>
  <c r="N34" i="2" s="1"/>
  <c r="R28" i="2"/>
  <c r="R15" i="2"/>
  <c r="R13" i="2" s="1"/>
  <c r="Q28" i="2"/>
  <c r="Q15" i="2"/>
  <c r="Q13" i="2" s="1"/>
  <c r="AB13" i="2" s="1"/>
  <c r="Q36" i="2"/>
  <c r="N28" i="2"/>
  <c r="M20" i="2"/>
  <c r="M22" i="2" s="1"/>
  <c r="I20" i="2"/>
  <c r="I22" i="2" s="1"/>
  <c r="P34" i="2"/>
  <c r="J20" i="2"/>
  <c r="J22" i="2" s="1"/>
  <c r="L20" i="2"/>
  <c r="L22" i="2" s="1"/>
  <c r="K34" i="2"/>
  <c r="K20" i="2"/>
  <c r="K22" i="2" s="1"/>
  <c r="O34" i="2"/>
  <c r="O20" i="2"/>
  <c r="O22" i="2" s="1"/>
  <c r="AA35" i="2" l="1"/>
  <c r="AD6" i="2"/>
  <c r="Z34" i="2"/>
  <c r="Z20" i="2"/>
  <c r="Z22" i="2" s="1"/>
  <c r="G25" i="2"/>
  <c r="G63" i="2"/>
  <c r="AD11" i="2"/>
  <c r="AD12" i="2" s="1"/>
  <c r="AF7" i="2"/>
  <c r="AD33" i="2"/>
  <c r="AE6" i="2"/>
  <c r="AE9" i="2"/>
  <c r="AD31" i="2"/>
  <c r="AC19" i="2"/>
  <c r="AD16" i="2"/>
  <c r="AE10" i="2"/>
  <c r="AD30" i="2"/>
  <c r="M24" i="2"/>
  <c r="M25" i="2" s="1"/>
  <c r="M35" i="2"/>
  <c r="O24" i="2"/>
  <c r="O25" i="2" s="1"/>
  <c r="O35" i="2"/>
  <c r="AB28" i="2"/>
  <c r="AB15" i="2"/>
  <c r="K24" i="2"/>
  <c r="K25" i="2" s="1"/>
  <c r="K35" i="2"/>
  <c r="L24" i="2"/>
  <c r="L25" i="2" s="1"/>
  <c r="L35" i="2"/>
  <c r="J24" i="2"/>
  <c r="J25" i="2" s="1"/>
  <c r="J35" i="2"/>
  <c r="I24" i="2"/>
  <c r="I25" i="2" s="1"/>
  <c r="I35" i="2"/>
  <c r="AC30" i="2"/>
  <c r="AB36" i="2"/>
  <c r="AC11" i="2"/>
  <c r="AD32" i="2" s="1"/>
  <c r="N20" i="2"/>
  <c r="N22" i="2" s="1"/>
  <c r="Q34" i="2"/>
  <c r="Q20" i="2"/>
  <c r="Q22" i="2" s="1"/>
  <c r="R20" i="2"/>
  <c r="R22" i="2" s="1"/>
  <c r="R34" i="2"/>
  <c r="Z24" i="2" l="1"/>
  <c r="Z25" i="2" s="1"/>
  <c r="Z35" i="2"/>
  <c r="AE11" i="2"/>
  <c r="AE32" i="2" s="1"/>
  <c r="AD15" i="2"/>
  <c r="AD34" i="2" s="1"/>
  <c r="AD36" i="2"/>
  <c r="AF10" i="2"/>
  <c r="AE30" i="2"/>
  <c r="AE16" i="2"/>
  <c r="AD19" i="2"/>
  <c r="AF9" i="2"/>
  <c r="AE31" i="2"/>
  <c r="AF6" i="2"/>
  <c r="AE33" i="2"/>
  <c r="AG7" i="2"/>
  <c r="R23" i="2"/>
  <c r="R35" i="2" s="1"/>
  <c r="AC12" i="2"/>
  <c r="AD28" i="2" s="1"/>
  <c r="AC32" i="2"/>
  <c r="N24" i="2"/>
  <c r="N25" i="2" s="1"/>
  <c r="N35" i="2"/>
  <c r="AB34" i="2"/>
  <c r="AB20" i="2"/>
  <c r="AB22" i="2" s="1"/>
  <c r="Q23" i="2"/>
  <c r="Q24" i="2" s="1"/>
  <c r="AE12" i="2" l="1"/>
  <c r="AE36" i="2" s="1"/>
  <c r="AF11" i="2"/>
  <c r="AD20" i="2"/>
  <c r="AD13" i="2"/>
  <c r="AF12" i="2"/>
  <c r="AF32" i="2"/>
  <c r="AH7" i="2"/>
  <c r="AF30" i="2"/>
  <c r="AG10" i="2"/>
  <c r="AG6" i="2"/>
  <c r="AF33" i="2"/>
  <c r="AF31" i="2"/>
  <c r="AG9" i="2"/>
  <c r="Q25" i="2"/>
  <c r="Q38" i="2"/>
  <c r="AF16" i="2"/>
  <c r="AE19" i="2"/>
  <c r="AF36" i="2"/>
  <c r="AB23" i="2"/>
  <c r="AB35" i="2" s="1"/>
  <c r="Q35" i="2"/>
  <c r="AC28" i="2"/>
  <c r="AC15" i="2"/>
  <c r="AC13" i="2" s="1"/>
  <c r="AC36" i="2"/>
  <c r="R24" i="2"/>
  <c r="R25" i="2" s="1"/>
  <c r="AE15" i="2" l="1"/>
  <c r="AE34" i="2" s="1"/>
  <c r="AE28" i="2"/>
  <c r="AE13" i="2"/>
  <c r="R38" i="2"/>
  <c r="AB38" i="2" s="1"/>
  <c r="AC21" i="2" s="1"/>
  <c r="AG16" i="2"/>
  <c r="AF19" i="2"/>
  <c r="AB24" i="2"/>
  <c r="AB25" i="2" s="1"/>
  <c r="AG31" i="2"/>
  <c r="AH9" i="2"/>
  <c r="AH10" i="2"/>
  <c r="AG30" i="2"/>
  <c r="AG11" i="2"/>
  <c r="AE20" i="2"/>
  <c r="AH6" i="2"/>
  <c r="AG33" i="2"/>
  <c r="AI7" i="2"/>
  <c r="AH11" i="2"/>
  <c r="AF15" i="2"/>
  <c r="AF34" i="2" s="1"/>
  <c r="AF28" i="2"/>
  <c r="AC20" i="2"/>
  <c r="AC22" i="2" s="1"/>
  <c r="AC34" i="2"/>
  <c r="AF13" i="2" l="1"/>
  <c r="AI6" i="2"/>
  <c r="AH33" i="2"/>
  <c r="AH12" i="2"/>
  <c r="AH32" i="2"/>
  <c r="AJ7" i="2"/>
  <c r="AG12" i="2"/>
  <c r="AG32" i="2"/>
  <c r="AI9" i="2"/>
  <c r="AH31" i="2"/>
  <c r="AH16" i="2"/>
  <c r="AG19" i="2"/>
  <c r="AH30" i="2"/>
  <c r="AI10" i="2"/>
  <c r="AF20" i="2"/>
  <c r="AC23" i="2"/>
  <c r="AC35" i="2" s="1"/>
  <c r="AI30" i="2" l="1"/>
  <c r="AJ10" i="2"/>
  <c r="AJ30" i="2" s="1"/>
  <c r="AG15" i="2"/>
  <c r="AG34" i="2" s="1"/>
  <c r="AG28" i="2"/>
  <c r="AG36" i="2"/>
  <c r="AG20" i="2"/>
  <c r="AI16" i="2"/>
  <c r="AH19" i="2"/>
  <c r="AJ9" i="2"/>
  <c r="AJ31" i="2" s="1"/>
  <c r="AI31" i="2"/>
  <c r="AI11" i="2"/>
  <c r="AH15" i="2"/>
  <c r="AH34" i="2" s="1"/>
  <c r="AH28" i="2"/>
  <c r="AH36" i="2"/>
  <c r="AJ6" i="2"/>
  <c r="AJ33" i="2" s="1"/>
  <c r="AI33" i="2"/>
  <c r="AC24" i="2"/>
  <c r="AG13" i="2" l="1"/>
  <c r="AH13" i="2"/>
  <c r="AJ11" i="2"/>
  <c r="AI12" i="2"/>
  <c r="AI32" i="2"/>
  <c r="AJ16" i="2"/>
  <c r="AJ19" i="2" s="1"/>
  <c r="AI19" i="2"/>
  <c r="AJ12" i="2"/>
  <c r="AJ32" i="2"/>
  <c r="AH20" i="2"/>
  <c r="AC25" i="2"/>
  <c r="AC38" i="2"/>
  <c r="AJ15" i="2" l="1"/>
  <c r="AJ34" i="2" s="1"/>
  <c r="AJ36" i="2"/>
  <c r="AJ28" i="2"/>
  <c r="AI15" i="2"/>
  <c r="AI34" i="2" s="1"/>
  <c r="AI36" i="2"/>
  <c r="AI28" i="2"/>
  <c r="AD21" i="2"/>
  <c r="AD22" i="2" s="1"/>
  <c r="AJ20" i="2" l="1"/>
  <c r="AI20" i="2"/>
  <c r="AI13" i="2"/>
  <c r="AJ13" i="2"/>
  <c r="AD23" i="2"/>
  <c r="AD35" i="2" s="1"/>
  <c r="AD24" i="2"/>
  <c r="AD25" i="2" l="1"/>
  <c r="AD38" i="2"/>
  <c r="AE21" i="2" l="1"/>
  <c r="AE22" i="2" s="1"/>
  <c r="AE23" i="2" l="1"/>
  <c r="AE35" i="2" s="1"/>
  <c r="AE24" i="2" l="1"/>
  <c r="AE25" i="2"/>
  <c r="AE38" i="2"/>
  <c r="AF21" i="2" l="1"/>
  <c r="AF22" i="2" s="1"/>
  <c r="AF23" i="2" l="1"/>
  <c r="AF35" i="2" s="1"/>
  <c r="AF24" i="2" l="1"/>
  <c r="AF38" i="2" s="1"/>
  <c r="AF25" i="2" l="1"/>
  <c r="AG21" i="2"/>
  <c r="AG22" i="2" s="1"/>
  <c r="AG23" i="2" l="1"/>
  <c r="AG35" i="2" s="1"/>
  <c r="AG24" i="2"/>
  <c r="AG25" i="2" l="1"/>
  <c r="AG38" i="2"/>
  <c r="AH21" i="2" l="1"/>
  <c r="AH22" i="2" s="1"/>
  <c r="AH23" i="2" l="1"/>
  <c r="AH35" i="2" s="1"/>
  <c r="AH24" i="2" l="1"/>
  <c r="AH25" i="2" s="1"/>
  <c r="AH38" i="2"/>
  <c r="AI21" i="2" l="1"/>
  <c r="AI22" i="2" s="1"/>
  <c r="AI23" i="2" l="1"/>
  <c r="AI35" i="2" s="1"/>
  <c r="AI24" i="2" l="1"/>
  <c r="AI25" i="2" s="1"/>
  <c r="AI38" i="2" l="1"/>
  <c r="AJ21" i="2"/>
  <c r="AJ22" i="2" s="1"/>
  <c r="AJ23" i="2" l="1"/>
  <c r="AJ35" i="2" s="1"/>
  <c r="AJ24" i="2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AM31" i="2" s="1"/>
  <c r="AM32" i="2" s="1"/>
  <c r="AJ25" i="2" l="1"/>
  <c r="AJ38" i="2"/>
</calcChain>
</file>

<file path=xl/sharedStrings.xml><?xml version="1.0" encoding="utf-8"?>
<sst xmlns="http://schemas.openxmlformats.org/spreadsheetml/2006/main" count="112" uniqueCount="96">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</sst>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3" fontId="0" fillId="0" borderId="0" xfId="0" applyNumberForma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3" fontId="0" fillId="0" borderId="0" xfId="0" applyNumberFormat="1" applyFont="1"/>
    <xf numFmtId="9" fontId="0" fillId="0" borderId="0" xfId="0" applyNumberFormat="1" applyFont="1" applyAlignment="1">
      <alignment horizontal="right"/>
    </xf>
    <xf numFmtId="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0</xdr:row>
      <xdr:rowOff>0</xdr:rowOff>
    </xdr:from>
    <xdr:to>
      <xdr:col>16</xdr:col>
      <xdr:colOff>47625</xdr:colOff>
      <xdr:row>109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7553325" y="0"/>
          <a:ext cx="0" cy="10115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</xdr:colOff>
      <xdr:row>0</xdr:row>
      <xdr:rowOff>9525</xdr:rowOff>
    </xdr:from>
    <xdr:to>
      <xdr:col>27</xdr:col>
      <xdr:colOff>47625</xdr:colOff>
      <xdr:row>109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12430125" y="9525"/>
          <a:ext cx="0" cy="13839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M14"/>
  <sheetViews>
    <sheetView zoomScaleNormal="100" workbookViewId="0">
      <selection activeCell="G5" sqref="G5"/>
    </sheetView>
  </sheetViews>
  <sheetFormatPr defaultRowHeight="12.75" x14ac:dyDescent="0.2"/>
  <cols>
    <col min="7" max="7" width="12.5703125" customWidth="1"/>
    <col min="8" max="8" width="12.42578125" bestFit="1" customWidth="1"/>
    <col min="9" max="9" width="13.85546875" customWidth="1"/>
    <col min="11" max="11" width="10.140625" bestFit="1" customWidth="1"/>
    <col min="12" max="12" width="9.5703125" customWidth="1"/>
  </cols>
  <sheetData>
    <row r="1" spans="8:13" x14ac:dyDescent="0.2">
      <c r="K1" s="8"/>
    </row>
    <row r="2" spans="8:13" x14ac:dyDescent="0.2">
      <c r="K2" t="s">
        <v>0</v>
      </c>
      <c r="L2" s="1">
        <v>105.44</v>
      </c>
    </row>
    <row r="3" spans="8:13" x14ac:dyDescent="0.2">
      <c r="H3" s="7"/>
      <c r="I3" s="3"/>
      <c r="K3" t="s">
        <v>1</v>
      </c>
      <c r="L3" s="3">
        <v>13239</v>
      </c>
      <c r="M3" s="2" t="s">
        <v>17</v>
      </c>
    </row>
    <row r="4" spans="8:13" x14ac:dyDescent="0.2">
      <c r="H4" s="4"/>
      <c r="K4" t="s">
        <v>2</v>
      </c>
      <c r="L4" s="3">
        <f>L2*L3</f>
        <v>1395920.16</v>
      </c>
    </row>
    <row r="5" spans="8:13" x14ac:dyDescent="0.2">
      <c r="H5" s="6"/>
      <c r="K5" t="s">
        <v>3</v>
      </c>
      <c r="L5" s="3">
        <v>155662</v>
      </c>
      <c r="M5" s="2" t="s">
        <v>17</v>
      </c>
    </row>
    <row r="6" spans="8:13" x14ac:dyDescent="0.2">
      <c r="K6" t="s">
        <v>4</v>
      </c>
      <c r="L6" s="3">
        <v>14734</v>
      </c>
      <c r="M6" s="2" t="s">
        <v>17</v>
      </c>
    </row>
    <row r="7" spans="8:13" x14ac:dyDescent="0.2">
      <c r="K7" t="s">
        <v>5</v>
      </c>
      <c r="L7" s="3">
        <f>L4-L5+L6</f>
        <v>1254992.1599999999</v>
      </c>
    </row>
    <row r="8" spans="8:13" x14ac:dyDescent="0.2">
      <c r="K8" s="8"/>
    </row>
    <row r="9" spans="8:13" x14ac:dyDescent="0.2">
      <c r="K9" s="8" t="s">
        <v>25</v>
      </c>
      <c r="L9" s="14">
        <v>1998</v>
      </c>
    </row>
    <row r="10" spans="8:13" x14ac:dyDescent="0.2">
      <c r="L10" s="3"/>
    </row>
    <row r="11" spans="8:13" x14ac:dyDescent="0.2">
      <c r="K11" s="9"/>
    </row>
    <row r="14" spans="8:13" x14ac:dyDescent="0.2">
      <c r="K14" s="3"/>
      <c r="L14" s="3"/>
      <c r="M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CO92"/>
  <sheetViews>
    <sheetView tabSelected="1" workbookViewId="0">
      <pane xSplit="2" ySplit="3" topLeftCell="C33" activePane="bottomRight" state="frozen"/>
      <selection pane="topRight" activeCell="C1" sqref="C1"/>
      <selection pane="bottomLeft" activeCell="A4" sqref="A4"/>
      <selection pane="bottomRight" activeCell="G61" sqref="G61"/>
    </sheetView>
  </sheetViews>
  <sheetFormatPr defaultRowHeight="12.75" x14ac:dyDescent="0.2"/>
  <cols>
    <col min="1" max="1" width="5" bestFit="1" customWidth="1"/>
    <col min="2" max="2" width="16.140625" customWidth="1"/>
    <col min="3" max="18" width="9.140625" style="2"/>
    <col min="39" max="39" width="9.140625" bestFit="1" customWidth="1"/>
  </cols>
  <sheetData>
    <row r="1" spans="1:36" x14ac:dyDescent="0.2">
      <c r="A1" s="13" t="s">
        <v>7</v>
      </c>
    </row>
    <row r="3" spans="1:36" x14ac:dyDescent="0.2">
      <c r="C3" s="2" t="s">
        <v>77</v>
      </c>
      <c r="D3" s="2" t="s">
        <v>78</v>
      </c>
      <c r="E3" s="2" t="s">
        <v>79</v>
      </c>
      <c r="F3" s="2" t="s">
        <v>80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6</v>
      </c>
      <c r="P3" s="2" t="s">
        <v>17</v>
      </c>
      <c r="Q3" s="2" t="s">
        <v>18</v>
      </c>
      <c r="R3" s="2" t="s">
        <v>19</v>
      </c>
      <c r="U3">
        <v>2015</v>
      </c>
      <c r="V3">
        <v>2016</v>
      </c>
      <c r="W3">
        <v>2017</v>
      </c>
      <c r="X3">
        <v>2018</v>
      </c>
      <c r="Y3">
        <v>2019</v>
      </c>
      <c r="Z3">
        <v>2020</v>
      </c>
      <c r="AA3">
        <v>2021</v>
      </c>
      <c r="AB3">
        <f>AA3+1</f>
        <v>2022</v>
      </c>
      <c r="AC3">
        <f t="shared" ref="AC3:AJ3" si="0">AB3+1</f>
        <v>2023</v>
      </c>
      <c r="AD3">
        <f t="shared" si="0"/>
        <v>2024</v>
      </c>
      <c r="AE3">
        <f t="shared" si="0"/>
        <v>2025</v>
      </c>
      <c r="AF3">
        <f t="shared" si="0"/>
        <v>2026</v>
      </c>
      <c r="AG3">
        <f t="shared" si="0"/>
        <v>2027</v>
      </c>
      <c r="AH3">
        <f t="shared" si="0"/>
        <v>2028</v>
      </c>
      <c r="AI3">
        <f t="shared" si="0"/>
        <v>2029</v>
      </c>
      <c r="AJ3">
        <f t="shared" si="0"/>
        <v>2030</v>
      </c>
    </row>
    <row r="4" spans="1:36" s="3" customFormat="1" x14ac:dyDescent="0.2">
      <c r="B4" s="3" t="s">
        <v>41</v>
      </c>
      <c r="C4" s="12">
        <v>137</v>
      </c>
      <c r="D4" s="12"/>
      <c r="E4" s="12"/>
      <c r="F4" s="12"/>
      <c r="G4" s="12">
        <v>49</v>
      </c>
      <c r="H4" s="12">
        <v>151</v>
      </c>
      <c r="I4" s="12">
        <v>-22</v>
      </c>
      <c r="J4" s="12">
        <v>-2</v>
      </c>
      <c r="K4" s="12">
        <v>-109</v>
      </c>
      <c r="L4" s="12">
        <v>-7</v>
      </c>
      <c r="M4" s="12">
        <v>62</v>
      </c>
      <c r="N4" s="12">
        <v>203</v>
      </c>
      <c r="O4" s="12">
        <v>278</v>
      </c>
      <c r="P4" s="12">
        <v>375</v>
      </c>
      <c r="Q4" s="12"/>
      <c r="R4" s="12"/>
      <c r="W4" s="3">
        <v>-169</v>
      </c>
      <c r="X4" s="3">
        <v>-138</v>
      </c>
      <c r="Y4" s="3">
        <v>455</v>
      </c>
      <c r="Z4" s="3">
        <f t="shared" ref="Z4:Z10" si="1">SUM(G4:J4)</f>
        <v>176</v>
      </c>
      <c r="AA4" s="3">
        <f t="shared" ref="AA4:AA7" si="2">SUM(K4:N4)</f>
        <v>149</v>
      </c>
      <c r="AB4" s="3">
        <f>SUM(O4:R4)</f>
        <v>653</v>
      </c>
    </row>
    <row r="5" spans="1:36" s="3" customFormat="1" x14ac:dyDescent="0.2">
      <c r="B5" s="3" t="s">
        <v>40</v>
      </c>
      <c r="C5" s="12">
        <v>170</v>
      </c>
      <c r="D5" s="12"/>
      <c r="E5" s="12"/>
      <c r="F5" s="12"/>
      <c r="G5" s="12">
        <v>135</v>
      </c>
      <c r="H5" s="12">
        <v>148</v>
      </c>
      <c r="I5" s="12">
        <v>178</v>
      </c>
      <c r="J5" s="12">
        <v>196</v>
      </c>
      <c r="K5" s="12">
        <v>198</v>
      </c>
      <c r="L5" s="12">
        <v>192</v>
      </c>
      <c r="M5" s="12">
        <v>182</v>
      </c>
      <c r="N5" s="12">
        <v>181</v>
      </c>
      <c r="O5" s="12">
        <v>440</v>
      </c>
      <c r="P5" s="12">
        <v>193</v>
      </c>
      <c r="Q5" s="12">
        <f>+M5</f>
        <v>182</v>
      </c>
      <c r="R5" s="12">
        <f t="shared" ref="R5" si="3">+N5</f>
        <v>181</v>
      </c>
      <c r="W5" s="3">
        <v>477</v>
      </c>
      <c r="X5" s="3">
        <v>595</v>
      </c>
      <c r="Y5" s="3">
        <v>659</v>
      </c>
      <c r="Z5" s="3">
        <f t="shared" si="1"/>
        <v>657</v>
      </c>
      <c r="AA5" s="3">
        <f t="shared" si="2"/>
        <v>753</v>
      </c>
      <c r="AB5" s="3">
        <f>SUM(O5:R5)</f>
        <v>996</v>
      </c>
      <c r="AC5" s="3">
        <f>+AB5*1.01</f>
        <v>1005.96</v>
      </c>
      <c r="AD5" s="3">
        <f t="shared" ref="AD5:AJ5" si="4">+AC5*1.01</f>
        <v>1016.0196000000001</v>
      </c>
      <c r="AE5" s="3">
        <f t="shared" si="4"/>
        <v>1026.1797960000001</v>
      </c>
      <c r="AF5" s="3">
        <f t="shared" si="4"/>
        <v>1036.4415939600001</v>
      </c>
      <c r="AG5" s="3">
        <f t="shared" si="4"/>
        <v>1046.8060098996002</v>
      </c>
      <c r="AH5" s="3">
        <f t="shared" si="4"/>
        <v>1057.2740699985961</v>
      </c>
      <c r="AI5" s="3">
        <f t="shared" si="4"/>
        <v>1067.8468106985822</v>
      </c>
      <c r="AJ5" s="3">
        <f t="shared" si="4"/>
        <v>1078.525278805568</v>
      </c>
    </row>
    <row r="6" spans="1:36" s="3" customFormat="1" x14ac:dyDescent="0.2">
      <c r="B6" s="3" t="s">
        <v>39</v>
      </c>
      <c r="C6" s="12">
        <v>1825</v>
      </c>
      <c r="D6" s="12"/>
      <c r="E6" s="12"/>
      <c r="F6" s="12"/>
      <c r="G6" s="12">
        <v>2777</v>
      </c>
      <c r="H6" s="12">
        <v>3007</v>
      </c>
      <c r="I6" s="12">
        <v>3444</v>
      </c>
      <c r="J6" s="12">
        <v>3831</v>
      </c>
      <c r="K6" s="12">
        <v>4047</v>
      </c>
      <c r="L6" s="12">
        <v>4628</v>
      </c>
      <c r="M6" s="12">
        <v>4990</v>
      </c>
      <c r="N6" s="12">
        <v>5541</v>
      </c>
      <c r="O6" s="12">
        <v>5821</v>
      </c>
      <c r="P6" s="12">
        <v>6276</v>
      </c>
      <c r="Q6" s="12">
        <f>+M6*1.4</f>
        <v>6986</v>
      </c>
      <c r="R6" s="12">
        <f t="shared" ref="R6" si="5">+N6*1.4</f>
        <v>7757.4</v>
      </c>
      <c r="W6" s="3">
        <v>4056</v>
      </c>
      <c r="X6" s="3">
        <v>5838</v>
      </c>
      <c r="Y6" s="3">
        <v>8918</v>
      </c>
      <c r="Z6" s="3">
        <f t="shared" si="1"/>
        <v>13059</v>
      </c>
      <c r="AA6" s="3">
        <f t="shared" si="2"/>
        <v>19206</v>
      </c>
      <c r="AB6" s="3">
        <f>SUM(O6:R6)</f>
        <v>26840.400000000001</v>
      </c>
      <c r="AC6" s="3">
        <f>+AB6*1.4</f>
        <v>37576.559999999998</v>
      </c>
      <c r="AD6" s="3">
        <f t="shared" ref="AD6" si="6">+AC6*1.4</f>
        <v>52607.183999999994</v>
      </c>
      <c r="AE6" s="3">
        <f>+AD6*1.3</f>
        <v>68389.339199999988</v>
      </c>
      <c r="AF6" s="3">
        <f>+AE6*1.3</f>
        <v>88906.14095999999</v>
      </c>
      <c r="AG6" s="3">
        <f>+AF6*1.3</f>
        <v>115577.98324799999</v>
      </c>
      <c r="AH6" s="3">
        <f>+AG6*1.2</f>
        <v>138693.57989759999</v>
      </c>
      <c r="AI6" s="3">
        <f>+AH6*1.2</f>
        <v>166432.29587711999</v>
      </c>
      <c r="AJ6" s="3">
        <f>+AI6*1.2</f>
        <v>199718.75505254397</v>
      </c>
    </row>
    <row r="7" spans="1:36" s="3" customFormat="1" x14ac:dyDescent="0.2">
      <c r="B7" s="3" t="s">
        <v>28</v>
      </c>
      <c r="C7" s="12">
        <v>3620</v>
      </c>
      <c r="D7" s="12"/>
      <c r="E7" s="12"/>
      <c r="F7" s="12"/>
      <c r="G7" s="12">
        <v>4435</v>
      </c>
      <c r="H7" s="12">
        <v>5124</v>
      </c>
      <c r="I7" s="12">
        <v>5478</v>
      </c>
      <c r="J7" s="12">
        <v>6674</v>
      </c>
      <c r="K7" s="12">
        <v>6494</v>
      </c>
      <c r="L7" s="12">
        <v>6623</v>
      </c>
      <c r="M7" s="12">
        <v>6754</v>
      </c>
      <c r="N7" s="12">
        <v>8161</v>
      </c>
      <c r="O7" s="12">
        <v>6811</v>
      </c>
      <c r="P7" s="12">
        <v>6553</v>
      </c>
      <c r="Q7" s="12">
        <f>+M7*1.03</f>
        <v>6956.62</v>
      </c>
      <c r="R7" s="12">
        <f>+N7*1.03</f>
        <v>8405.83</v>
      </c>
      <c r="W7" s="3">
        <v>10914</v>
      </c>
      <c r="X7" s="3">
        <v>14063</v>
      </c>
      <c r="Y7" s="3">
        <v>17014</v>
      </c>
      <c r="Z7" s="3">
        <f t="shared" si="1"/>
        <v>21711</v>
      </c>
      <c r="AA7" s="3">
        <f t="shared" si="2"/>
        <v>28032</v>
      </c>
      <c r="AB7" s="3">
        <f>SUM(O7:R7)</f>
        <v>28726.449999999997</v>
      </c>
      <c r="AC7" s="3">
        <f>+AB7*1.03</f>
        <v>29588.243499999997</v>
      </c>
      <c r="AD7" s="3">
        <f t="shared" ref="AD7:AJ7" si="7">+AC7*1.03</f>
        <v>30475.890804999999</v>
      </c>
      <c r="AE7" s="3">
        <f t="shared" si="7"/>
        <v>31390.16752915</v>
      </c>
      <c r="AF7" s="3">
        <f t="shared" si="7"/>
        <v>32331.8725550245</v>
      </c>
      <c r="AG7" s="3">
        <f t="shared" si="7"/>
        <v>33301.828731675232</v>
      </c>
      <c r="AH7" s="3">
        <f t="shared" si="7"/>
        <v>34300.883593625491</v>
      </c>
      <c r="AI7" s="3">
        <f t="shared" si="7"/>
        <v>35329.91010143426</v>
      </c>
      <c r="AJ7" s="3">
        <f t="shared" si="7"/>
        <v>36389.807404477287</v>
      </c>
    </row>
    <row r="8" spans="1:36" s="3" customFormat="1" x14ac:dyDescent="0.2">
      <c r="B8" s="3" t="s">
        <v>45</v>
      </c>
      <c r="C8" s="12">
        <v>5015</v>
      </c>
      <c r="D8" s="12"/>
      <c r="E8" s="12"/>
      <c r="F8" s="12"/>
      <c r="G8" s="12">
        <v>5223</v>
      </c>
      <c r="H8" s="12">
        <v>4736</v>
      </c>
      <c r="I8" s="12">
        <v>5720</v>
      </c>
      <c r="J8" s="12">
        <v>7411</v>
      </c>
      <c r="K8" s="12">
        <v>6800</v>
      </c>
      <c r="L8" s="12">
        <v>7597</v>
      </c>
      <c r="M8" s="12">
        <v>7999</v>
      </c>
      <c r="N8" s="12">
        <v>9305</v>
      </c>
      <c r="O8" s="12">
        <v>8174</v>
      </c>
      <c r="P8" s="12">
        <v>8259</v>
      </c>
      <c r="Q8" s="12">
        <f>+M8*1.1</f>
        <v>8798.9000000000015</v>
      </c>
      <c r="R8" s="12">
        <f>+N8*1.1</f>
        <v>10235.5</v>
      </c>
      <c r="W8" s="3">
        <v>17616</v>
      </c>
      <c r="X8" s="3">
        <v>20010</v>
      </c>
      <c r="Y8" s="3">
        <v>21547</v>
      </c>
      <c r="Z8" s="3">
        <f t="shared" si="1"/>
        <v>23090</v>
      </c>
      <c r="AA8" s="3">
        <f>SUM(K8:N8)</f>
        <v>31701</v>
      </c>
      <c r="AB8" s="3">
        <f>SUM(O8:R8)</f>
        <v>35467.4</v>
      </c>
      <c r="AC8" s="3">
        <f>+AB8*1.03</f>
        <v>36531.422000000006</v>
      </c>
      <c r="AD8" s="3">
        <f t="shared" ref="AD8:AJ8" si="8">+AC8*1.03</f>
        <v>37627.364660000007</v>
      </c>
      <c r="AE8" s="3">
        <f t="shared" si="8"/>
        <v>38756.18559980001</v>
      </c>
      <c r="AF8" s="3">
        <f t="shared" si="8"/>
        <v>39918.871167794008</v>
      </c>
      <c r="AG8" s="3">
        <f t="shared" si="8"/>
        <v>41116.437302827828</v>
      </c>
      <c r="AH8" s="3">
        <f t="shared" si="8"/>
        <v>42349.930421912664</v>
      </c>
      <c r="AI8" s="3">
        <f t="shared" si="8"/>
        <v>43620.428334570046</v>
      </c>
      <c r="AJ8" s="3">
        <f t="shared" si="8"/>
        <v>44929.041184607151</v>
      </c>
    </row>
    <row r="9" spans="1:36" s="3" customFormat="1" x14ac:dyDescent="0.2">
      <c r="B9" s="3" t="s">
        <v>44</v>
      </c>
      <c r="C9" s="12">
        <v>3025</v>
      </c>
      <c r="D9" s="12"/>
      <c r="E9" s="12"/>
      <c r="F9" s="12"/>
      <c r="G9" s="12">
        <v>4038</v>
      </c>
      <c r="H9" s="12">
        <v>3812</v>
      </c>
      <c r="I9" s="12">
        <v>5037</v>
      </c>
      <c r="J9" s="12">
        <v>6885</v>
      </c>
      <c r="K9" s="12">
        <v>6005</v>
      </c>
      <c r="L9" s="12">
        <v>7002</v>
      </c>
      <c r="M9" s="12">
        <v>7205</v>
      </c>
      <c r="N9" s="12">
        <v>8633</v>
      </c>
      <c r="O9" s="12">
        <v>6869</v>
      </c>
      <c r="P9" s="12">
        <v>7340</v>
      </c>
      <c r="Q9" s="12">
        <f>+M9*1.06</f>
        <v>7637.3</v>
      </c>
      <c r="R9" s="12">
        <f>+N9*1.06</f>
        <v>9150.98</v>
      </c>
      <c r="W9" s="3">
        <v>8150</v>
      </c>
      <c r="X9" s="3">
        <v>11155</v>
      </c>
      <c r="Y9" s="3">
        <v>15149</v>
      </c>
      <c r="Z9" s="3">
        <f t="shared" si="1"/>
        <v>19772</v>
      </c>
      <c r="AA9" s="3">
        <f>SUM(K9:N9)</f>
        <v>28845</v>
      </c>
      <c r="AB9" s="3">
        <f>SUM(O9:R9)</f>
        <v>30997.279999999999</v>
      </c>
      <c r="AC9" s="3">
        <f>+AB9*1.05</f>
        <v>32547.144</v>
      </c>
      <c r="AD9" s="3">
        <f t="shared" ref="AD9:AJ9" si="9">+AC9*1.05</f>
        <v>34174.501199999999</v>
      </c>
      <c r="AE9" s="3">
        <f t="shared" si="9"/>
        <v>35883.226260000003</v>
      </c>
      <c r="AF9" s="3">
        <f t="shared" si="9"/>
        <v>37677.387573000007</v>
      </c>
      <c r="AG9" s="3">
        <f t="shared" si="9"/>
        <v>39561.256951650008</v>
      </c>
      <c r="AH9" s="3">
        <f t="shared" si="9"/>
        <v>41539.319799232508</v>
      </c>
      <c r="AI9" s="3">
        <f t="shared" si="9"/>
        <v>43616.285789194138</v>
      </c>
      <c r="AJ9" s="3">
        <f t="shared" si="9"/>
        <v>45797.10007865385</v>
      </c>
    </row>
    <row r="10" spans="1:36" s="3" customFormat="1" x14ac:dyDescent="0.2">
      <c r="B10" s="3" t="s">
        <v>46</v>
      </c>
      <c r="C10" s="12">
        <v>22547</v>
      </c>
      <c r="D10" s="12"/>
      <c r="E10" s="12"/>
      <c r="F10" s="12"/>
      <c r="G10" s="12">
        <v>24502</v>
      </c>
      <c r="H10" s="12">
        <v>21319</v>
      </c>
      <c r="I10" s="12">
        <v>26338</v>
      </c>
      <c r="J10" s="12">
        <v>31903</v>
      </c>
      <c r="K10" s="12">
        <v>31879</v>
      </c>
      <c r="L10" s="12">
        <v>35845</v>
      </c>
      <c r="M10" s="12">
        <v>37926</v>
      </c>
      <c r="N10" s="12">
        <v>43301</v>
      </c>
      <c r="O10" s="12">
        <v>39618</v>
      </c>
      <c r="P10" s="12">
        <v>40689</v>
      </c>
      <c r="Q10" s="12">
        <f>+M10*1.1</f>
        <v>41718.600000000006</v>
      </c>
      <c r="R10" s="12">
        <f>+N10*1.1</f>
        <v>47631.100000000006</v>
      </c>
      <c r="W10" s="3">
        <v>69811</v>
      </c>
      <c r="X10" s="3">
        <v>85296</v>
      </c>
      <c r="Y10" s="3">
        <v>98115</v>
      </c>
      <c r="Z10" s="3">
        <f t="shared" si="1"/>
        <v>104062</v>
      </c>
      <c r="AA10" s="3">
        <f>SUM(K10:N10)</f>
        <v>148951</v>
      </c>
      <c r="AB10" s="3">
        <f>SUM(O10:R10)</f>
        <v>169656.7</v>
      </c>
      <c r="AC10" s="3">
        <f>+AB10*1.1</f>
        <v>186622.37000000002</v>
      </c>
      <c r="AD10" s="3">
        <f t="shared" ref="AD10:AJ10" si="10">+AC10*1.1</f>
        <v>205284.60700000005</v>
      </c>
      <c r="AE10" s="3">
        <f t="shared" si="10"/>
        <v>225813.06770000007</v>
      </c>
      <c r="AF10" s="3">
        <f t="shared" si="10"/>
        <v>248394.3744700001</v>
      </c>
      <c r="AG10" s="3">
        <f t="shared" si="10"/>
        <v>273233.8119170001</v>
      </c>
      <c r="AH10" s="3">
        <f t="shared" si="10"/>
        <v>300557.19310870016</v>
      </c>
      <c r="AI10" s="3">
        <f t="shared" si="10"/>
        <v>330612.9124195702</v>
      </c>
      <c r="AJ10" s="3">
        <f t="shared" si="10"/>
        <v>363674.20366152725</v>
      </c>
    </row>
    <row r="11" spans="1:36" s="3" customFormat="1" x14ac:dyDescent="0.2">
      <c r="B11" s="3" t="s">
        <v>38</v>
      </c>
      <c r="C11" s="12">
        <f t="shared" ref="C11:G11" si="11">SUM(C7:C10)</f>
        <v>34207</v>
      </c>
      <c r="D11" s="12">
        <f t="shared" si="11"/>
        <v>0</v>
      </c>
      <c r="E11" s="12">
        <f t="shared" si="11"/>
        <v>0</v>
      </c>
      <c r="F11" s="12">
        <f t="shared" si="11"/>
        <v>0</v>
      </c>
      <c r="G11" s="12">
        <f t="shared" si="11"/>
        <v>38198</v>
      </c>
      <c r="H11" s="12">
        <f t="shared" ref="H11" si="12">SUM(H7:H10)</f>
        <v>34991</v>
      </c>
      <c r="I11" s="12">
        <f>SUM(I7:I10)</f>
        <v>42573</v>
      </c>
      <c r="J11" s="12">
        <f>SUM(J7:J10)</f>
        <v>52873</v>
      </c>
      <c r="K11" s="12">
        <v>51178</v>
      </c>
      <c r="L11" s="12">
        <f t="shared" ref="L11" si="13">SUM(L7:L10)</f>
        <v>57067</v>
      </c>
      <c r="M11" s="12">
        <f t="shared" ref="M11:R11" si="14">SUM(M7:M10)</f>
        <v>59884</v>
      </c>
      <c r="N11" s="12">
        <f t="shared" si="14"/>
        <v>69400</v>
      </c>
      <c r="O11" s="12">
        <f t="shared" si="14"/>
        <v>61472</v>
      </c>
      <c r="P11" s="12">
        <f t="shared" si="14"/>
        <v>62841</v>
      </c>
      <c r="Q11" s="12">
        <f t="shared" si="14"/>
        <v>65111.420000000006</v>
      </c>
      <c r="R11" s="12">
        <f t="shared" si="14"/>
        <v>75423.41</v>
      </c>
      <c r="W11" s="12">
        <f t="shared" ref="W11:Z11" si="15">SUM(W7:W10)</f>
        <v>106491</v>
      </c>
      <c r="X11" s="12">
        <f t="shared" si="15"/>
        <v>130524</v>
      </c>
      <c r="Y11" s="12">
        <f t="shared" si="15"/>
        <v>151825</v>
      </c>
      <c r="Z11" s="12">
        <f t="shared" si="15"/>
        <v>168635</v>
      </c>
      <c r="AA11" s="12">
        <f>SUM(AA7:AA10)</f>
        <v>237529</v>
      </c>
      <c r="AB11" s="12">
        <f>SUM(AB7:AB10)</f>
        <v>264847.83</v>
      </c>
      <c r="AC11" s="12">
        <f>SUM(AC7:AC10)</f>
        <v>285289.17950000003</v>
      </c>
      <c r="AD11" s="12">
        <f t="shared" ref="AD11:AJ11" si="16">SUM(AD7:AD10)</f>
        <v>307562.36366500007</v>
      </c>
      <c r="AE11" s="12">
        <f t="shared" si="16"/>
        <v>331842.64708895009</v>
      </c>
      <c r="AF11" s="12">
        <f t="shared" si="16"/>
        <v>358322.50576581864</v>
      </c>
      <c r="AG11" s="12">
        <f t="shared" si="16"/>
        <v>387213.33490315318</v>
      </c>
      <c r="AH11" s="12">
        <f t="shared" si="16"/>
        <v>418747.32692347083</v>
      </c>
      <c r="AI11" s="12">
        <f t="shared" si="16"/>
        <v>453179.53664476867</v>
      </c>
      <c r="AJ11" s="12">
        <f t="shared" si="16"/>
        <v>490790.15232926555</v>
      </c>
    </row>
    <row r="12" spans="1:36" s="10" customFormat="1" x14ac:dyDescent="0.2">
      <c r="B12" s="10" t="s">
        <v>8</v>
      </c>
      <c r="C12" s="11">
        <f t="shared" ref="C12:G12" si="17">C11+C6+C5+C4</f>
        <v>36339</v>
      </c>
      <c r="D12" s="11">
        <f t="shared" si="17"/>
        <v>0</v>
      </c>
      <c r="E12" s="11">
        <f t="shared" si="17"/>
        <v>0</v>
      </c>
      <c r="F12" s="11">
        <f t="shared" si="17"/>
        <v>0</v>
      </c>
      <c r="G12" s="11">
        <f t="shared" si="17"/>
        <v>41159</v>
      </c>
      <c r="H12" s="11">
        <f t="shared" ref="H12" si="18">H11+H6+H5+H4</f>
        <v>38297</v>
      </c>
      <c r="I12" s="11">
        <f>I11+I6+I5+I4</f>
        <v>46173</v>
      </c>
      <c r="J12" s="11">
        <f>J11+J6+J5+J4</f>
        <v>56898</v>
      </c>
      <c r="K12" s="11">
        <v>55314</v>
      </c>
      <c r="L12" s="11">
        <f t="shared" ref="L12" si="19">L11+L6+L5+L4</f>
        <v>61880</v>
      </c>
      <c r="M12" s="11">
        <f>M11+M6+M5+M4</f>
        <v>65118</v>
      </c>
      <c r="N12" s="11">
        <f>N11+N6+N5+N4</f>
        <v>75325</v>
      </c>
      <c r="O12" s="11">
        <f>O11+O6+O5+O4</f>
        <v>68011</v>
      </c>
      <c r="P12" s="11">
        <f>P11+P6+P5+P4</f>
        <v>69685</v>
      </c>
      <c r="Q12" s="11">
        <f t="shared" ref="Q12:R12" si="20">Q11+Q6+Q5+Q4</f>
        <v>72279.420000000013</v>
      </c>
      <c r="R12" s="11">
        <f t="shared" si="20"/>
        <v>83361.81</v>
      </c>
      <c r="S12" s="11"/>
      <c r="T12" s="11"/>
      <c r="U12" s="11"/>
      <c r="V12" s="11"/>
      <c r="W12" s="11">
        <f t="shared" ref="W12:Z12" si="21">W11+W6+W5+W4</f>
        <v>110855</v>
      </c>
      <c r="X12" s="11">
        <f t="shared" si="21"/>
        <v>136819</v>
      </c>
      <c r="Y12" s="11">
        <f t="shared" si="21"/>
        <v>161857</v>
      </c>
      <c r="Z12" s="11">
        <f t="shared" si="21"/>
        <v>182527</v>
      </c>
      <c r="AA12" s="11">
        <f>AA11+AA6+AA5+AA4</f>
        <v>257637</v>
      </c>
      <c r="AB12" s="11">
        <f>AB11+AB6+AB5+AB4</f>
        <v>293337.23000000004</v>
      </c>
      <c r="AC12" s="11">
        <f t="shared" ref="AC12" si="22">AC11+AC6+AC5+AC4</f>
        <v>323871.69950000005</v>
      </c>
      <c r="AD12" s="11">
        <f t="shared" ref="AD12" si="23">AD11+AD6+AD5+AD4</f>
        <v>361185.56726500008</v>
      </c>
      <c r="AE12" s="11">
        <f t="shared" ref="AE12" si="24">AE11+AE6+AE5+AE4</f>
        <v>401258.16608495009</v>
      </c>
      <c r="AF12" s="11">
        <f t="shared" ref="AF12" si="25">AF11+AF6+AF5+AF4</f>
        <v>448265.08831977862</v>
      </c>
      <c r="AG12" s="11">
        <f t="shared" ref="AG12" si="26">AG11+AG6+AG5+AG4</f>
        <v>503838.12416105275</v>
      </c>
      <c r="AH12" s="11">
        <f t="shared" ref="AH12" si="27">AH11+AH6+AH5+AH4</f>
        <v>558498.18089106947</v>
      </c>
      <c r="AI12" s="11">
        <f t="shared" ref="AI12" si="28">AI11+AI6+AI5+AI4</f>
        <v>620679.67933258729</v>
      </c>
      <c r="AJ12" s="11">
        <f t="shared" ref="AJ12" si="29">AJ11+AJ6+AJ5+AJ4</f>
        <v>691587.43266061507</v>
      </c>
    </row>
    <row r="13" spans="1:36" s="3" customFormat="1" x14ac:dyDescent="0.2">
      <c r="B13" s="3" t="s">
        <v>20</v>
      </c>
      <c r="C13" s="12">
        <v>16012</v>
      </c>
      <c r="D13" s="12"/>
      <c r="E13" s="12"/>
      <c r="F13" s="12"/>
      <c r="G13" s="12">
        <v>18982</v>
      </c>
      <c r="H13" s="12">
        <v>18553</v>
      </c>
      <c r="I13" s="12">
        <v>21117</v>
      </c>
      <c r="J13" s="12">
        <v>26080</v>
      </c>
      <c r="K13" s="12">
        <v>24103</v>
      </c>
      <c r="L13" s="12">
        <v>26227</v>
      </c>
      <c r="M13" s="12">
        <v>27621</v>
      </c>
      <c r="N13" s="12">
        <v>32988</v>
      </c>
      <c r="O13" s="12">
        <v>29599</v>
      </c>
      <c r="P13" s="12">
        <v>30104</v>
      </c>
      <c r="Q13" s="12">
        <f>+Q12-Q15</f>
        <v>30718.753500000006</v>
      </c>
      <c r="R13" s="12">
        <f>+R12-R15</f>
        <v>35428.769250000005</v>
      </c>
      <c r="Z13" s="3">
        <v>84732</v>
      </c>
      <c r="AA13" s="3">
        <v>110939</v>
      </c>
      <c r="AB13" s="3">
        <f>SUM(O13:R13)</f>
        <v>125850.52275</v>
      </c>
      <c r="AC13" s="3">
        <f>+AC12-AC15</f>
        <v>139264.83078500003</v>
      </c>
      <c r="AD13" s="3">
        <f t="shared" ref="AD13:AJ13" si="30">+AD12-AD15</f>
        <v>155309.79392395006</v>
      </c>
      <c r="AE13" s="3">
        <f t="shared" si="30"/>
        <v>172541.01141652855</v>
      </c>
      <c r="AF13" s="3">
        <f t="shared" si="30"/>
        <v>192753.98797750482</v>
      </c>
      <c r="AG13" s="3">
        <f t="shared" si="30"/>
        <v>216650.39338925271</v>
      </c>
      <c r="AH13" s="3">
        <f t="shared" si="30"/>
        <v>240154.21778315993</v>
      </c>
      <c r="AI13" s="3">
        <f t="shared" si="30"/>
        <v>266892.26211301255</v>
      </c>
      <c r="AJ13" s="3">
        <f t="shared" si="30"/>
        <v>297382.5960440645</v>
      </c>
    </row>
    <row r="14" spans="1:36" s="3" customFormat="1" x14ac:dyDescent="0.2">
      <c r="B14" s="3" t="s">
        <v>51</v>
      </c>
      <c r="C14" s="12">
        <v>6860</v>
      </c>
      <c r="D14" s="12"/>
      <c r="E14" s="12"/>
      <c r="F14" s="12"/>
      <c r="G14" s="12">
        <v>7452</v>
      </c>
      <c r="H14" s="12"/>
      <c r="I14" s="12"/>
      <c r="J14" s="12"/>
      <c r="K14" s="12"/>
      <c r="L14" s="12">
        <v>10929</v>
      </c>
      <c r="M14" s="12"/>
      <c r="N14" s="12"/>
      <c r="O14" s="12"/>
      <c r="P14" s="12">
        <v>12214</v>
      </c>
      <c r="Q14" s="12"/>
      <c r="R14" s="12"/>
    </row>
    <row r="15" spans="1:36" s="3" customFormat="1" x14ac:dyDescent="0.2">
      <c r="B15" s="3" t="s">
        <v>21</v>
      </c>
      <c r="C15" s="12">
        <f>C12-C13</f>
        <v>20327</v>
      </c>
      <c r="D15" s="12"/>
      <c r="E15" s="12"/>
      <c r="F15" s="12"/>
      <c r="G15" s="12">
        <f>G12-G13</f>
        <v>22177</v>
      </c>
      <c r="H15" s="12">
        <f t="shared" ref="H15" si="31">H12-H13</f>
        <v>19744</v>
      </c>
      <c r="I15" s="12">
        <f t="shared" ref="I15" si="32">I12-I13</f>
        <v>25056</v>
      </c>
      <c r="J15" s="12">
        <f t="shared" ref="J15:N15" si="33">J12-J13</f>
        <v>30818</v>
      </c>
      <c r="K15" s="12">
        <f t="shared" si="33"/>
        <v>31211</v>
      </c>
      <c r="L15" s="12">
        <f t="shared" si="33"/>
        <v>35653</v>
      </c>
      <c r="M15" s="12">
        <f t="shared" si="33"/>
        <v>37497</v>
      </c>
      <c r="N15" s="12">
        <f t="shared" si="33"/>
        <v>42337</v>
      </c>
      <c r="O15" s="12">
        <f>O12-O13</f>
        <v>38412</v>
      </c>
      <c r="P15" s="12">
        <f t="shared" ref="P15" si="34">P12-P13</f>
        <v>39581</v>
      </c>
      <c r="Q15" s="12">
        <f>+Q12*0.575</f>
        <v>41560.666500000007</v>
      </c>
      <c r="R15" s="12">
        <f>+R12*0.575</f>
        <v>47933.040749999993</v>
      </c>
      <c r="Z15" s="3">
        <f>Z12-Z13</f>
        <v>97795</v>
      </c>
      <c r="AA15" s="3">
        <f t="shared" ref="AA15" si="35">AA12-AA13</f>
        <v>146698</v>
      </c>
      <c r="AB15" s="3">
        <f>+AB12-AB13</f>
        <v>167486.70725000004</v>
      </c>
      <c r="AC15" s="3">
        <f>+AC12*0.57</f>
        <v>184606.86871500002</v>
      </c>
      <c r="AD15" s="3">
        <f t="shared" ref="AD15:AJ15" si="36">+AD12*0.57</f>
        <v>205875.77334105002</v>
      </c>
      <c r="AE15" s="3">
        <f t="shared" si="36"/>
        <v>228717.15466842154</v>
      </c>
      <c r="AF15" s="3">
        <f t="shared" si="36"/>
        <v>255511.1003422738</v>
      </c>
      <c r="AG15" s="3">
        <f t="shared" si="36"/>
        <v>287187.73077180004</v>
      </c>
      <c r="AH15" s="3">
        <f t="shared" si="36"/>
        <v>318343.96310790954</v>
      </c>
      <c r="AI15" s="3">
        <f t="shared" si="36"/>
        <v>353787.41721957474</v>
      </c>
      <c r="AJ15" s="3">
        <f t="shared" si="36"/>
        <v>394204.83661655057</v>
      </c>
    </row>
    <row r="16" spans="1:36" s="3" customFormat="1" x14ac:dyDescent="0.2">
      <c r="B16" s="3" t="s">
        <v>22</v>
      </c>
      <c r="C16" s="12">
        <v>6029</v>
      </c>
      <c r="D16" s="12"/>
      <c r="E16" s="12"/>
      <c r="F16" s="12"/>
      <c r="G16" s="12">
        <v>6820</v>
      </c>
      <c r="H16" s="12">
        <v>6875</v>
      </c>
      <c r="I16" s="12">
        <v>6856</v>
      </c>
      <c r="J16" s="12">
        <v>7022</v>
      </c>
      <c r="K16" s="12">
        <v>7485</v>
      </c>
      <c r="L16" s="12">
        <v>7675</v>
      </c>
      <c r="M16" s="12">
        <v>7694</v>
      </c>
      <c r="N16" s="12">
        <v>8708</v>
      </c>
      <c r="O16" s="12">
        <v>9119</v>
      </c>
      <c r="P16" s="12">
        <v>9841</v>
      </c>
      <c r="Q16" s="12">
        <f>+M16*1.1</f>
        <v>8463.4000000000015</v>
      </c>
      <c r="R16" s="12">
        <f>+N16*1.1</f>
        <v>9578.8000000000011</v>
      </c>
      <c r="Z16" s="3">
        <v>27573</v>
      </c>
      <c r="AA16" s="3">
        <v>31562</v>
      </c>
      <c r="AB16" s="3">
        <f t="shared" ref="AB16:AB18" si="37">SUM(O16:R16)</f>
        <v>37002.200000000004</v>
      </c>
      <c r="AC16" s="3">
        <f>+AB16*1.05</f>
        <v>38852.310000000005</v>
      </c>
      <c r="AD16" s="3">
        <f t="shared" ref="AD16:AJ16" si="38">+AC16*1.05</f>
        <v>40794.925500000005</v>
      </c>
      <c r="AE16" s="3">
        <f t="shared" si="38"/>
        <v>42834.67177500001</v>
      </c>
      <c r="AF16" s="3">
        <f t="shared" si="38"/>
        <v>44976.405363750011</v>
      </c>
      <c r="AG16" s="3">
        <f t="shared" si="38"/>
        <v>47225.225631937516</v>
      </c>
      <c r="AH16" s="3">
        <f t="shared" si="38"/>
        <v>49586.486913534391</v>
      </c>
      <c r="AI16" s="3">
        <f t="shared" si="38"/>
        <v>52065.811259211114</v>
      </c>
      <c r="AJ16" s="3">
        <f t="shared" si="38"/>
        <v>54669.101822171673</v>
      </c>
    </row>
    <row r="17" spans="2:93" s="3" customFormat="1" x14ac:dyDescent="0.2">
      <c r="B17" s="3" t="s">
        <v>23</v>
      </c>
      <c r="C17" s="12">
        <v>3905</v>
      </c>
      <c r="D17" s="12"/>
      <c r="E17" s="12"/>
      <c r="F17" s="12"/>
      <c r="G17" s="12">
        <v>4500</v>
      </c>
      <c r="H17" s="12">
        <v>3901</v>
      </c>
      <c r="I17" s="12">
        <v>4231</v>
      </c>
      <c r="J17" s="12">
        <v>5314</v>
      </c>
      <c r="K17" s="12">
        <v>4516</v>
      </c>
      <c r="L17" s="12">
        <v>5276</v>
      </c>
      <c r="M17" s="12">
        <v>5516</v>
      </c>
      <c r="N17" s="12">
        <v>7604</v>
      </c>
      <c r="O17" s="12">
        <v>5825</v>
      </c>
      <c r="P17" s="12">
        <v>6630</v>
      </c>
      <c r="Q17" s="12">
        <f>+M17*1.05</f>
        <v>5791.8</v>
      </c>
      <c r="R17" s="12">
        <f>+N17*1.05</f>
        <v>7984.2000000000007</v>
      </c>
      <c r="Z17" s="3">
        <v>17946</v>
      </c>
      <c r="AA17" s="3">
        <v>22912</v>
      </c>
      <c r="AB17" s="3">
        <f t="shared" si="37"/>
        <v>26231</v>
      </c>
      <c r="AC17" s="3">
        <f>+AB17*1.05</f>
        <v>27542.550000000003</v>
      </c>
      <c r="AD17" s="3">
        <f t="shared" ref="AD17:AJ17" si="39">+AC17*1.05</f>
        <v>28919.677500000005</v>
      </c>
      <c r="AE17" s="3">
        <f t="shared" si="39"/>
        <v>30365.661375000007</v>
      </c>
      <c r="AF17" s="3">
        <f t="shared" si="39"/>
        <v>31883.94444375001</v>
      </c>
      <c r="AG17" s="3">
        <f t="shared" si="39"/>
        <v>33478.14166593751</v>
      </c>
      <c r="AH17" s="3">
        <f t="shared" si="39"/>
        <v>35152.048749234389</v>
      </c>
      <c r="AI17" s="3">
        <f t="shared" si="39"/>
        <v>36909.651186696108</v>
      </c>
      <c r="AJ17" s="3">
        <f t="shared" si="39"/>
        <v>38755.133746030915</v>
      </c>
    </row>
    <row r="18" spans="2:93" s="3" customFormat="1" x14ac:dyDescent="0.2">
      <c r="B18" s="3" t="s">
        <v>24</v>
      </c>
      <c r="C18" s="12">
        <v>2088</v>
      </c>
      <c r="D18" s="12"/>
      <c r="E18" s="12"/>
      <c r="F18" s="12"/>
      <c r="G18" s="12">
        <v>2880</v>
      </c>
      <c r="H18" s="12">
        <v>2585</v>
      </c>
      <c r="I18" s="12">
        <v>2756</v>
      </c>
      <c r="J18" s="12">
        <v>2831</v>
      </c>
      <c r="K18" s="12">
        <v>2773</v>
      </c>
      <c r="L18" s="12">
        <v>3341</v>
      </c>
      <c r="M18" s="12">
        <v>3256</v>
      </c>
      <c r="N18" s="12">
        <v>4140</v>
      </c>
      <c r="O18" s="12">
        <v>3374</v>
      </c>
      <c r="P18" s="12">
        <v>3657</v>
      </c>
      <c r="Q18" s="12">
        <f>+M18*1.05</f>
        <v>3418.8</v>
      </c>
      <c r="R18" s="12">
        <f>+N18*1.05</f>
        <v>4347</v>
      </c>
      <c r="Z18" s="3">
        <v>11052</v>
      </c>
      <c r="AA18" s="3">
        <v>13510</v>
      </c>
      <c r="AB18" s="3">
        <f t="shared" si="37"/>
        <v>14796.8</v>
      </c>
      <c r="AC18" s="3">
        <f>+AB18*1.05</f>
        <v>15536.64</v>
      </c>
      <c r="AD18" s="3">
        <f t="shared" ref="AD18:AJ18" si="40">+AC18*1.05</f>
        <v>16313.472</v>
      </c>
      <c r="AE18" s="3">
        <f t="shared" si="40"/>
        <v>17129.1456</v>
      </c>
      <c r="AF18" s="3">
        <f t="shared" si="40"/>
        <v>17985.602880000002</v>
      </c>
      <c r="AG18" s="3">
        <f t="shared" si="40"/>
        <v>18884.883024000002</v>
      </c>
      <c r="AH18" s="3">
        <f t="shared" si="40"/>
        <v>19829.127175200003</v>
      </c>
      <c r="AI18" s="3">
        <f t="shared" si="40"/>
        <v>20820.583533960005</v>
      </c>
      <c r="AJ18" s="3">
        <f t="shared" si="40"/>
        <v>21861.612710658006</v>
      </c>
    </row>
    <row r="19" spans="2:93" s="3" customFormat="1" x14ac:dyDescent="0.2">
      <c r="B19" s="3" t="s">
        <v>26</v>
      </c>
      <c r="C19" s="12">
        <f t="shared" ref="C19" si="41">SUM(C16:C18)</f>
        <v>12022</v>
      </c>
      <c r="D19" s="12"/>
      <c r="E19" s="12"/>
      <c r="F19" s="12"/>
      <c r="G19" s="12">
        <f t="shared" ref="G19" si="42">SUM(G16:G18)</f>
        <v>14200</v>
      </c>
      <c r="H19" s="12">
        <f t="shared" ref="H19" si="43">SUM(H16:H18)</f>
        <v>13361</v>
      </c>
      <c r="I19" s="12">
        <f t="shared" ref="I19" si="44">SUM(I16:I18)</f>
        <v>13843</v>
      </c>
      <c r="J19" s="12">
        <f t="shared" ref="J19" si="45">SUM(J16:J18)</f>
        <v>15167</v>
      </c>
      <c r="K19" s="12">
        <f>SUM(K16:K18)</f>
        <v>14774</v>
      </c>
      <c r="L19" s="12">
        <f t="shared" ref="L19:O19" si="46">SUM(L16:L18)</f>
        <v>16292</v>
      </c>
      <c r="M19" s="12">
        <f t="shared" si="46"/>
        <v>16466</v>
      </c>
      <c r="N19" s="12">
        <f t="shared" si="46"/>
        <v>20452</v>
      </c>
      <c r="O19" s="12">
        <f t="shared" si="46"/>
        <v>18318</v>
      </c>
      <c r="P19" s="12">
        <f t="shared" ref="P19:R19" si="47">SUM(P16:P18)</f>
        <v>20128</v>
      </c>
      <c r="Q19" s="12">
        <f t="shared" si="47"/>
        <v>17674</v>
      </c>
      <c r="R19" s="12">
        <f t="shared" si="47"/>
        <v>21910</v>
      </c>
      <c r="Z19" s="3">
        <f>SUM(Z16:Z18)</f>
        <v>56571</v>
      </c>
      <c r="AA19" s="3">
        <f t="shared" ref="AA19:AC19" si="48">SUM(AA16:AA18)</f>
        <v>67984</v>
      </c>
      <c r="AB19" s="3">
        <f t="shared" si="48"/>
        <v>78030</v>
      </c>
      <c r="AC19" s="3">
        <f t="shared" si="48"/>
        <v>81931.500000000015</v>
      </c>
      <c r="AD19" s="3">
        <f t="shared" ref="AD19:AJ19" si="49">SUM(AD16:AD18)</f>
        <v>86028.074999999997</v>
      </c>
      <c r="AE19" s="3">
        <f t="shared" si="49"/>
        <v>90329.478750000024</v>
      </c>
      <c r="AF19" s="3">
        <f t="shared" si="49"/>
        <v>94845.95268750003</v>
      </c>
      <c r="AG19" s="3">
        <f t="shared" si="49"/>
        <v>99588.250321875035</v>
      </c>
      <c r="AH19" s="3">
        <f t="shared" si="49"/>
        <v>104567.66283796879</v>
      </c>
      <c r="AI19" s="3">
        <f t="shared" si="49"/>
        <v>109796.04597986722</v>
      </c>
      <c r="AJ19" s="3">
        <f t="shared" si="49"/>
        <v>115285.84827886061</v>
      </c>
    </row>
    <row r="20" spans="2:93" s="3" customFormat="1" x14ac:dyDescent="0.2">
      <c r="B20" s="3" t="s">
        <v>27</v>
      </c>
      <c r="C20" s="12">
        <f t="shared" ref="C20" si="50">C15-C19</f>
        <v>8305</v>
      </c>
      <c r="D20" s="12"/>
      <c r="E20" s="12"/>
      <c r="F20" s="12"/>
      <c r="G20" s="12">
        <f t="shared" ref="G20" si="51">G15-G19</f>
        <v>7977</v>
      </c>
      <c r="H20" s="12">
        <f t="shared" ref="H20" si="52">H15-H19</f>
        <v>6383</v>
      </c>
      <c r="I20" s="12">
        <f t="shared" ref="I20" si="53">I15-I19</f>
        <v>11213</v>
      </c>
      <c r="J20" s="12">
        <f t="shared" ref="J20" si="54">J15-J19</f>
        <v>15651</v>
      </c>
      <c r="K20" s="12">
        <f t="shared" ref="K20:N20" si="55">K15-K19</f>
        <v>16437</v>
      </c>
      <c r="L20" s="12">
        <f t="shared" si="55"/>
        <v>19361</v>
      </c>
      <c r="M20" s="12">
        <f t="shared" si="55"/>
        <v>21031</v>
      </c>
      <c r="N20" s="12">
        <f t="shared" si="55"/>
        <v>21885</v>
      </c>
      <c r="O20" s="12">
        <f>O15-O19</f>
        <v>20094</v>
      </c>
      <c r="P20" s="12">
        <f t="shared" ref="P20:R20" si="56">P15-P19</f>
        <v>19453</v>
      </c>
      <c r="Q20" s="12">
        <f t="shared" si="56"/>
        <v>23886.666500000007</v>
      </c>
      <c r="R20" s="12">
        <f t="shared" si="56"/>
        <v>26023.040749999993</v>
      </c>
      <c r="Z20" s="3">
        <f>Z15-Z19</f>
        <v>41224</v>
      </c>
      <c r="AA20" s="3">
        <f t="shared" ref="AA20:AC20" si="57">AA15-AA19</f>
        <v>78714</v>
      </c>
      <c r="AB20" s="3">
        <f t="shared" si="57"/>
        <v>89456.707250000036</v>
      </c>
      <c r="AC20" s="3">
        <f t="shared" si="57"/>
        <v>102675.368715</v>
      </c>
      <c r="AD20" s="3">
        <f t="shared" ref="AD20:AJ20" si="58">AD15-AD19</f>
        <v>119847.69834105003</v>
      </c>
      <c r="AE20" s="3">
        <f t="shared" si="58"/>
        <v>138387.67591842153</v>
      </c>
      <c r="AF20" s="3">
        <f t="shared" si="58"/>
        <v>160665.14765477378</v>
      </c>
      <c r="AG20" s="3">
        <f t="shared" si="58"/>
        <v>187599.480449925</v>
      </c>
      <c r="AH20" s="3">
        <f t="shared" si="58"/>
        <v>213776.30026994075</v>
      </c>
      <c r="AI20" s="3">
        <f t="shared" si="58"/>
        <v>243991.37123970751</v>
      </c>
      <c r="AJ20" s="3">
        <f t="shared" si="58"/>
        <v>278918.98833768995</v>
      </c>
    </row>
    <row r="21" spans="2:93" s="3" customFormat="1" x14ac:dyDescent="0.2">
      <c r="B21" s="3" t="s">
        <v>28</v>
      </c>
      <c r="C21" s="12">
        <v>1538</v>
      </c>
      <c r="D21" s="12"/>
      <c r="E21" s="12"/>
      <c r="F21" s="12"/>
      <c r="G21" s="12">
        <v>-220</v>
      </c>
      <c r="H21" s="12">
        <v>1894</v>
      </c>
      <c r="I21" s="12">
        <v>2146</v>
      </c>
      <c r="J21" s="12">
        <v>3038</v>
      </c>
      <c r="K21" s="12">
        <v>4846</v>
      </c>
      <c r="L21" s="12">
        <v>2264</v>
      </c>
      <c r="M21" s="12">
        <v>2033</v>
      </c>
      <c r="N21" s="12">
        <v>2517</v>
      </c>
      <c r="O21" s="12">
        <v>-1160</v>
      </c>
      <c r="P21" s="12">
        <v>-439</v>
      </c>
      <c r="Q21" s="12">
        <v>0</v>
      </c>
      <c r="R21" s="12">
        <v>0</v>
      </c>
      <c r="Z21" s="3">
        <v>6858</v>
      </c>
      <c r="AA21" s="3">
        <v>12020</v>
      </c>
      <c r="AB21" s="3">
        <f t="shared" ref="AB21:AB23" si="59">SUM(O21:R21)</f>
        <v>-1599</v>
      </c>
      <c r="AC21" s="3">
        <f>+AB38*$AM$30</f>
        <v>1828.5215409</v>
      </c>
      <c r="AD21" s="3">
        <f t="shared" ref="AD21:AJ21" si="60">+AC38*$AM$30</f>
        <v>2685.4534409983798</v>
      </c>
      <c r="AE21" s="3">
        <f t="shared" si="60"/>
        <v>3690.2252856111772</v>
      </c>
      <c r="AF21" s="3">
        <f t="shared" si="60"/>
        <v>4855.264075484246</v>
      </c>
      <c r="AG21" s="3">
        <f t="shared" si="60"/>
        <v>6212.5314516723611</v>
      </c>
      <c r="AH21" s="3">
        <f t="shared" si="60"/>
        <v>7801.7899492654606</v>
      </c>
      <c r="AI21" s="3">
        <f t="shared" si="60"/>
        <v>9618.7302890629508</v>
      </c>
      <c r="AJ21" s="3">
        <f t="shared" si="60"/>
        <v>11698.333121598869</v>
      </c>
    </row>
    <row r="22" spans="2:93" s="3" customFormat="1" x14ac:dyDescent="0.2">
      <c r="B22" s="3" t="s">
        <v>29</v>
      </c>
      <c r="C22" s="12">
        <f t="shared" ref="C22" si="61">C20+C21</f>
        <v>9843</v>
      </c>
      <c r="D22" s="12"/>
      <c r="E22" s="12"/>
      <c r="F22" s="12"/>
      <c r="G22" s="12">
        <f t="shared" ref="G22" si="62">G20+G21</f>
        <v>7757</v>
      </c>
      <c r="H22" s="12">
        <f t="shared" ref="H22" si="63">H20+H21</f>
        <v>8277</v>
      </c>
      <c r="I22" s="12">
        <f t="shared" ref="I22" si="64">I20+I21</f>
        <v>13359</v>
      </c>
      <c r="J22" s="12">
        <f t="shared" ref="J22" si="65">J20+J21</f>
        <v>18689</v>
      </c>
      <c r="K22" s="12">
        <f>K20+K21</f>
        <v>21283</v>
      </c>
      <c r="L22" s="12">
        <f t="shared" ref="L22:O22" si="66">L20+L21</f>
        <v>21625</v>
      </c>
      <c r="M22" s="12">
        <f t="shared" si="66"/>
        <v>23064</v>
      </c>
      <c r="N22" s="12">
        <f t="shared" si="66"/>
        <v>24402</v>
      </c>
      <c r="O22" s="12">
        <f t="shared" si="66"/>
        <v>18934</v>
      </c>
      <c r="P22" s="12">
        <f t="shared" ref="P22:R22" si="67">P20+P21</f>
        <v>19014</v>
      </c>
      <c r="Q22" s="12">
        <f t="shared" si="67"/>
        <v>23886.666500000007</v>
      </c>
      <c r="R22" s="12">
        <f t="shared" si="67"/>
        <v>26023.040749999993</v>
      </c>
      <c r="Z22" s="3">
        <f>Z20+Z21</f>
        <v>48082</v>
      </c>
      <c r="AA22" s="3">
        <f t="shared" ref="AA22:AC22" si="68">AA20+AA21</f>
        <v>90734</v>
      </c>
      <c r="AB22" s="3">
        <f t="shared" si="68"/>
        <v>87857.707250000036</v>
      </c>
      <c r="AC22" s="3">
        <f t="shared" si="68"/>
        <v>104503.8902559</v>
      </c>
      <c r="AD22" s="3">
        <f t="shared" ref="AD22:AJ22" si="69">AD20+AD21</f>
        <v>122533.1517820484</v>
      </c>
      <c r="AE22" s="3">
        <f t="shared" si="69"/>
        <v>142077.90120403271</v>
      </c>
      <c r="AF22" s="3">
        <f t="shared" si="69"/>
        <v>165520.41173025803</v>
      </c>
      <c r="AG22" s="3">
        <f t="shared" si="69"/>
        <v>193812.01190159738</v>
      </c>
      <c r="AH22" s="3">
        <f t="shared" si="69"/>
        <v>221578.09021920621</v>
      </c>
      <c r="AI22" s="3">
        <f t="shared" si="69"/>
        <v>253610.10152877046</v>
      </c>
      <c r="AJ22" s="3">
        <f t="shared" si="69"/>
        <v>290617.32145928883</v>
      </c>
    </row>
    <row r="23" spans="2:93" s="3" customFormat="1" x14ac:dyDescent="0.2">
      <c r="B23" s="3" t="s">
        <v>30</v>
      </c>
      <c r="C23" s="12">
        <v>1489</v>
      </c>
      <c r="D23" s="12"/>
      <c r="E23" s="12"/>
      <c r="F23" s="12"/>
      <c r="G23" s="12">
        <v>921</v>
      </c>
      <c r="H23" s="12">
        <v>1318</v>
      </c>
      <c r="I23" s="12">
        <v>2112</v>
      </c>
      <c r="J23" s="12">
        <v>3462</v>
      </c>
      <c r="K23" s="12">
        <v>3353</v>
      </c>
      <c r="L23" s="12">
        <v>3460</v>
      </c>
      <c r="M23" s="12">
        <v>4128</v>
      </c>
      <c r="N23" s="12">
        <v>3760</v>
      </c>
      <c r="O23" s="12">
        <v>2498</v>
      </c>
      <c r="P23" s="12">
        <v>3012</v>
      </c>
      <c r="Q23" s="12">
        <f>+Q22*0.16</f>
        <v>3821.8666400000011</v>
      </c>
      <c r="R23" s="12">
        <f>+R22*0.16</f>
        <v>4163.6865199999993</v>
      </c>
      <c r="Z23" s="3">
        <v>7813</v>
      </c>
      <c r="AA23" s="3">
        <v>14701</v>
      </c>
      <c r="AB23" s="3">
        <f t="shared" si="59"/>
        <v>13495.553159999999</v>
      </c>
      <c r="AC23" s="3">
        <f>+AC22*0.18</f>
        <v>18810.700246061999</v>
      </c>
      <c r="AD23" s="3">
        <f t="shared" ref="AD23:AJ23" si="70">+AD22*0.18</f>
        <v>22055.967320768712</v>
      </c>
      <c r="AE23" s="3">
        <f t="shared" si="70"/>
        <v>25574.022216725887</v>
      </c>
      <c r="AF23" s="3">
        <f t="shared" si="70"/>
        <v>29793.674111446442</v>
      </c>
      <c r="AG23" s="3">
        <f t="shared" si="70"/>
        <v>34886.162142287525</v>
      </c>
      <c r="AH23" s="3">
        <f t="shared" si="70"/>
        <v>39884.056239457117</v>
      </c>
      <c r="AI23" s="3">
        <f t="shared" si="70"/>
        <v>45649.818275178681</v>
      </c>
      <c r="AJ23" s="3">
        <f t="shared" si="70"/>
        <v>52311.117862671985</v>
      </c>
    </row>
    <row r="24" spans="2:93" s="3" customFormat="1" x14ac:dyDescent="0.2">
      <c r="B24" s="3" t="s">
        <v>31</v>
      </c>
      <c r="C24" s="12">
        <f t="shared" ref="C24" si="71">C22-C23</f>
        <v>8354</v>
      </c>
      <c r="D24" s="12"/>
      <c r="E24" s="12"/>
      <c r="F24" s="12"/>
      <c r="G24" s="12">
        <f t="shared" ref="G24" si="72">G22-G23</f>
        <v>6836</v>
      </c>
      <c r="H24" s="12">
        <f t="shared" ref="H24" si="73">H22-H23</f>
        <v>6959</v>
      </c>
      <c r="I24" s="12">
        <f t="shared" ref="I24" si="74">I22-I23</f>
        <v>11247</v>
      </c>
      <c r="J24" s="12">
        <f t="shared" ref="J24" si="75">J22-J23</f>
        <v>15227</v>
      </c>
      <c r="K24" s="12">
        <f>K22-K23</f>
        <v>17930</v>
      </c>
      <c r="L24" s="12">
        <f t="shared" ref="L24:O24" si="76">L22-L23</f>
        <v>18165</v>
      </c>
      <c r="M24" s="12">
        <f t="shared" si="76"/>
        <v>18936</v>
      </c>
      <c r="N24" s="12">
        <f t="shared" si="76"/>
        <v>20642</v>
      </c>
      <c r="O24" s="12">
        <f t="shared" si="76"/>
        <v>16436</v>
      </c>
      <c r="P24" s="12">
        <f t="shared" ref="P24:R24" si="77">P22-P23</f>
        <v>16002</v>
      </c>
      <c r="Q24" s="12">
        <f t="shared" si="77"/>
        <v>20064.799860000006</v>
      </c>
      <c r="R24" s="12">
        <f t="shared" si="77"/>
        <v>21859.354229999994</v>
      </c>
      <c r="Z24" s="3">
        <f>Z22-Z23</f>
        <v>40269</v>
      </c>
      <c r="AA24" s="3">
        <f t="shared" ref="AA24:AC24" si="78">AA22-AA23</f>
        <v>76033</v>
      </c>
      <c r="AB24" s="3">
        <f t="shared" si="78"/>
        <v>74362.15409000004</v>
      </c>
      <c r="AC24" s="3">
        <f t="shared" si="78"/>
        <v>85693.190009837999</v>
      </c>
      <c r="AD24" s="3">
        <f t="shared" ref="AD24:AJ24" si="79">AD22-AD23</f>
        <v>100477.18446127968</v>
      </c>
      <c r="AE24" s="3">
        <f t="shared" si="79"/>
        <v>116503.87898730682</v>
      </c>
      <c r="AF24" s="3">
        <f t="shared" si="79"/>
        <v>135726.73761881157</v>
      </c>
      <c r="AG24" s="3">
        <f t="shared" si="79"/>
        <v>158925.84975930984</v>
      </c>
      <c r="AH24" s="3">
        <f t="shared" si="79"/>
        <v>181694.03397974907</v>
      </c>
      <c r="AI24" s="3">
        <f t="shared" si="79"/>
        <v>207960.2832535918</v>
      </c>
      <c r="AJ24" s="3">
        <f t="shared" si="79"/>
        <v>238306.20359661683</v>
      </c>
      <c r="AK24" s="3">
        <f>+AJ24*(1+$AM$28)</f>
        <v>235923.14156065066</v>
      </c>
      <c r="AL24" s="3">
        <f t="shared" ref="AL24:CO24" si="80">+AK24*(1+$AM$28)</f>
        <v>233563.91014504415</v>
      </c>
      <c r="AM24" s="3">
        <f t="shared" si="80"/>
        <v>231228.2710435937</v>
      </c>
      <c r="AN24" s="3">
        <f t="shared" si="80"/>
        <v>228915.98833315776</v>
      </c>
      <c r="AO24" s="3">
        <f t="shared" si="80"/>
        <v>226626.82844982619</v>
      </c>
      <c r="AP24" s="3">
        <f t="shared" si="80"/>
        <v>224360.56016532792</v>
      </c>
      <c r="AQ24" s="3">
        <f t="shared" si="80"/>
        <v>222116.95456367463</v>
      </c>
      <c r="AR24" s="3">
        <f t="shared" si="80"/>
        <v>219895.78501803789</v>
      </c>
      <c r="AS24" s="3">
        <f t="shared" si="80"/>
        <v>217696.8271678575</v>
      </c>
      <c r="AT24" s="3">
        <f t="shared" si="80"/>
        <v>215519.85889617892</v>
      </c>
      <c r="AU24" s="3">
        <f t="shared" si="80"/>
        <v>213364.66030721713</v>
      </c>
      <c r="AV24" s="3">
        <f t="shared" si="80"/>
        <v>211231.01370414495</v>
      </c>
      <c r="AW24" s="3">
        <f t="shared" si="80"/>
        <v>209118.70356710351</v>
      </c>
      <c r="AX24" s="3">
        <f t="shared" si="80"/>
        <v>207027.51653143248</v>
      </c>
      <c r="AY24" s="3">
        <f t="shared" si="80"/>
        <v>204957.24136611816</v>
      </c>
      <c r="AZ24" s="3">
        <f t="shared" si="80"/>
        <v>202907.66895245697</v>
      </c>
      <c r="BA24" s="3">
        <f t="shared" si="80"/>
        <v>200878.59226293239</v>
      </c>
      <c r="BB24" s="3">
        <f t="shared" si="80"/>
        <v>198869.80634030307</v>
      </c>
      <c r="BC24" s="3">
        <f t="shared" si="80"/>
        <v>196881.10827690005</v>
      </c>
      <c r="BD24" s="3">
        <f t="shared" si="80"/>
        <v>194912.29719413104</v>
      </c>
      <c r="BE24" s="3">
        <f t="shared" si="80"/>
        <v>192963.17422218973</v>
      </c>
      <c r="BF24" s="3">
        <f t="shared" si="80"/>
        <v>191033.54247996784</v>
      </c>
      <c r="BG24" s="3">
        <f t="shared" si="80"/>
        <v>189123.20705516817</v>
      </c>
      <c r="BH24" s="3">
        <f t="shared" si="80"/>
        <v>187231.97498461648</v>
      </c>
      <c r="BI24" s="3">
        <f t="shared" si="80"/>
        <v>185359.65523477033</v>
      </c>
      <c r="BJ24" s="3">
        <f t="shared" si="80"/>
        <v>183506.05868242262</v>
      </c>
      <c r="BK24" s="3">
        <f t="shared" si="80"/>
        <v>181670.99809559839</v>
      </c>
      <c r="BL24" s="3">
        <f t="shared" si="80"/>
        <v>179854.2881146424</v>
      </c>
      <c r="BM24" s="3">
        <f t="shared" si="80"/>
        <v>178055.74523349598</v>
      </c>
      <c r="BN24" s="3">
        <f t="shared" si="80"/>
        <v>176275.18778116102</v>
      </c>
      <c r="BO24" s="3">
        <f t="shared" si="80"/>
        <v>174512.4359033494</v>
      </c>
      <c r="BP24" s="3">
        <f t="shared" si="80"/>
        <v>172767.31154431589</v>
      </c>
      <c r="BQ24" s="3">
        <f t="shared" si="80"/>
        <v>171039.63842887274</v>
      </c>
      <c r="BR24" s="3">
        <f t="shared" si="80"/>
        <v>169329.24204458401</v>
      </c>
      <c r="BS24" s="3">
        <f t="shared" si="80"/>
        <v>167635.94962413816</v>
      </c>
      <c r="BT24" s="3">
        <f t="shared" si="80"/>
        <v>165959.59012789678</v>
      </c>
      <c r="BU24" s="3">
        <f t="shared" si="80"/>
        <v>164299.9942266178</v>
      </c>
      <c r="BV24" s="3">
        <f t="shared" si="80"/>
        <v>162656.99428435162</v>
      </c>
      <c r="BW24" s="3">
        <f t="shared" si="80"/>
        <v>161030.4243415081</v>
      </c>
      <c r="BX24" s="3">
        <f t="shared" si="80"/>
        <v>159420.12009809303</v>
      </c>
      <c r="BY24" s="3">
        <f t="shared" si="80"/>
        <v>157825.9188971121</v>
      </c>
      <c r="BZ24" s="3">
        <f t="shared" si="80"/>
        <v>156247.65970814097</v>
      </c>
      <c r="CA24" s="3">
        <f t="shared" si="80"/>
        <v>154685.18311105957</v>
      </c>
      <c r="CB24" s="3">
        <f t="shared" si="80"/>
        <v>153138.33127994896</v>
      </c>
      <c r="CC24" s="3">
        <f t="shared" si="80"/>
        <v>151606.94796714946</v>
      </c>
      <c r="CD24" s="3">
        <f t="shared" si="80"/>
        <v>150090.87848747798</v>
      </c>
      <c r="CE24" s="3">
        <f t="shared" si="80"/>
        <v>148589.96970260321</v>
      </c>
      <c r="CF24" s="3">
        <f t="shared" si="80"/>
        <v>147104.07000557717</v>
      </c>
      <c r="CG24" s="3">
        <f t="shared" si="80"/>
        <v>145633.0293055214</v>
      </c>
      <c r="CH24" s="3">
        <f t="shared" si="80"/>
        <v>144176.69901246618</v>
      </c>
      <c r="CI24" s="3">
        <f t="shared" si="80"/>
        <v>142734.93202234153</v>
      </c>
      <c r="CJ24" s="3">
        <f t="shared" si="80"/>
        <v>141307.58270211812</v>
      </c>
      <c r="CK24" s="3">
        <f t="shared" si="80"/>
        <v>139894.50687509694</v>
      </c>
      <c r="CL24" s="3">
        <f t="shared" si="80"/>
        <v>138495.56180634597</v>
      </c>
      <c r="CM24" s="3">
        <f t="shared" si="80"/>
        <v>137110.60618828252</v>
      </c>
      <c r="CN24" s="3">
        <f t="shared" si="80"/>
        <v>135739.50012639968</v>
      </c>
      <c r="CO24" s="3">
        <f t="shared" si="80"/>
        <v>134382.10512513568</v>
      </c>
    </row>
    <row r="25" spans="2:93" s="8" customFormat="1" x14ac:dyDescent="0.2">
      <c r="B25" s="10" t="s">
        <v>32</v>
      </c>
      <c r="C25" s="15">
        <f t="shared" ref="C25" si="81">C24/C26</f>
        <v>11.919318455824756</v>
      </c>
      <c r="D25" s="15"/>
      <c r="E25" s="15"/>
      <c r="F25" s="15"/>
      <c r="G25" s="15">
        <f t="shared" ref="G25" si="82">G24/G26</f>
        <v>9.8748026411774639</v>
      </c>
      <c r="H25" s="15">
        <f t="shared" ref="H25" si="83">H24/H26</f>
        <v>10.129194904399265</v>
      </c>
      <c r="I25" s="15">
        <f t="shared" ref="I25" si="84">I24/I26</f>
        <v>16.398605528022852</v>
      </c>
      <c r="J25" s="15">
        <f t="shared" ref="J25" si="85">J24/J26</f>
        <v>22.295301836540162</v>
      </c>
      <c r="K25" s="15">
        <f t="shared" ref="K25:N25" si="86">K24/K26</f>
        <v>26.287585896482916</v>
      </c>
      <c r="L25" s="15">
        <f t="shared" si="86"/>
        <v>1.3364479105356091</v>
      </c>
      <c r="M25" s="15">
        <f t="shared" si="86"/>
        <v>27.990344690984287</v>
      </c>
      <c r="N25" s="15">
        <f t="shared" si="86"/>
        <v>30.69474329100823</v>
      </c>
      <c r="O25" s="15">
        <f>O24/O26</f>
        <v>24.621339792764896</v>
      </c>
      <c r="P25" s="15">
        <f t="shared" ref="P25:R25" si="87">P24/P26</f>
        <v>1.2087015635622025</v>
      </c>
      <c r="Q25" s="15">
        <f t="shared" si="87"/>
        <v>1.5155827373668711</v>
      </c>
      <c r="R25" s="15">
        <f t="shared" si="87"/>
        <v>1.6511333355993649</v>
      </c>
      <c r="Z25" s="18">
        <f>Z24/Z26</f>
        <v>58.613331625494155</v>
      </c>
      <c r="AA25" s="18">
        <f>AA24/AA26</f>
        <v>112.19701508394893</v>
      </c>
      <c r="AB25" s="18">
        <f>AB24/AB26</f>
        <v>5.6169011322607476</v>
      </c>
      <c r="AC25" s="18">
        <f>AC24/AC26</f>
        <v>6.4727841989453889</v>
      </c>
      <c r="AD25" s="18">
        <f t="shared" ref="AD25:AJ25" si="88">AD24/AD26</f>
        <v>7.5894844369876644</v>
      </c>
      <c r="AE25" s="18">
        <f t="shared" si="88"/>
        <v>8.800051286902848</v>
      </c>
      <c r="AF25" s="18">
        <f t="shared" si="88"/>
        <v>10.25203849375418</v>
      </c>
      <c r="AG25" s="18">
        <f t="shared" si="88"/>
        <v>12.004369647202195</v>
      </c>
      <c r="AH25" s="18">
        <f t="shared" si="88"/>
        <v>13.724150916213389</v>
      </c>
      <c r="AI25" s="18">
        <f t="shared" si="88"/>
        <v>15.70815645090957</v>
      </c>
      <c r="AJ25" s="18">
        <f t="shared" si="88"/>
        <v>18.000317516173187</v>
      </c>
    </row>
    <row r="26" spans="2:93" s="3" customFormat="1" x14ac:dyDescent="0.2">
      <c r="B26" s="3" t="s">
        <v>1</v>
      </c>
      <c r="C26" s="12">
        <v>700.87900000000002</v>
      </c>
      <c r="D26" s="12"/>
      <c r="E26" s="12"/>
      <c r="F26" s="12"/>
      <c r="G26" s="12">
        <v>692.26700000000005</v>
      </c>
      <c r="H26" s="12">
        <v>687.024</v>
      </c>
      <c r="I26" s="12">
        <v>685.851</v>
      </c>
      <c r="J26" s="12">
        <v>682.96900000000005</v>
      </c>
      <c r="K26" s="12">
        <v>682.07100000000003</v>
      </c>
      <c r="L26" s="12">
        <v>13592</v>
      </c>
      <c r="M26" s="12">
        <v>676.51900000000001</v>
      </c>
      <c r="N26" s="12">
        <v>672.49300000000005</v>
      </c>
      <c r="O26" s="12">
        <v>667.55100000000004</v>
      </c>
      <c r="P26" s="12">
        <v>13239</v>
      </c>
      <c r="Q26" s="12">
        <f>+P26</f>
        <v>13239</v>
      </c>
      <c r="R26" s="12">
        <f>+Q26</f>
        <v>13239</v>
      </c>
      <c r="Z26" s="3">
        <v>687.02800000000002</v>
      </c>
      <c r="AA26" s="3">
        <v>677.67399999999998</v>
      </c>
      <c r="AB26" s="3">
        <f>AVERAGE(P26:R26)</f>
        <v>13239</v>
      </c>
      <c r="AC26" s="3">
        <f>+AB26</f>
        <v>13239</v>
      </c>
      <c r="AD26" s="3">
        <f t="shared" ref="AD26:AJ26" si="89">+AC26</f>
        <v>13239</v>
      </c>
      <c r="AE26" s="3">
        <f t="shared" si="89"/>
        <v>13239</v>
      </c>
      <c r="AF26" s="3">
        <f t="shared" si="89"/>
        <v>13239</v>
      </c>
      <c r="AG26" s="3">
        <f t="shared" si="89"/>
        <v>13239</v>
      </c>
      <c r="AH26" s="3">
        <f t="shared" si="89"/>
        <v>13239</v>
      </c>
      <c r="AI26" s="3">
        <f t="shared" si="89"/>
        <v>13239</v>
      </c>
      <c r="AJ26" s="3">
        <f t="shared" si="89"/>
        <v>13239</v>
      </c>
    </row>
    <row r="28" spans="2:93" s="19" customFormat="1" x14ac:dyDescent="0.2">
      <c r="B28" s="19" t="s">
        <v>34</v>
      </c>
      <c r="C28" s="17"/>
      <c r="D28" s="17"/>
      <c r="E28" s="17"/>
      <c r="F28" s="17"/>
      <c r="G28" s="17"/>
      <c r="H28" s="17"/>
      <c r="I28" s="17"/>
      <c r="J28" s="17"/>
      <c r="K28" s="17">
        <f t="shared" ref="K28:L28" si="90">K12/G12-1</f>
        <v>0.34391020189994892</v>
      </c>
      <c r="L28" s="17">
        <f t="shared" si="90"/>
        <v>0.61579235971486024</v>
      </c>
      <c r="M28" s="17">
        <f t="shared" ref="M28" si="91">M12/I12-1</f>
        <v>0.41030472353973102</v>
      </c>
      <c r="N28" s="17">
        <f t="shared" ref="N28" si="92">N12/J12-1</f>
        <v>0.32386024113325607</v>
      </c>
      <c r="O28" s="17">
        <f>O12/K12-1</f>
        <v>0.22954405756228069</v>
      </c>
      <c r="P28" s="17">
        <f t="shared" ref="P28:R28" si="93">P12/L12-1</f>
        <v>0.12613122171945701</v>
      </c>
      <c r="Q28" s="17">
        <f t="shared" si="93"/>
        <v>0.10997604349027945</v>
      </c>
      <c r="R28" s="17">
        <f t="shared" si="93"/>
        <v>0.10669512114171908</v>
      </c>
      <c r="X28" s="19">
        <f t="shared" ref="X28:Z28" si="94">X12/W12-1</f>
        <v>0.23421586757475987</v>
      </c>
      <c r="Y28" s="19">
        <f t="shared" si="94"/>
        <v>0.18300089899794614</v>
      </c>
      <c r="Z28" s="19">
        <f t="shared" si="94"/>
        <v>0.12770532012826141</v>
      </c>
      <c r="AA28" s="19">
        <f>AA12/Z12-1</f>
        <v>0.41150076427049154</v>
      </c>
      <c r="AB28" s="19">
        <f>AB12/AA12-1</f>
        <v>0.13856794637416225</v>
      </c>
      <c r="AC28" s="19">
        <f t="shared" ref="AC28:AJ28" si="95">AC12/AB12-1</f>
        <v>0.10409339960018027</v>
      </c>
      <c r="AD28" s="19">
        <f t="shared" si="95"/>
        <v>0.11521188119433079</v>
      </c>
      <c r="AE28" s="19">
        <f t="shared" si="95"/>
        <v>0.11094739782486651</v>
      </c>
      <c r="AF28" s="19">
        <f t="shared" si="95"/>
        <v>0.11714882389428238</v>
      </c>
      <c r="AG28" s="19">
        <f t="shared" si="95"/>
        <v>0.12397359796538532</v>
      </c>
      <c r="AH28" s="19">
        <f t="shared" si="95"/>
        <v>0.10848733771592189</v>
      </c>
      <c r="AI28" s="19">
        <f t="shared" si="95"/>
        <v>0.11133697578443114</v>
      </c>
      <c r="AJ28" s="19">
        <f t="shared" si="95"/>
        <v>0.11424210537112223</v>
      </c>
      <c r="AL28" s="19" t="s">
        <v>72</v>
      </c>
      <c r="AM28" s="19">
        <v>-0.01</v>
      </c>
    </row>
    <row r="29" spans="2:93" s="19" customFormat="1" x14ac:dyDescent="0.2">
      <c r="B29" s="19" t="s">
        <v>48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>
        <v>0.16</v>
      </c>
      <c r="Q29" s="17"/>
      <c r="R29" s="17"/>
      <c r="AL29" s="19" t="s">
        <v>73</v>
      </c>
      <c r="AM29" s="19">
        <v>0.08</v>
      </c>
    </row>
    <row r="30" spans="2:93" s="22" customFormat="1" x14ac:dyDescent="0.2">
      <c r="B30" s="22" t="s">
        <v>49</v>
      </c>
      <c r="C30" s="21"/>
      <c r="D30" s="21"/>
      <c r="E30" s="21"/>
      <c r="F30" s="21"/>
      <c r="G30" s="21"/>
      <c r="H30" s="21"/>
      <c r="I30" s="21"/>
      <c r="J30" s="21"/>
      <c r="K30" s="21">
        <f t="shared" ref="K30" si="96">+K10/G10-1</f>
        <v>0.30107746306423966</v>
      </c>
      <c r="L30" s="21">
        <f t="shared" ref="L30:O30" si="97">+L10/H10-1</f>
        <v>0.68136404146535945</v>
      </c>
      <c r="M30" s="21">
        <f t="shared" si="97"/>
        <v>0.43997266307236682</v>
      </c>
      <c r="N30" s="21">
        <f t="shared" si="97"/>
        <v>0.35727047613077145</v>
      </c>
      <c r="O30" s="21">
        <f t="shared" si="97"/>
        <v>0.24276169265033398</v>
      </c>
      <c r="P30" s="21">
        <f>+P10/L10-1</f>
        <v>0.13513739712651684</v>
      </c>
      <c r="Q30" s="21">
        <f>+Q10/M10-1</f>
        <v>0.10000000000000009</v>
      </c>
      <c r="R30" s="21">
        <f>+R10/N10-1</f>
        <v>0.10000000000000009</v>
      </c>
      <c r="X30" s="22">
        <f t="shared" ref="X30:AB30" si="98">+X10/W10-1</f>
        <v>0.22181318130380601</v>
      </c>
      <c r="Y30" s="22">
        <f t="shared" si="98"/>
        <v>0.15028840742824978</v>
      </c>
      <c r="Z30" s="22">
        <f t="shared" si="98"/>
        <v>6.0612546501554343E-2</v>
      </c>
      <c r="AA30" s="22">
        <f t="shared" si="98"/>
        <v>0.43136783840402826</v>
      </c>
      <c r="AB30" s="22">
        <f t="shared" si="98"/>
        <v>0.13901014427563441</v>
      </c>
      <c r="AC30" s="22">
        <f>+AC10/AB10-1</f>
        <v>0.10000000000000009</v>
      </c>
      <c r="AD30" s="21">
        <f t="shared" ref="AD30:AJ30" si="99">+AD10/AC10-1</f>
        <v>0.10000000000000009</v>
      </c>
      <c r="AE30" s="21">
        <f t="shared" si="99"/>
        <v>0.10000000000000009</v>
      </c>
      <c r="AF30" s="21">
        <f t="shared" si="99"/>
        <v>0.10000000000000009</v>
      </c>
      <c r="AG30" s="21">
        <f t="shared" si="99"/>
        <v>9.9999999999999867E-2</v>
      </c>
      <c r="AH30" s="21">
        <f t="shared" si="99"/>
        <v>0.10000000000000009</v>
      </c>
      <c r="AI30" s="21">
        <f t="shared" si="99"/>
        <v>0.10000000000000009</v>
      </c>
      <c r="AJ30" s="21">
        <f t="shared" si="99"/>
        <v>0.10000000000000009</v>
      </c>
      <c r="AL30" s="22" t="s">
        <v>74</v>
      </c>
      <c r="AM30" s="22">
        <v>0.01</v>
      </c>
    </row>
    <row r="31" spans="2:93" s="22" customFormat="1" x14ac:dyDescent="0.2">
      <c r="B31" s="22" t="s">
        <v>50</v>
      </c>
      <c r="C31" s="21"/>
      <c r="D31" s="21"/>
      <c r="E31" s="21"/>
      <c r="F31" s="21"/>
      <c r="G31" s="21"/>
      <c r="H31" s="21"/>
      <c r="I31" s="21"/>
      <c r="J31" s="21"/>
      <c r="K31" s="21">
        <f t="shared" ref="K31" si="100">+K9/G9-1</f>
        <v>0.48712233779098568</v>
      </c>
      <c r="L31" s="21">
        <f t="shared" ref="L31:R31" si="101">+L9/H9-1</f>
        <v>0.83683105981112282</v>
      </c>
      <c r="M31" s="21">
        <f t="shared" si="101"/>
        <v>0.4304149295215407</v>
      </c>
      <c r="N31" s="21">
        <f t="shared" si="101"/>
        <v>0.25388525780682647</v>
      </c>
      <c r="O31" s="21">
        <f t="shared" si="101"/>
        <v>0.143880099916736</v>
      </c>
      <c r="P31" s="21">
        <f t="shared" si="101"/>
        <v>4.8271922307911996E-2</v>
      </c>
      <c r="Q31" s="21">
        <f t="shared" si="101"/>
        <v>6.0000000000000053E-2</v>
      </c>
      <c r="R31" s="21">
        <f t="shared" si="101"/>
        <v>6.0000000000000053E-2</v>
      </c>
      <c r="X31" s="22">
        <f t="shared" ref="X31:AA31" si="102">+X9/W9-1</f>
        <v>0.36871165644171788</v>
      </c>
      <c r="Y31" s="22">
        <f t="shared" si="102"/>
        <v>0.35804571940833707</v>
      </c>
      <c r="Z31" s="22">
        <f t="shared" si="102"/>
        <v>0.30516865799722748</v>
      </c>
      <c r="AA31" s="22">
        <f t="shared" si="102"/>
        <v>0.45888124620675708</v>
      </c>
      <c r="AB31" s="22">
        <f>+AB9/AA9-1</f>
        <v>7.4615357947651173E-2</v>
      </c>
      <c r="AC31" s="22">
        <f>+AC9/AB9-1</f>
        <v>5.0000000000000044E-2</v>
      </c>
      <c r="AD31" s="21">
        <f t="shared" ref="AD31:AJ31" si="103">+AD9/AC9-1</f>
        <v>5.0000000000000044E-2</v>
      </c>
      <c r="AE31" s="21">
        <f t="shared" si="103"/>
        <v>5.0000000000000044E-2</v>
      </c>
      <c r="AF31" s="21">
        <f t="shared" si="103"/>
        <v>5.0000000000000044E-2</v>
      </c>
      <c r="AG31" s="21">
        <f t="shared" si="103"/>
        <v>5.0000000000000044E-2</v>
      </c>
      <c r="AH31" s="21">
        <f t="shared" si="103"/>
        <v>5.0000000000000044E-2</v>
      </c>
      <c r="AI31" s="21">
        <f t="shared" si="103"/>
        <v>5.0000000000000044E-2</v>
      </c>
      <c r="AJ31" s="21">
        <f t="shared" si="103"/>
        <v>5.0000000000000044E-2</v>
      </c>
      <c r="AL31" s="22" t="s">
        <v>75</v>
      </c>
      <c r="AM31" s="20">
        <f>NPV(AM29,AC24:CO24)+Main!L5-Main!L6</f>
        <v>2377725.0435986267</v>
      </c>
    </row>
    <row r="32" spans="2:93" s="5" customFormat="1" x14ac:dyDescent="0.2">
      <c r="B32" s="5" t="s">
        <v>42</v>
      </c>
      <c r="C32" s="16"/>
      <c r="D32" s="16"/>
      <c r="E32" s="16"/>
      <c r="F32" s="16"/>
      <c r="G32" s="16"/>
      <c r="H32" s="16"/>
      <c r="I32" s="16"/>
      <c r="J32" s="16"/>
      <c r="K32" s="16">
        <f t="shared" ref="K32" si="104">K11/G11-1</f>
        <v>0.33980836693020566</v>
      </c>
      <c r="L32" s="16">
        <f t="shared" ref="L32" si="105">L11/H11-1</f>
        <v>0.63090508988025484</v>
      </c>
      <c r="M32" s="16">
        <f t="shared" ref="M32" si="106">M11/I11-1</f>
        <v>0.40661921875367013</v>
      </c>
      <c r="N32" s="16">
        <f t="shared" ref="N32" si="107">N11/J11-1</f>
        <v>0.31257919921320898</v>
      </c>
      <c r="O32" s="16">
        <f>O11/K11-1</f>
        <v>0.20114111532299028</v>
      </c>
      <c r="P32" s="16">
        <f t="shared" ref="P32:R32" si="108">P11/L11-1</f>
        <v>0.10117931554138115</v>
      </c>
      <c r="Q32" s="16">
        <f t="shared" si="108"/>
        <v>8.7292432035268375E-2</v>
      </c>
      <c r="R32" s="16">
        <f t="shared" si="108"/>
        <v>8.6792651296830003E-2</v>
      </c>
      <c r="X32" s="5">
        <f t="shared" ref="X32:AB32" si="109">+X11/W11-1</f>
        <v>0.22568104346846218</v>
      </c>
      <c r="Y32" s="5">
        <f t="shared" si="109"/>
        <v>0.16319604057491333</v>
      </c>
      <c r="Z32" s="5">
        <f t="shared" si="109"/>
        <v>0.11071957846204517</v>
      </c>
      <c r="AA32" s="5">
        <f t="shared" si="109"/>
        <v>0.40853915260770313</v>
      </c>
      <c r="AB32" s="5">
        <f t="shared" si="109"/>
        <v>0.1150126089866923</v>
      </c>
      <c r="AC32" s="5">
        <f>+AC11/AB11-1</f>
        <v>7.7181487573449337E-2</v>
      </c>
      <c r="AD32" s="16">
        <f t="shared" ref="AD32:AJ32" si="110">+AD11/AC11-1</f>
        <v>7.8072306156287352E-2</v>
      </c>
      <c r="AE32" s="16">
        <f t="shared" si="110"/>
        <v>7.8944260717141335E-2</v>
      </c>
      <c r="AF32" s="16">
        <f t="shared" si="110"/>
        <v>7.979643035384365E-2</v>
      </c>
      <c r="AG32" s="16">
        <f t="shared" si="110"/>
        <v>8.0628005979105577E-2</v>
      </c>
      <c r="AH32" s="16">
        <f t="shared" si="110"/>
        <v>8.1438290414777903E-2</v>
      </c>
      <c r="AI32" s="16">
        <f t="shared" si="110"/>
        <v>8.2226697360125778E-2</v>
      </c>
      <c r="AJ32" s="16">
        <f t="shared" si="110"/>
        <v>8.2992749326142867E-2</v>
      </c>
      <c r="AL32" s="22" t="s">
        <v>76</v>
      </c>
      <c r="AM32" s="1">
        <f>+AM31/Main!L3</f>
        <v>179.60004861383993</v>
      </c>
    </row>
    <row r="33" spans="2:36" s="5" customFormat="1" x14ac:dyDescent="0.2">
      <c r="B33" s="5" t="s">
        <v>43</v>
      </c>
      <c r="C33" s="16"/>
      <c r="D33" s="16"/>
      <c r="E33" s="16"/>
      <c r="F33" s="16"/>
      <c r="G33" s="16"/>
      <c r="H33" s="16"/>
      <c r="I33" s="16"/>
      <c r="J33" s="16"/>
      <c r="K33" s="16">
        <f t="shared" ref="K33" si="111">K6/G6-1</f>
        <v>0.4573280518545193</v>
      </c>
      <c r="L33" s="16">
        <f t="shared" ref="L33" si="112">L6/H6-1</f>
        <v>0.53907549052211512</v>
      </c>
      <c r="M33" s="16">
        <f t="shared" ref="M33" si="113">M6/I6-1</f>
        <v>0.44889663182346107</v>
      </c>
      <c r="N33" s="16">
        <f t="shared" ref="N33" si="114">N6/J6-1</f>
        <v>0.44635865309318712</v>
      </c>
      <c r="O33" s="16">
        <f>O6/K6-1</f>
        <v>0.4383493946132937</v>
      </c>
      <c r="P33" s="16">
        <f t="shared" ref="P33:R33" si="115">P6/L6-1</f>
        <v>0.35609334485738975</v>
      </c>
      <c r="Q33" s="16">
        <f t="shared" si="115"/>
        <v>0.39999999999999991</v>
      </c>
      <c r="R33" s="16">
        <f t="shared" si="115"/>
        <v>0.39999999999999991</v>
      </c>
      <c r="X33" s="5">
        <f t="shared" ref="X33:AB33" si="116">+X6/W6-1</f>
        <v>0.43934911242603558</v>
      </c>
      <c r="Y33" s="5">
        <f t="shared" si="116"/>
        <v>0.52757793764988015</v>
      </c>
      <c r="Z33" s="5">
        <f t="shared" si="116"/>
        <v>0.46434178066831122</v>
      </c>
      <c r="AA33" s="5">
        <f t="shared" si="116"/>
        <v>0.47070985527222597</v>
      </c>
      <c r="AB33" s="5">
        <f t="shared" si="116"/>
        <v>0.39750078100593567</v>
      </c>
      <c r="AC33" s="5">
        <f>+AC6/AB6-1</f>
        <v>0.39999999999999991</v>
      </c>
      <c r="AD33" s="16">
        <f t="shared" ref="AD33:AJ33" si="117">+AD6/AC6-1</f>
        <v>0.39999999999999991</v>
      </c>
      <c r="AE33" s="16">
        <f t="shared" si="117"/>
        <v>0.29999999999999982</v>
      </c>
      <c r="AF33" s="16">
        <f t="shared" si="117"/>
        <v>0.30000000000000004</v>
      </c>
      <c r="AG33" s="16">
        <f t="shared" si="117"/>
        <v>0.30000000000000004</v>
      </c>
      <c r="AH33" s="16">
        <f t="shared" si="117"/>
        <v>0.19999999999999996</v>
      </c>
      <c r="AI33" s="16">
        <f t="shared" si="117"/>
        <v>0.19999999999999996</v>
      </c>
      <c r="AJ33" s="16">
        <f t="shared" si="117"/>
        <v>0.19999999999999996</v>
      </c>
    </row>
    <row r="34" spans="2:36" s="5" customFormat="1" x14ac:dyDescent="0.2">
      <c r="B34" s="5" t="s">
        <v>33</v>
      </c>
      <c r="C34" s="16"/>
      <c r="D34" s="16"/>
      <c r="E34" s="16"/>
      <c r="F34" s="16"/>
      <c r="G34" s="16">
        <f t="shared" ref="G34:H34" si="118">G15/G12</f>
        <v>0.53881289632887097</v>
      </c>
      <c r="H34" s="16">
        <f t="shared" si="118"/>
        <v>0.51554952085019712</v>
      </c>
      <c r="I34" s="16">
        <f t="shared" ref="I34" si="119">I15/I12</f>
        <v>0.54265479825872265</v>
      </c>
      <c r="J34" s="16">
        <f t="shared" ref="J34" si="120">J15/J12</f>
        <v>0.54163590987380927</v>
      </c>
      <c r="K34" s="16">
        <f>K15/K12</f>
        <v>0.56425136493473627</v>
      </c>
      <c r="L34" s="16">
        <f t="shared" ref="L34:O34" si="121">L15/L12</f>
        <v>0.57616354234001288</v>
      </c>
      <c r="M34" s="16">
        <f t="shared" si="121"/>
        <v>0.57583156730857832</v>
      </c>
      <c r="N34" s="16">
        <f t="shared" si="121"/>
        <v>0.56205774975107869</v>
      </c>
      <c r="O34" s="16">
        <f t="shared" si="121"/>
        <v>0.5647909896928438</v>
      </c>
      <c r="P34" s="16">
        <f t="shared" ref="P34:R34" si="122">P15/P12</f>
        <v>0.56799885197675248</v>
      </c>
      <c r="Q34" s="16">
        <f t="shared" si="122"/>
        <v>0.57499999999999996</v>
      </c>
      <c r="R34" s="16">
        <f t="shared" si="122"/>
        <v>0.57499999999999996</v>
      </c>
      <c r="Z34" s="5">
        <f t="shared" ref="Z34" si="123">Z15/Z12</f>
        <v>0.53578374706207854</v>
      </c>
      <c r="AA34" s="5">
        <f>AA15/AA12</f>
        <v>0.5693980290098084</v>
      </c>
      <c r="AB34" s="5">
        <f t="shared" ref="AB34:AC34" si="124">AB15/AB12</f>
        <v>0.57096982626446702</v>
      </c>
      <c r="AC34" s="5">
        <f t="shared" si="124"/>
        <v>0.56999999999999995</v>
      </c>
      <c r="AD34" s="16">
        <f t="shared" ref="AD34:AJ34" si="125">AD15/AD12</f>
        <v>0.56999999999999995</v>
      </c>
      <c r="AE34" s="16">
        <f t="shared" si="125"/>
        <v>0.56999999999999995</v>
      </c>
      <c r="AF34" s="16">
        <f t="shared" si="125"/>
        <v>0.56999999999999995</v>
      </c>
      <c r="AG34" s="16">
        <f t="shared" si="125"/>
        <v>0.56999999999999995</v>
      </c>
      <c r="AH34" s="16">
        <f t="shared" si="125"/>
        <v>0.56999999999999995</v>
      </c>
      <c r="AI34" s="16">
        <f t="shared" si="125"/>
        <v>0.56999999999999995</v>
      </c>
      <c r="AJ34" s="16">
        <f t="shared" si="125"/>
        <v>0.56999999999999995</v>
      </c>
    </row>
    <row r="35" spans="2:36" s="5" customFormat="1" x14ac:dyDescent="0.2">
      <c r="B35" s="5" t="s">
        <v>70</v>
      </c>
      <c r="C35" s="16"/>
      <c r="D35" s="16"/>
      <c r="E35" s="16"/>
      <c r="F35" s="16"/>
      <c r="G35" s="16">
        <f t="shared" ref="G35" si="126">+G23/G22</f>
        <v>0.11873146835116669</v>
      </c>
      <c r="H35" s="16">
        <f>+H23/H22</f>
        <v>0.15923643832306392</v>
      </c>
      <c r="I35" s="16">
        <f t="shared" ref="I35:R35" si="127">+I23/I22</f>
        <v>0.15809566584325174</v>
      </c>
      <c r="J35" s="16">
        <f t="shared" si="127"/>
        <v>0.18524265610787094</v>
      </c>
      <c r="K35" s="16">
        <f t="shared" si="127"/>
        <v>0.15754357938260583</v>
      </c>
      <c r="L35" s="16">
        <f t="shared" si="127"/>
        <v>0.16</v>
      </c>
      <c r="M35" s="16">
        <f t="shared" si="127"/>
        <v>0.17898022892819979</v>
      </c>
      <c r="N35" s="16">
        <f t="shared" si="127"/>
        <v>0.15408573067781328</v>
      </c>
      <c r="O35" s="16">
        <f t="shared" si="127"/>
        <v>0.13193197422625963</v>
      </c>
      <c r="P35" s="16">
        <f t="shared" si="127"/>
        <v>0.15840959293152415</v>
      </c>
      <c r="Q35" s="16">
        <f t="shared" si="127"/>
        <v>0.16</v>
      </c>
      <c r="R35" s="16">
        <f t="shared" si="127"/>
        <v>0.16</v>
      </c>
      <c r="Z35" s="16">
        <f t="shared" ref="Z35:AC35" si="128">+Z23/Z22</f>
        <v>0.16249324071378063</v>
      </c>
      <c r="AA35" s="16">
        <f t="shared" si="128"/>
        <v>0.16202305640663919</v>
      </c>
      <c r="AB35" s="16">
        <f t="shared" si="128"/>
        <v>0.15360693537788619</v>
      </c>
      <c r="AC35" s="16">
        <f t="shared" si="128"/>
        <v>0.18</v>
      </c>
      <c r="AD35" s="16">
        <f t="shared" ref="AD35:AJ35" si="129">+AD23/AD22</f>
        <v>0.18</v>
      </c>
      <c r="AE35" s="16">
        <f t="shared" si="129"/>
        <v>0.18</v>
      </c>
      <c r="AF35" s="16">
        <f t="shared" si="129"/>
        <v>0.18</v>
      </c>
      <c r="AG35" s="16">
        <f t="shared" si="129"/>
        <v>0.18</v>
      </c>
      <c r="AH35" s="16">
        <f t="shared" si="129"/>
        <v>0.18</v>
      </c>
      <c r="AI35" s="16">
        <f t="shared" si="129"/>
        <v>0.18</v>
      </c>
      <c r="AJ35" s="16">
        <f t="shared" si="129"/>
        <v>0.18</v>
      </c>
    </row>
    <row r="36" spans="2:36" s="5" customFormat="1" x14ac:dyDescent="0.2">
      <c r="B36" s="5" t="s">
        <v>47</v>
      </c>
      <c r="C36" s="16"/>
      <c r="D36" s="16"/>
      <c r="E36" s="16"/>
      <c r="F36" s="16"/>
      <c r="G36" s="16">
        <f t="shared" ref="G36:H36" si="130">G10/G12</f>
        <v>0.5953011492018756</v>
      </c>
      <c r="H36" s="16">
        <f t="shared" si="130"/>
        <v>0.55667545760764547</v>
      </c>
      <c r="I36" s="16">
        <f t="shared" ref="I36" si="131">I10/I12</f>
        <v>0.57041994239057459</v>
      </c>
      <c r="J36" s="16">
        <f>J10/J12</f>
        <v>0.56070512144539353</v>
      </c>
      <c r="K36" s="16">
        <f t="shared" ref="K36:O36" si="132">K10/K12</f>
        <v>0.57632787359438842</v>
      </c>
      <c r="L36" s="16">
        <f t="shared" si="132"/>
        <v>0.57926632191338079</v>
      </c>
      <c r="M36" s="16">
        <f t="shared" si="132"/>
        <v>0.58241960748180222</v>
      </c>
      <c r="N36" s="16">
        <f t="shared" si="132"/>
        <v>0.5748556256223033</v>
      </c>
      <c r="O36" s="16">
        <f t="shared" si="132"/>
        <v>0.58252341532987306</v>
      </c>
      <c r="P36" s="16">
        <f t="shared" ref="P36:R36" si="133">P10/P12</f>
        <v>0.58389897395422252</v>
      </c>
      <c r="Q36" s="16">
        <f t="shared" si="133"/>
        <v>0.57718504105317947</v>
      </c>
      <c r="R36" s="16">
        <f t="shared" si="133"/>
        <v>0.57137794872736092</v>
      </c>
      <c r="Z36" s="16">
        <f t="shared" ref="Z36:AC36" si="134">Z10/Z12</f>
        <v>0.57011839344316184</v>
      </c>
      <c r="AA36" s="16">
        <f t="shared" si="134"/>
        <v>0.57814289096674776</v>
      </c>
      <c r="AB36" s="16">
        <f t="shared" si="134"/>
        <v>0.57836743055083728</v>
      </c>
      <c r="AC36" s="16">
        <f t="shared" si="134"/>
        <v>0.57622314727749158</v>
      </c>
      <c r="AD36" s="16">
        <f t="shared" ref="AD36:AJ36" si="135">AD10/AD12</f>
        <v>0.56836326145165084</v>
      </c>
      <c r="AE36" s="16">
        <f t="shared" si="135"/>
        <v>0.56276254737253961</v>
      </c>
      <c r="AF36" s="16">
        <f t="shared" si="135"/>
        <v>0.55412384533680914</v>
      </c>
      <c r="AG36" s="16">
        <f t="shared" si="135"/>
        <v>0.54230475784651111</v>
      </c>
      <c r="AH36" s="16">
        <f t="shared" si="135"/>
        <v>0.53815250146234839</v>
      </c>
      <c r="AI36" s="16">
        <f t="shared" si="135"/>
        <v>0.53266269773013364</v>
      </c>
      <c r="AJ36" s="16">
        <f t="shared" si="135"/>
        <v>0.52585426872554852</v>
      </c>
    </row>
    <row r="38" spans="2:36" x14ac:dyDescent="0.2">
      <c r="B38" s="3" t="s">
        <v>71</v>
      </c>
      <c r="G38" s="12">
        <f>+G39-G57</f>
        <v>124580</v>
      </c>
      <c r="P38" s="12">
        <f>+P39-P57</f>
        <v>140928</v>
      </c>
      <c r="Q38" s="12">
        <f>+P38+Q24</f>
        <v>160992.79986</v>
      </c>
      <c r="R38" s="12">
        <f>+Q38+R24</f>
        <v>182852.15409</v>
      </c>
      <c r="AB38" s="3">
        <f>+R38</f>
        <v>182852.15409</v>
      </c>
      <c r="AC38" s="3">
        <f>+AB38+AC24</f>
        <v>268545.344099838</v>
      </c>
      <c r="AD38" s="3">
        <f t="shared" ref="AD38:AJ38" si="136">+AC38+AD24</f>
        <v>369022.52856111771</v>
      </c>
      <c r="AE38" s="3">
        <f t="shared" si="136"/>
        <v>485526.40754842455</v>
      </c>
      <c r="AF38" s="3">
        <f t="shared" si="136"/>
        <v>621253.1451672361</v>
      </c>
      <c r="AG38" s="3">
        <f t="shared" si="136"/>
        <v>780178.994926546</v>
      </c>
      <c r="AH38" s="3">
        <f t="shared" si="136"/>
        <v>961873.02890629508</v>
      </c>
      <c r="AI38" s="3">
        <f t="shared" si="136"/>
        <v>1169833.3121598868</v>
      </c>
      <c r="AJ38" s="3">
        <f t="shared" si="136"/>
        <v>1408139.5157565037</v>
      </c>
    </row>
    <row r="39" spans="2:36" s="3" customFormat="1" x14ac:dyDescent="0.2">
      <c r="B39" s="3" t="s">
        <v>3</v>
      </c>
      <c r="C39" s="12"/>
      <c r="D39" s="12"/>
      <c r="E39" s="12"/>
      <c r="F39" s="12"/>
      <c r="G39" s="12">
        <f>117229+12367</f>
        <v>129596</v>
      </c>
      <c r="H39" s="12"/>
      <c r="I39" s="12"/>
      <c r="J39" s="12"/>
      <c r="K39" s="12"/>
      <c r="L39" s="12"/>
      <c r="M39" s="12"/>
      <c r="N39" s="12"/>
      <c r="O39" s="12"/>
      <c r="P39" s="12">
        <f>124997+30665</f>
        <v>155662</v>
      </c>
      <c r="Q39" s="12"/>
      <c r="R39" s="12"/>
    </row>
    <row r="40" spans="2:36" s="3" customFormat="1" x14ac:dyDescent="0.2">
      <c r="B40" s="3" t="s">
        <v>53</v>
      </c>
      <c r="C40" s="12"/>
      <c r="D40" s="12"/>
      <c r="E40" s="12"/>
      <c r="F40" s="12"/>
      <c r="G40" s="12">
        <v>21825</v>
      </c>
      <c r="H40" s="12"/>
      <c r="I40" s="12"/>
      <c r="J40" s="12"/>
      <c r="K40" s="12"/>
      <c r="L40" s="12"/>
      <c r="M40" s="12"/>
      <c r="N40" s="12"/>
      <c r="O40" s="12"/>
      <c r="P40" s="12">
        <v>35707</v>
      </c>
      <c r="Q40" s="12"/>
      <c r="R40" s="12"/>
    </row>
    <row r="41" spans="2:36" s="3" customFormat="1" x14ac:dyDescent="0.2">
      <c r="B41" s="3" t="s">
        <v>30</v>
      </c>
      <c r="C41" s="12"/>
      <c r="D41" s="12"/>
      <c r="E41" s="12"/>
      <c r="F41" s="12"/>
      <c r="G41" s="12">
        <v>1910</v>
      </c>
      <c r="H41" s="12"/>
      <c r="I41" s="12"/>
      <c r="J41" s="12"/>
      <c r="K41" s="12"/>
      <c r="L41" s="12"/>
      <c r="M41" s="12"/>
      <c r="N41" s="12"/>
      <c r="O41" s="12"/>
      <c r="P41" s="12">
        <v>1366</v>
      </c>
      <c r="Q41" s="12"/>
      <c r="R41" s="12"/>
    </row>
    <row r="42" spans="2:36" s="3" customFormat="1" x14ac:dyDescent="0.2">
      <c r="B42" s="3" t="s">
        <v>54</v>
      </c>
      <c r="C42" s="12"/>
      <c r="D42" s="12"/>
      <c r="E42" s="12"/>
      <c r="F42" s="12"/>
      <c r="G42" s="12">
        <v>889</v>
      </c>
      <c r="H42" s="12"/>
      <c r="I42" s="12"/>
      <c r="J42" s="12"/>
      <c r="K42" s="12"/>
      <c r="L42" s="12"/>
      <c r="M42" s="12"/>
      <c r="N42" s="12"/>
      <c r="O42" s="12"/>
      <c r="P42" s="12">
        <v>1980</v>
      </c>
      <c r="Q42" s="12"/>
      <c r="R42" s="12"/>
    </row>
    <row r="43" spans="2:36" s="3" customFormat="1" x14ac:dyDescent="0.2">
      <c r="B43" s="3" t="s">
        <v>55</v>
      </c>
      <c r="C43" s="12"/>
      <c r="D43" s="12"/>
      <c r="E43" s="12"/>
      <c r="F43" s="12"/>
      <c r="G43" s="12">
        <v>5165</v>
      </c>
      <c r="H43" s="12"/>
      <c r="I43" s="12"/>
      <c r="J43" s="12"/>
      <c r="K43" s="12"/>
      <c r="L43" s="12"/>
      <c r="M43" s="12"/>
      <c r="N43" s="12"/>
      <c r="O43" s="12"/>
      <c r="P43" s="12">
        <v>8321</v>
      </c>
      <c r="Q43" s="12"/>
      <c r="R43" s="12"/>
    </row>
    <row r="44" spans="2:36" x14ac:dyDescent="0.2">
      <c r="B44" s="3" t="s">
        <v>56</v>
      </c>
      <c r="G44" s="12">
        <v>730</v>
      </c>
      <c r="P44" s="12">
        <v>1490</v>
      </c>
    </row>
    <row r="45" spans="2:36" x14ac:dyDescent="0.2">
      <c r="B45" s="3" t="s">
        <v>57</v>
      </c>
      <c r="G45" s="12">
        <v>76747</v>
      </c>
      <c r="P45" s="12">
        <v>106223</v>
      </c>
    </row>
    <row r="46" spans="2:36" x14ac:dyDescent="0.2">
      <c r="B46" s="3" t="s">
        <v>58</v>
      </c>
      <c r="G46" s="12">
        <v>11219</v>
      </c>
      <c r="P46" s="12">
        <v>13398</v>
      </c>
    </row>
    <row r="47" spans="2:36" x14ac:dyDescent="0.2">
      <c r="B47" s="3" t="s">
        <v>61</v>
      </c>
      <c r="G47" s="12">
        <f>1840+20734</f>
        <v>22574</v>
      </c>
      <c r="P47" s="12">
        <f>1377+23949</f>
        <v>25326</v>
      </c>
    </row>
    <row r="48" spans="2:36" x14ac:dyDescent="0.2">
      <c r="B48" s="3" t="s">
        <v>60</v>
      </c>
      <c r="G48" s="12">
        <v>2748</v>
      </c>
      <c r="P48" s="12">
        <v>5712</v>
      </c>
    </row>
    <row r="49" spans="2:18" x14ac:dyDescent="0.2">
      <c r="B49" s="3" t="s">
        <v>59</v>
      </c>
      <c r="G49" s="12">
        <f>SUM(G39:G48)</f>
        <v>273403</v>
      </c>
      <c r="P49" s="12">
        <f>SUM(P39:P48)</f>
        <v>355185</v>
      </c>
    </row>
    <row r="50" spans="2:18" x14ac:dyDescent="0.2">
      <c r="B50" s="3"/>
      <c r="G50" s="12"/>
      <c r="P50" s="12"/>
    </row>
    <row r="51" spans="2:18" x14ac:dyDescent="0.2">
      <c r="B51" s="3" t="s">
        <v>62</v>
      </c>
      <c r="G51" s="12">
        <v>4099</v>
      </c>
      <c r="P51" s="12">
        <v>4409</v>
      </c>
    </row>
    <row r="52" spans="2:18" x14ac:dyDescent="0.2">
      <c r="B52" s="3" t="s">
        <v>63</v>
      </c>
      <c r="G52" s="12">
        <v>5656</v>
      </c>
      <c r="P52" s="12">
        <v>10852</v>
      </c>
    </row>
    <row r="53" spans="2:18" x14ac:dyDescent="0.2">
      <c r="B53" s="3" t="s">
        <v>64</v>
      </c>
      <c r="G53" s="12">
        <v>22601</v>
      </c>
      <c r="P53" s="12">
        <v>32976</v>
      </c>
    </row>
    <row r="54" spans="2:18" x14ac:dyDescent="0.2">
      <c r="B54" s="3" t="s">
        <v>65</v>
      </c>
      <c r="G54" s="12">
        <v>4982</v>
      </c>
      <c r="P54" s="12">
        <v>7889</v>
      </c>
    </row>
    <row r="55" spans="2:18" x14ac:dyDescent="0.2">
      <c r="B55" s="3" t="s">
        <v>66</v>
      </c>
      <c r="G55" s="12">
        <f>1938+350</f>
        <v>2288</v>
      </c>
      <c r="P55" s="12">
        <f>3272+472</f>
        <v>3744</v>
      </c>
    </row>
    <row r="56" spans="2:18" x14ac:dyDescent="0.2">
      <c r="B56" s="3" t="s">
        <v>30</v>
      </c>
      <c r="G56" s="12">
        <f>9207+913+2079</f>
        <v>12199</v>
      </c>
      <c r="P56" s="12">
        <f>1956+8163+924</f>
        <v>11043</v>
      </c>
    </row>
    <row r="57" spans="2:18" x14ac:dyDescent="0.2">
      <c r="B57" s="3" t="s">
        <v>4</v>
      </c>
      <c r="G57" s="12">
        <v>5016</v>
      </c>
      <c r="P57" s="12">
        <v>14734</v>
      </c>
    </row>
    <row r="58" spans="2:18" x14ac:dyDescent="0.2">
      <c r="B58" s="3" t="s">
        <v>58</v>
      </c>
      <c r="G58" s="12">
        <v>10476</v>
      </c>
      <c r="P58" s="12">
        <v>11697</v>
      </c>
    </row>
    <row r="59" spans="2:18" x14ac:dyDescent="0.2">
      <c r="B59" s="3" t="s">
        <v>69</v>
      </c>
      <c r="G59" s="12">
        <v>2427</v>
      </c>
      <c r="P59" s="12">
        <v>2422</v>
      </c>
    </row>
    <row r="60" spans="2:18" x14ac:dyDescent="0.2">
      <c r="B60" s="3" t="s">
        <v>68</v>
      </c>
      <c r="G60" s="12">
        <v>203659</v>
      </c>
      <c r="P60" s="12">
        <v>255419</v>
      </c>
    </row>
    <row r="61" spans="2:18" x14ac:dyDescent="0.2">
      <c r="B61" s="3" t="s">
        <v>67</v>
      </c>
      <c r="G61" s="12">
        <f>SUM(G51:G60)</f>
        <v>273403</v>
      </c>
      <c r="P61" s="12">
        <f>SUM(P51:P60)</f>
        <v>355185</v>
      </c>
    </row>
    <row r="63" spans="2:18" s="3" customFormat="1" x14ac:dyDescent="0.2">
      <c r="B63" s="3" t="s">
        <v>82</v>
      </c>
      <c r="C63" s="12">
        <f>+C24</f>
        <v>8354</v>
      </c>
      <c r="D63" s="12"/>
      <c r="E63" s="12"/>
      <c r="F63" s="12"/>
      <c r="G63" s="12">
        <f>+G24</f>
        <v>6836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2:18" s="3" customFormat="1" x14ac:dyDescent="0.2">
      <c r="B64" s="3" t="s">
        <v>83</v>
      </c>
      <c r="C64" s="12">
        <v>6657</v>
      </c>
      <c r="D64" s="12"/>
      <c r="E64" s="12"/>
      <c r="F64" s="12"/>
      <c r="G64" s="12">
        <v>6836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2:18" s="3" customFormat="1" x14ac:dyDescent="0.2">
      <c r="B65" s="3" t="s">
        <v>84</v>
      </c>
      <c r="C65" s="12">
        <v>2416</v>
      </c>
      <c r="D65" s="12"/>
      <c r="E65" s="12"/>
      <c r="F65" s="12"/>
      <c r="G65" s="12">
        <v>2899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2:18" s="3" customFormat="1" x14ac:dyDescent="0.2">
      <c r="B66" s="3" t="s">
        <v>85</v>
      </c>
      <c r="C66" s="12">
        <v>197</v>
      </c>
      <c r="D66" s="12"/>
      <c r="E66" s="12"/>
      <c r="F66" s="12"/>
      <c r="G66" s="12">
        <v>209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2:18" s="3" customFormat="1" x14ac:dyDescent="0.2">
      <c r="B67" s="3" t="s">
        <v>86</v>
      </c>
      <c r="C67" s="12">
        <v>2769</v>
      </c>
      <c r="D67" s="12"/>
      <c r="E67" s="12"/>
      <c r="F67" s="12"/>
      <c r="G67" s="12">
        <v>3191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2:18" s="3" customFormat="1" x14ac:dyDescent="0.2">
      <c r="B68" s="3" t="s">
        <v>56</v>
      </c>
      <c r="C68" s="12">
        <v>-73</v>
      </c>
      <c r="D68" s="12"/>
      <c r="E68" s="12"/>
      <c r="F68" s="12"/>
      <c r="G68" s="12">
        <v>175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2:18" s="3" customFormat="1" x14ac:dyDescent="0.2">
      <c r="B69" s="3" t="s">
        <v>87</v>
      </c>
      <c r="C69" s="12">
        <v>-1081</v>
      </c>
      <c r="D69" s="12"/>
      <c r="E69" s="12"/>
      <c r="F69" s="12"/>
      <c r="G69" s="12">
        <v>802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2:18" s="3" customFormat="1" x14ac:dyDescent="0.2">
      <c r="B70" s="3" t="s">
        <v>28</v>
      </c>
      <c r="C70" s="12">
        <v>22</v>
      </c>
      <c r="D70" s="12"/>
      <c r="E70" s="12"/>
      <c r="F70" s="12"/>
      <c r="G70" s="12">
        <v>297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2:18" s="3" customFormat="1" x14ac:dyDescent="0.2">
      <c r="B71" s="3" t="s">
        <v>88</v>
      </c>
      <c r="C71" s="12">
        <f>1172+1068-265-425-229-147-81</f>
        <v>1093</v>
      </c>
      <c r="D71" s="12"/>
      <c r="E71" s="12"/>
      <c r="F71" s="12"/>
      <c r="G71" s="12">
        <f>2602-245-115-835-3531-871+37</f>
        <v>-2958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2:18" s="3" customFormat="1" x14ac:dyDescent="0.2">
      <c r="B72" s="3" t="s">
        <v>35</v>
      </c>
      <c r="C72" s="12">
        <f>SUM(C64:C71)</f>
        <v>12000</v>
      </c>
      <c r="D72" s="12"/>
      <c r="E72" s="12"/>
      <c r="F72" s="12"/>
      <c r="G72" s="12">
        <f>SUM(G64:G71)</f>
        <v>11451</v>
      </c>
      <c r="H72" s="12"/>
      <c r="I72" s="12"/>
      <c r="J72" s="12">
        <v>22677</v>
      </c>
      <c r="K72" s="12">
        <v>19289</v>
      </c>
      <c r="L72" s="12"/>
      <c r="M72" s="12"/>
      <c r="N72" s="12">
        <v>24934</v>
      </c>
      <c r="O72" s="12">
        <v>25106</v>
      </c>
      <c r="P72" s="12"/>
      <c r="Q72" s="12"/>
      <c r="R72" s="12"/>
    </row>
    <row r="73" spans="2:18" s="3" customFormat="1" x14ac:dyDescent="0.2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2:18" s="3" customFormat="1" x14ac:dyDescent="0.2">
      <c r="B74" s="3" t="s">
        <v>36</v>
      </c>
      <c r="C74" s="12">
        <v>-4638</v>
      </c>
      <c r="D74" s="12"/>
      <c r="E74" s="12"/>
      <c r="F74" s="12"/>
      <c r="G74" s="12">
        <v>-6005</v>
      </c>
      <c r="H74" s="12"/>
      <c r="I74" s="12"/>
      <c r="J74" s="12">
        <v>5479</v>
      </c>
      <c r="K74" s="12">
        <v>5942</v>
      </c>
      <c r="L74" s="12"/>
      <c r="M74" s="12"/>
      <c r="N74" s="12">
        <v>6383</v>
      </c>
      <c r="O74" s="12">
        <v>9786</v>
      </c>
      <c r="P74" s="12"/>
      <c r="Q74" s="12"/>
      <c r="R74" s="12"/>
    </row>
    <row r="75" spans="2:18" s="3" customFormat="1" x14ac:dyDescent="0.2">
      <c r="B75" s="3" t="s">
        <v>89</v>
      </c>
      <c r="C75" s="12">
        <f>-20883+21006-907+99</f>
        <v>-685</v>
      </c>
      <c r="D75" s="12"/>
      <c r="E75" s="12"/>
      <c r="F75" s="12"/>
      <c r="G75" s="12">
        <f>-37563+41811-572+260</f>
        <v>3936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2:18" s="3" customFormat="1" x14ac:dyDescent="0.2">
      <c r="B76" s="3" t="s">
        <v>91</v>
      </c>
      <c r="C76" s="12">
        <v>-99</v>
      </c>
      <c r="D76" s="12"/>
      <c r="E76" s="12"/>
      <c r="F76" s="12"/>
      <c r="G76" s="12">
        <v>-190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2:18" s="3" customFormat="1" x14ac:dyDescent="0.2">
      <c r="B77" s="3" t="s">
        <v>28</v>
      </c>
      <c r="C77" s="12">
        <v>34</v>
      </c>
      <c r="D77" s="12"/>
      <c r="E77" s="12"/>
      <c r="F77" s="12"/>
      <c r="G77" s="12">
        <v>412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2:18" s="3" customFormat="1" x14ac:dyDescent="0.2">
      <c r="B78" s="3" t="s">
        <v>92</v>
      </c>
      <c r="C78" s="12">
        <f>SUM(C74:C77)</f>
        <v>-5388</v>
      </c>
      <c r="D78" s="12"/>
      <c r="E78" s="12"/>
      <c r="F78" s="12"/>
      <c r="G78" s="12">
        <f>SUM(G74:G77)</f>
        <v>-1847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2:18" s="3" customFormat="1" x14ac:dyDescent="0.2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2:18" s="3" customFormat="1" x14ac:dyDescent="0.2">
      <c r="B80" s="3" t="s">
        <v>86</v>
      </c>
      <c r="C80" s="12">
        <v>-1175</v>
      </c>
      <c r="D80" s="12"/>
      <c r="E80" s="12"/>
      <c r="F80" s="12"/>
      <c r="G80" s="12">
        <v>-1241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2:18" s="3" customFormat="1" x14ac:dyDescent="0.2">
      <c r="B81" s="3" t="s">
        <v>93</v>
      </c>
      <c r="C81" s="12">
        <v>-3025</v>
      </c>
      <c r="D81" s="12"/>
      <c r="E81" s="12"/>
      <c r="F81" s="12"/>
      <c r="G81" s="12">
        <v>-8496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2:18" s="3" customFormat="1" x14ac:dyDescent="0.2">
      <c r="B82" s="3" t="s">
        <v>4</v>
      </c>
      <c r="C82" s="12">
        <f>315-345</f>
        <v>-30</v>
      </c>
      <c r="D82" s="12"/>
      <c r="E82" s="12"/>
      <c r="F82" s="12"/>
      <c r="G82" s="12">
        <f>1898-1947</f>
        <v>-49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2:18" s="3" customFormat="1" x14ac:dyDescent="0.2">
      <c r="B83" s="3" t="s">
        <v>94</v>
      </c>
      <c r="C83" s="12">
        <v>47</v>
      </c>
      <c r="D83" s="12"/>
      <c r="E83" s="12"/>
      <c r="F83" s="12"/>
      <c r="G83" s="12">
        <v>1600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2:18" s="3" customFormat="1" x14ac:dyDescent="0.2">
      <c r="B84" s="3" t="s">
        <v>90</v>
      </c>
      <c r="C84" s="12">
        <f>SUM(C80:C83)</f>
        <v>-4183</v>
      </c>
      <c r="D84" s="12"/>
      <c r="E84" s="12"/>
      <c r="F84" s="12"/>
      <c r="G84" s="12">
        <f>SUM(G80:G83)</f>
        <v>-8186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2:18" s="3" customFormat="1" x14ac:dyDescent="0.2">
      <c r="B85" s="3" t="s">
        <v>41</v>
      </c>
      <c r="C85" s="12">
        <v>18</v>
      </c>
      <c r="D85" s="12"/>
      <c r="E85" s="12"/>
      <c r="F85" s="12"/>
      <c r="G85" s="12">
        <v>-272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2:18" s="3" customFormat="1" x14ac:dyDescent="0.2">
      <c r="B86" s="3" t="s">
        <v>95</v>
      </c>
      <c r="C86" s="12">
        <f>+C85+C84+C78+C72</f>
        <v>2447</v>
      </c>
      <c r="D86" s="12"/>
      <c r="E86" s="12"/>
      <c r="F86" s="12"/>
      <c r="G86" s="12">
        <f>+G85+G84+G78+G72</f>
        <v>1146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2:18" s="3" customFormat="1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2:18" s="3" customFormat="1" x14ac:dyDescent="0.2">
      <c r="B88" s="3" t="s">
        <v>37</v>
      </c>
      <c r="C88" s="12"/>
      <c r="D88" s="12"/>
      <c r="E88" s="12"/>
      <c r="F88" s="12"/>
      <c r="G88" s="12"/>
      <c r="H88" s="12"/>
      <c r="I88" s="12"/>
      <c r="J88" s="12">
        <f>J72-J74</f>
        <v>17198</v>
      </c>
      <c r="K88" s="12">
        <f>K72-K74</f>
        <v>13347</v>
      </c>
      <c r="L88" s="12"/>
      <c r="M88" s="12"/>
      <c r="N88" s="12">
        <f>N72-N74</f>
        <v>18551</v>
      </c>
      <c r="O88" s="12">
        <f>O72-O74</f>
        <v>15320</v>
      </c>
      <c r="P88" s="12"/>
      <c r="Q88" s="12"/>
      <c r="R88" s="12"/>
    </row>
    <row r="91" spans="2:18" s="3" customFormat="1" x14ac:dyDescent="0.2">
      <c r="B91" s="3" t="s">
        <v>52</v>
      </c>
      <c r="C91" s="12">
        <v>103459</v>
      </c>
      <c r="D91" s="12"/>
      <c r="E91" s="12"/>
      <c r="F91" s="12"/>
      <c r="G91" s="12">
        <v>123048</v>
      </c>
      <c r="H91" s="12"/>
      <c r="I91" s="12"/>
      <c r="J91" s="12"/>
      <c r="K91" s="12"/>
      <c r="L91" s="12">
        <v>144056</v>
      </c>
      <c r="M91" s="12"/>
      <c r="N91" s="12"/>
      <c r="O91" s="12"/>
      <c r="P91" s="12">
        <v>174014</v>
      </c>
      <c r="Q91" s="12"/>
      <c r="R91" s="12"/>
    </row>
    <row r="92" spans="2:18" x14ac:dyDescent="0.2">
      <c r="B92" s="3" t="s">
        <v>81</v>
      </c>
      <c r="P92" s="16">
        <f>+P91/L91-1</f>
        <v>0.20796079302493475</v>
      </c>
    </row>
  </sheetData>
  <hyperlinks>
    <hyperlink ref="A1" location="Main!A1" display="Main" xr:uid="{E44988C7-574D-4338-8D92-18114C17CDB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2022-08-16T05:05:03Z</dcterms:modified>
</cp:coreProperties>
</file>